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3\"/>
    </mc:Choice>
  </mc:AlternateContent>
  <xr:revisionPtr revIDLastSave="0" documentId="13_ncr:1_{E43730DC-0CA7-4232-AD5F-2452AA7E43C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itulní" sheetId="180" r:id="rId1"/>
    <sheet name="Obsah" sheetId="170" r:id="rId2"/>
    <sheet name="Úvod" sheetId="171" r:id="rId3"/>
    <sheet name="1" sheetId="172" r:id="rId4"/>
    <sheet name="2" sheetId="179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  <sheet name="Obálka" sheetId="181" r:id="rId34"/>
  </sheets>
  <definedNames>
    <definedName name="Datum_OTE" localSheetId="33">"4. 8. 2022"</definedName>
    <definedName name="Datum_OTE">"2. 5. 2017"</definedName>
    <definedName name="_xlnm.Print_Area" localSheetId="4">'2'!$A$1:$I$49</definedName>
    <definedName name="_xlnm.Print_Area" localSheetId="0">Titulní!$A$1:$B$2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'2'!#REF!</definedName>
    <definedName name="OLE_LINK6" localSheetId="2">Úvod!$A$7</definedName>
    <definedName name="OLE_LINK7" localSheetId="4">'2'!#REF!</definedName>
    <definedName name="OLE_LINK7" localSheetId="2">Úvod!$A$7</definedName>
  </definedNames>
  <calcPr calcId="191029" concurrentManualCount="8"/>
</workbook>
</file>

<file path=xl/calcChain.xml><?xml version="1.0" encoding="utf-8"?>
<calcChain xmlns="http://schemas.openxmlformats.org/spreadsheetml/2006/main">
  <c r="G9" i="108" l="1"/>
  <c r="G14" i="108" s="1"/>
  <c r="G10" i="108"/>
  <c r="G11" i="108"/>
  <c r="G12" i="108"/>
  <c r="G13" i="108"/>
  <c r="G15" i="108"/>
  <c r="G16" i="108"/>
  <c r="G17" i="108"/>
  <c r="G18" i="108"/>
  <c r="G19" i="108"/>
  <c r="G21" i="108"/>
  <c r="G22" i="108"/>
  <c r="G23" i="108"/>
  <c r="G24" i="108"/>
  <c r="G25" i="108"/>
  <c r="G20" i="108" l="1"/>
  <c r="G26" i="108"/>
  <c r="K7" i="168" l="1"/>
  <c r="K8" i="168"/>
  <c r="K9" i="168"/>
  <c r="K10" i="168"/>
  <c r="K11" i="168"/>
  <c r="K12" i="168"/>
  <c r="I28" i="167"/>
  <c r="J28" i="167"/>
  <c r="I29" i="167"/>
  <c r="J29" i="167"/>
  <c r="I30" i="167"/>
  <c r="J30" i="167"/>
  <c r="I31" i="167"/>
  <c r="J31" i="167"/>
  <c r="I32" i="167"/>
  <c r="J32" i="167"/>
  <c r="I33" i="167"/>
  <c r="J33" i="167"/>
  <c r="K13" i="168" l="1"/>
  <c r="J34" i="167"/>
  <c r="I34" i="167"/>
  <c r="R44" i="128" l="1"/>
  <c r="R43" i="128"/>
  <c r="I19" i="146"/>
  <c r="G14" i="168" l="1"/>
  <c r="H14" i="168"/>
  <c r="G15" i="168"/>
  <c r="H15" i="168"/>
  <c r="G16" i="168"/>
  <c r="H16" i="168"/>
  <c r="G17" i="168"/>
  <c r="H17" i="168"/>
  <c r="G18" i="168"/>
  <c r="H18" i="168"/>
  <c r="G19" i="168"/>
  <c r="H19" i="168"/>
  <c r="H20" i="168"/>
  <c r="G20" i="168" l="1"/>
  <c r="L19" i="146" l="1"/>
  <c r="L20" i="146"/>
  <c r="L21" i="146"/>
  <c r="L22" i="146"/>
  <c r="L23" i="146"/>
  <c r="L24" i="146"/>
  <c r="L25" i="146"/>
  <c r="J19" i="146"/>
  <c r="J20" i="146"/>
  <c r="J21" i="146"/>
  <c r="J22" i="146"/>
  <c r="J23" i="146"/>
  <c r="J24" i="146"/>
  <c r="J25" i="146"/>
  <c r="F19" i="146"/>
  <c r="F20" i="146"/>
  <c r="F21" i="146"/>
  <c r="F22" i="146"/>
  <c r="F23" i="146"/>
  <c r="F24" i="146"/>
  <c r="F25" i="146"/>
  <c r="C19" i="146"/>
  <c r="C20" i="146"/>
  <c r="C21" i="146"/>
  <c r="C22" i="146"/>
  <c r="C23" i="146"/>
  <c r="C24" i="146"/>
  <c r="C25" i="146"/>
  <c r="B50" i="181" l="1"/>
  <c r="E23" i="146" l="1"/>
  <c r="G23" i="146" s="1"/>
  <c r="G9" i="107" l="1"/>
  <c r="R18" i="122" l="1"/>
  <c r="O19" i="122"/>
  <c r="L18" i="122"/>
  <c r="G18" i="122"/>
  <c r="D18" i="122"/>
  <c r="B18" i="122"/>
  <c r="O20" i="146"/>
  <c r="K19" i="146"/>
  <c r="B20" i="146"/>
  <c r="M25" i="146"/>
  <c r="M24" i="146"/>
  <c r="M23" i="146"/>
  <c r="M22" i="146"/>
  <c r="M21" i="146"/>
  <c r="M20" i="146"/>
  <c r="M19" i="146"/>
  <c r="H25" i="146"/>
  <c r="H24" i="146"/>
  <c r="H23" i="146"/>
  <c r="H22" i="146"/>
  <c r="H21" i="146"/>
  <c r="H20" i="146"/>
  <c r="H19" i="146"/>
  <c r="B23" i="146"/>
  <c r="T23" i="146"/>
  <c r="S23" i="146"/>
  <c r="T20" i="146"/>
  <c r="S20" i="146"/>
  <c r="T19" i="146"/>
  <c r="S19" i="146"/>
  <c r="K20" i="146"/>
  <c r="B19" i="146"/>
  <c r="D20" i="146" l="1"/>
  <c r="T25" i="146"/>
  <c r="S25" i="146"/>
  <c r="Q25" i="146"/>
  <c r="P25" i="146"/>
  <c r="O25" i="146"/>
  <c r="N25" i="146"/>
  <c r="K25" i="146"/>
  <c r="I25" i="146"/>
  <c r="E25" i="146"/>
  <c r="G25" i="146" s="1"/>
  <c r="B25" i="146"/>
  <c r="D25" i="146" s="1"/>
  <c r="T24" i="146"/>
  <c r="S24" i="146"/>
  <c r="Q24" i="146"/>
  <c r="P24" i="146"/>
  <c r="O24" i="146"/>
  <c r="N24" i="146"/>
  <c r="K24" i="146"/>
  <c r="I24" i="146"/>
  <c r="E24" i="146"/>
  <c r="G24" i="146" s="1"/>
  <c r="B24" i="146"/>
  <c r="D24" i="146" s="1"/>
  <c r="Q23" i="146"/>
  <c r="P23" i="146"/>
  <c r="O23" i="146"/>
  <c r="N23" i="146"/>
  <c r="K23" i="146"/>
  <c r="I23" i="146"/>
  <c r="D23" i="146"/>
  <c r="T22" i="146"/>
  <c r="S22" i="146"/>
  <c r="Q22" i="146"/>
  <c r="E26" i="179" s="1"/>
  <c r="P22" i="146"/>
  <c r="O22" i="146"/>
  <c r="N22" i="146"/>
  <c r="E25" i="179" s="1"/>
  <c r="K22" i="146"/>
  <c r="H22" i="179" s="1"/>
  <c r="I22" i="146"/>
  <c r="H19" i="179" s="1"/>
  <c r="E22" i="146"/>
  <c r="E22" i="179" s="1"/>
  <c r="B22" i="146"/>
  <c r="E19" i="179" s="1"/>
  <c r="T21" i="146"/>
  <c r="S21" i="146"/>
  <c r="Q21" i="146"/>
  <c r="P21" i="146"/>
  <c r="O21" i="146"/>
  <c r="N21" i="146"/>
  <c r="K21" i="146"/>
  <c r="I21" i="146"/>
  <c r="E21" i="146"/>
  <c r="B21" i="146"/>
  <c r="Q20" i="146"/>
  <c r="P20" i="146"/>
  <c r="N20" i="146"/>
  <c r="I20" i="146"/>
  <c r="E20" i="146"/>
  <c r="Q19" i="146"/>
  <c r="P19" i="146"/>
  <c r="O19" i="146"/>
  <c r="N19" i="146"/>
  <c r="E19" i="146"/>
  <c r="D19" i="146"/>
  <c r="G20" i="146" l="1"/>
  <c r="R19" i="146"/>
  <c r="G19" i="146"/>
  <c r="D22" i="146"/>
  <c r="E20" i="179" s="1"/>
  <c r="R22" i="146"/>
  <c r="E27" i="179" s="1"/>
  <c r="G22" i="146"/>
  <c r="E23" i="179" s="1"/>
  <c r="R23" i="146"/>
  <c r="R20" i="146"/>
  <c r="D21" i="146"/>
  <c r="R21" i="146"/>
  <c r="G21" i="146"/>
  <c r="R24" i="146"/>
  <c r="R25" i="146"/>
  <c r="B36" i="170" l="1"/>
  <c r="B35" i="170"/>
  <c r="B30" i="170"/>
  <c r="B29" i="170"/>
  <c r="B28" i="170"/>
  <c r="B27" i="170"/>
  <c r="B26" i="170"/>
  <c r="B25" i="170"/>
  <c r="B24" i="170"/>
  <c r="B23" i="170"/>
  <c r="B22" i="170"/>
  <c r="B17" i="170"/>
  <c r="B16" i="170"/>
  <c r="B15" i="170"/>
  <c r="B14" i="170"/>
  <c r="B13" i="170"/>
  <c r="B12" i="170"/>
  <c r="B11" i="170"/>
  <c r="B10" i="170"/>
  <c r="B9" i="170"/>
  <c r="B8" i="170"/>
  <c r="B7" i="170"/>
  <c r="B6" i="170"/>
  <c r="B5" i="170"/>
  <c r="B3" i="170"/>
  <c r="A5" i="170"/>
  <c r="A6" i="170"/>
  <c r="A7" i="170"/>
  <c r="A8" i="170"/>
  <c r="A9" i="170"/>
  <c r="A10" i="170"/>
  <c r="A11" i="170"/>
  <c r="A12" i="170"/>
  <c r="A13" i="170"/>
  <c r="A14" i="170"/>
  <c r="A15" i="170"/>
  <c r="A16" i="170"/>
  <c r="A17" i="170"/>
  <c r="A22" i="170"/>
  <c r="A23" i="170"/>
  <c r="A24" i="170"/>
  <c r="A25" i="170"/>
  <c r="A26" i="170"/>
  <c r="A27" i="170"/>
  <c r="A28" i="170"/>
  <c r="A29" i="170"/>
  <c r="A30" i="170"/>
  <c r="A35" i="170"/>
  <c r="A36" i="170"/>
  <c r="A3" i="170"/>
  <c r="A1" i="179"/>
  <c r="B4" i="126" l="1"/>
  <c r="B4" i="161"/>
  <c r="B4" i="162"/>
  <c r="B4" i="163"/>
  <c r="B4" i="141" l="1"/>
  <c r="B4" i="140"/>
  <c r="B4" i="139"/>
  <c r="B4" i="120"/>
  <c r="A3" i="141"/>
  <c r="A1" i="141" s="1"/>
  <c r="A3" i="120"/>
  <c r="A1" i="120" s="1"/>
  <c r="A3" i="140"/>
  <c r="A1" i="140" s="1"/>
  <c r="A3" i="139"/>
  <c r="A1" i="139" s="1"/>
  <c r="I19" i="147" l="1"/>
  <c r="A4" i="128"/>
  <c r="A30" i="128" s="1"/>
  <c r="D4" i="108" l="1"/>
  <c r="D34" i="108" s="1"/>
  <c r="I34" i="108" s="1"/>
  <c r="D4" i="109"/>
  <c r="D34" i="109" s="1"/>
  <c r="I34" i="109" s="1"/>
  <c r="D4" i="110"/>
  <c r="D34" i="110" s="1"/>
  <c r="I34" i="110" s="1"/>
  <c r="D4" i="111"/>
  <c r="D34" i="111" s="1"/>
  <c r="I34" i="111" s="1"/>
  <c r="D4" i="112"/>
  <c r="D34" i="112" s="1"/>
  <c r="I34" i="112" s="1"/>
  <c r="D4" i="113"/>
  <c r="D34" i="113" s="1"/>
  <c r="I34" i="113" s="1"/>
  <c r="D4" i="107"/>
  <c r="D34" i="107" s="1"/>
  <c r="I34" i="107" s="1"/>
  <c r="D3" i="167"/>
  <c r="I3" i="167" s="1"/>
  <c r="D3" i="166"/>
  <c r="I3" i="166" s="1"/>
  <c r="D3" i="168"/>
  <c r="I3" i="168" s="1"/>
  <c r="D3" i="165"/>
  <c r="I3" i="165" s="1"/>
  <c r="C41" i="167" l="1"/>
  <c r="I41" i="165"/>
  <c r="I41" i="167"/>
  <c r="C41" i="165"/>
  <c r="C41" i="168"/>
  <c r="I41" i="168"/>
  <c r="C41" i="166"/>
  <c r="I41" i="166"/>
  <c r="A3" i="133"/>
  <c r="D4" i="116"/>
  <c r="A3" i="145" l="1"/>
  <c r="A3" i="147"/>
  <c r="A4" i="146"/>
  <c r="B6" i="146" s="1"/>
  <c r="A3" i="122"/>
  <c r="E4" i="170" l="1"/>
  <c r="A4" i="170" l="1"/>
  <c r="B4" i="170"/>
  <c r="B22" i="122"/>
  <c r="B23" i="147" l="1"/>
  <c r="H23" i="147"/>
  <c r="H14" i="116" l="1"/>
  <c r="F23" i="120" s="1"/>
  <c r="E28" i="165" l="1"/>
  <c r="E29" i="165"/>
  <c r="E30" i="165"/>
  <c r="E31" i="165"/>
  <c r="E32" i="165"/>
  <c r="E33" i="165"/>
  <c r="E28" i="167"/>
  <c r="E29" i="167"/>
  <c r="E30" i="167"/>
  <c r="E31" i="167"/>
  <c r="E32" i="167"/>
  <c r="E33" i="167"/>
  <c r="E28" i="166"/>
  <c r="E29" i="166"/>
  <c r="E30" i="166"/>
  <c r="E31" i="166"/>
  <c r="E32" i="166"/>
  <c r="E33" i="166"/>
  <c r="E34" i="166" l="1"/>
  <c r="E34" i="165"/>
  <c r="E34" i="167"/>
  <c r="G40" i="145"/>
  <c r="G37" i="145"/>
  <c r="G21" i="107" l="1"/>
  <c r="H56" i="113" l="1"/>
  <c r="K51" i="105" l="1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H16" i="179" s="1"/>
  <c r="K35" i="105"/>
  <c r="K34" i="105"/>
  <c r="K33" i="105"/>
  <c r="K32" i="105"/>
  <c r="K31" i="105"/>
  <c r="K30" i="105"/>
  <c r="K29" i="105"/>
  <c r="K28" i="105"/>
  <c r="K27" i="105"/>
  <c r="H14" i="179" s="1"/>
  <c r="K26" i="105"/>
  <c r="K25" i="105"/>
  <c r="K24" i="105"/>
  <c r="K23" i="105"/>
  <c r="K22" i="105"/>
  <c r="H13" i="179" s="1"/>
  <c r="K21" i="105"/>
  <c r="K20" i="105"/>
  <c r="K19" i="105"/>
  <c r="K18" i="105"/>
  <c r="H12" i="179" s="1"/>
  <c r="K17" i="105"/>
  <c r="K16" i="105"/>
  <c r="K15" i="105"/>
  <c r="K14" i="105"/>
  <c r="K13" i="105"/>
  <c r="K12" i="105"/>
  <c r="K11" i="105"/>
  <c r="H10" i="179" s="1"/>
  <c r="K10" i="105"/>
  <c r="K9" i="105"/>
  <c r="K8" i="105"/>
  <c r="H9" i="179" s="1"/>
  <c r="K7" i="105"/>
  <c r="K6" i="105"/>
  <c r="G51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E16" i="179" s="1"/>
  <c r="G35" i="105"/>
  <c r="G34" i="105"/>
  <c r="G33" i="105"/>
  <c r="G32" i="105"/>
  <c r="G31" i="105"/>
  <c r="G30" i="105"/>
  <c r="G29" i="105"/>
  <c r="G28" i="105"/>
  <c r="G27" i="105"/>
  <c r="E14" i="179" s="1"/>
  <c r="G26" i="105"/>
  <c r="G25" i="105"/>
  <c r="G24" i="105"/>
  <c r="G23" i="105"/>
  <c r="G22" i="105"/>
  <c r="E13" i="179" s="1"/>
  <c r="G21" i="105"/>
  <c r="G20" i="105"/>
  <c r="G19" i="105"/>
  <c r="G18" i="105"/>
  <c r="E12" i="179" s="1"/>
  <c r="G17" i="105"/>
  <c r="G16" i="105"/>
  <c r="G15" i="105"/>
  <c r="G14" i="105"/>
  <c r="G13" i="105"/>
  <c r="G12" i="105"/>
  <c r="G11" i="105"/>
  <c r="E10" i="179" s="1"/>
  <c r="G10" i="105"/>
  <c r="G9" i="105"/>
  <c r="G8" i="105"/>
  <c r="E9" i="179" s="1"/>
  <c r="G7" i="105"/>
  <c r="G6" i="105"/>
  <c r="E36" i="170" l="1"/>
  <c r="E30" i="170"/>
  <c r="E29" i="170"/>
  <c r="E28" i="170"/>
  <c r="E27" i="170"/>
  <c r="E26" i="170"/>
  <c r="E25" i="170"/>
  <c r="E17" i="170"/>
  <c r="E16" i="170"/>
  <c r="E15" i="170"/>
  <c r="E14" i="170"/>
  <c r="E24" i="170"/>
  <c r="E13" i="170"/>
  <c r="E9" i="170"/>
  <c r="E6" i="170"/>
  <c r="R49" i="128" l="1"/>
  <c r="Q49" i="128"/>
  <c r="P49" i="128"/>
  <c r="O49" i="128"/>
  <c r="N49" i="128"/>
  <c r="M49" i="128"/>
  <c r="L49" i="128"/>
  <c r="K49" i="128"/>
  <c r="J49" i="128"/>
  <c r="I49" i="128"/>
  <c r="H49" i="128"/>
  <c r="G49" i="128"/>
  <c r="F49" i="128"/>
  <c r="E49" i="128"/>
  <c r="D49" i="128"/>
  <c r="C49" i="128"/>
  <c r="B49" i="128"/>
  <c r="R48" i="128"/>
  <c r="Q48" i="128"/>
  <c r="P48" i="128"/>
  <c r="O48" i="128"/>
  <c r="N48" i="128"/>
  <c r="M48" i="128"/>
  <c r="L48" i="128"/>
  <c r="K48" i="128"/>
  <c r="J48" i="128"/>
  <c r="I48" i="128"/>
  <c r="H48" i="128"/>
  <c r="G48" i="128"/>
  <c r="F48" i="128"/>
  <c r="E48" i="128"/>
  <c r="D48" i="128"/>
  <c r="C48" i="128"/>
  <c r="B48" i="128"/>
  <c r="R47" i="128"/>
  <c r="Q47" i="128"/>
  <c r="P47" i="128"/>
  <c r="O47" i="128"/>
  <c r="N47" i="128"/>
  <c r="M47" i="128"/>
  <c r="L47" i="128"/>
  <c r="K47" i="128"/>
  <c r="J47" i="128"/>
  <c r="I47" i="128"/>
  <c r="H47" i="128"/>
  <c r="G47" i="128"/>
  <c r="F47" i="128"/>
  <c r="E47" i="128"/>
  <c r="D47" i="128"/>
  <c r="C47" i="128"/>
  <c r="B47" i="128"/>
  <c r="R46" i="128"/>
  <c r="Q46" i="128"/>
  <c r="P46" i="128"/>
  <c r="O46" i="128"/>
  <c r="N46" i="128"/>
  <c r="M46" i="128"/>
  <c r="L46" i="128"/>
  <c r="K46" i="128"/>
  <c r="J46" i="128"/>
  <c r="I46" i="128"/>
  <c r="H46" i="128"/>
  <c r="G46" i="128"/>
  <c r="F46" i="128"/>
  <c r="E46" i="128"/>
  <c r="D46" i="128"/>
  <c r="C46" i="128"/>
  <c r="B46" i="128"/>
  <c r="R45" i="128"/>
  <c r="Q45" i="128"/>
  <c r="P45" i="128"/>
  <c r="O45" i="128"/>
  <c r="N45" i="128"/>
  <c r="M45" i="128"/>
  <c r="L45" i="128"/>
  <c r="K45" i="128"/>
  <c r="J45" i="128"/>
  <c r="I45" i="128"/>
  <c r="H45" i="128"/>
  <c r="G45" i="128"/>
  <c r="F45" i="128"/>
  <c r="E45" i="128"/>
  <c r="D45" i="128"/>
  <c r="C45" i="128"/>
  <c r="B45" i="128"/>
  <c r="Q44" i="128"/>
  <c r="P44" i="128"/>
  <c r="O44" i="128"/>
  <c r="N44" i="128"/>
  <c r="M44" i="128"/>
  <c r="L44" i="128"/>
  <c r="K44" i="128"/>
  <c r="J44" i="128"/>
  <c r="I44" i="128"/>
  <c r="H44" i="128"/>
  <c r="G44" i="128"/>
  <c r="F44" i="128"/>
  <c r="E44" i="128"/>
  <c r="D44" i="128"/>
  <c r="C44" i="128"/>
  <c r="B44" i="128"/>
  <c r="Q43" i="128"/>
  <c r="P43" i="128"/>
  <c r="O43" i="128"/>
  <c r="N43" i="128"/>
  <c r="M43" i="128"/>
  <c r="L43" i="128"/>
  <c r="K43" i="128"/>
  <c r="J43" i="128"/>
  <c r="I43" i="128"/>
  <c r="H43" i="128"/>
  <c r="G43" i="128"/>
  <c r="F43" i="128"/>
  <c r="E43" i="128"/>
  <c r="D43" i="128"/>
  <c r="C43" i="128"/>
  <c r="B43" i="128"/>
  <c r="E35" i="170" l="1"/>
  <c r="E22" i="170"/>
  <c r="E11" i="170"/>
  <c r="E10" i="170"/>
  <c r="E7" i="170"/>
  <c r="N30" i="146" l="1"/>
  <c r="O30" i="146"/>
  <c r="N31" i="146"/>
  <c r="O31" i="146"/>
  <c r="N32" i="146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O29" i="146"/>
  <c r="N29" i="146"/>
  <c r="O28" i="146"/>
  <c r="N28" i="146"/>
  <c r="M30" i="146"/>
  <c r="M31" i="146"/>
  <c r="M32" i="146"/>
  <c r="M33" i="146"/>
  <c r="M34" i="146"/>
  <c r="M35" i="146"/>
  <c r="M36" i="146"/>
  <c r="M37" i="146"/>
  <c r="M38" i="146"/>
  <c r="M39" i="146"/>
  <c r="M40" i="146"/>
  <c r="M29" i="146"/>
  <c r="F30" i="146"/>
  <c r="F31" i="146"/>
  <c r="F32" i="146"/>
  <c r="F33" i="146"/>
  <c r="F34" i="146"/>
  <c r="F35" i="146"/>
  <c r="F36" i="146"/>
  <c r="F37" i="146"/>
  <c r="F38" i="146"/>
  <c r="F39" i="146"/>
  <c r="F40" i="146"/>
  <c r="F29" i="146"/>
  <c r="E30" i="146"/>
  <c r="E31" i="146"/>
  <c r="E32" i="146"/>
  <c r="E33" i="146"/>
  <c r="E34" i="146"/>
  <c r="E35" i="146"/>
  <c r="E36" i="146"/>
  <c r="E37" i="146"/>
  <c r="E38" i="146"/>
  <c r="E39" i="146"/>
  <c r="E40" i="146"/>
  <c r="E29" i="146"/>
  <c r="D40" i="146"/>
  <c r="D30" i="146"/>
  <c r="D31" i="146"/>
  <c r="D32" i="146"/>
  <c r="D33" i="146"/>
  <c r="D34" i="146"/>
  <c r="D35" i="146"/>
  <c r="D36" i="146"/>
  <c r="D37" i="146"/>
  <c r="D38" i="146"/>
  <c r="D39" i="146"/>
  <c r="D29" i="146"/>
  <c r="O31" i="122"/>
  <c r="N29" i="122"/>
  <c r="O29" i="122"/>
  <c r="N30" i="122"/>
  <c r="O30" i="122"/>
  <c r="N31" i="122"/>
  <c r="N32" i="122"/>
  <c r="O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O28" i="122"/>
  <c r="N28" i="122"/>
  <c r="M29" i="122"/>
  <c r="M30" i="122"/>
  <c r="M31" i="122"/>
  <c r="M32" i="122"/>
  <c r="M33" i="122"/>
  <c r="M34" i="122"/>
  <c r="M35" i="122"/>
  <c r="M36" i="122"/>
  <c r="M37" i="122"/>
  <c r="M38" i="122"/>
  <c r="M39" i="122"/>
  <c r="M28" i="122"/>
  <c r="F29" i="122"/>
  <c r="F30" i="122"/>
  <c r="F31" i="122"/>
  <c r="F32" i="122"/>
  <c r="F33" i="122"/>
  <c r="F34" i="122"/>
  <c r="F35" i="122"/>
  <c r="F36" i="122"/>
  <c r="F37" i="122"/>
  <c r="F38" i="122"/>
  <c r="F39" i="122"/>
  <c r="F28" i="122"/>
  <c r="E29" i="122"/>
  <c r="E30" i="122"/>
  <c r="E31" i="122"/>
  <c r="E32" i="122"/>
  <c r="E33" i="122"/>
  <c r="E34" i="122"/>
  <c r="E35" i="122"/>
  <c r="E36" i="122"/>
  <c r="E37" i="122"/>
  <c r="E38" i="122"/>
  <c r="E39" i="122"/>
  <c r="E28" i="122"/>
  <c r="D38" i="122"/>
  <c r="D39" i="122"/>
  <c r="D29" i="122"/>
  <c r="D30" i="122"/>
  <c r="D31" i="122"/>
  <c r="D32" i="122"/>
  <c r="D33" i="122"/>
  <c r="D34" i="122"/>
  <c r="D35" i="122"/>
  <c r="D36" i="122"/>
  <c r="D37" i="122"/>
  <c r="D28" i="122"/>
  <c r="E23" i="170" l="1"/>
  <c r="E12" i="170"/>
  <c r="E8" i="170"/>
  <c r="E5" i="170"/>
  <c r="E3" i="170"/>
  <c r="A57" i="108" l="1"/>
  <c r="A57" i="109"/>
  <c r="A57" i="110"/>
  <c r="A57" i="111"/>
  <c r="A57" i="112"/>
  <c r="A57" i="113"/>
  <c r="A57" i="107"/>
  <c r="A51" i="108"/>
  <c r="A51" i="109"/>
  <c r="A51" i="110"/>
  <c r="A51" i="111"/>
  <c r="A51" i="112"/>
  <c r="A51" i="113"/>
  <c r="A51" i="107"/>
  <c r="A45" i="108"/>
  <c r="A45" i="109"/>
  <c r="A45" i="110"/>
  <c r="A45" i="111"/>
  <c r="A45" i="112"/>
  <c r="A45" i="113"/>
  <c r="A45" i="107"/>
  <c r="A39" i="108"/>
  <c r="A39" i="109"/>
  <c r="A39" i="110"/>
  <c r="A39" i="111"/>
  <c r="A39" i="112"/>
  <c r="A39" i="113"/>
  <c r="A39" i="107"/>
  <c r="A27" i="108"/>
  <c r="A27" i="109"/>
  <c r="A27" i="110"/>
  <c r="A27" i="111"/>
  <c r="A27" i="112"/>
  <c r="A27" i="113"/>
  <c r="A27" i="107"/>
  <c r="A21" i="108"/>
  <c r="A21" i="109"/>
  <c r="A21" i="110"/>
  <c r="A21" i="111"/>
  <c r="A21" i="112"/>
  <c r="A21" i="113"/>
  <c r="A21" i="107"/>
  <c r="A15" i="108"/>
  <c r="A15" i="109"/>
  <c r="A15" i="110"/>
  <c r="A15" i="111"/>
  <c r="A15" i="112"/>
  <c r="A15" i="113"/>
  <c r="A15" i="107"/>
  <c r="A9" i="108"/>
  <c r="A9" i="109"/>
  <c r="A9" i="110"/>
  <c r="A9" i="111"/>
  <c r="A9" i="112"/>
  <c r="A9" i="113"/>
  <c r="A9" i="107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E34" i="170" l="1"/>
  <c r="D11" i="161"/>
  <c r="E32" i="170"/>
  <c r="E33" i="170"/>
  <c r="E31" i="170"/>
  <c r="C10" i="126"/>
  <c r="D10" i="126"/>
  <c r="B10" i="126"/>
  <c r="C9" i="126"/>
  <c r="D9" i="126"/>
  <c r="B9" i="126"/>
  <c r="C8" i="126"/>
  <c r="D8" i="126"/>
  <c r="B8" i="126"/>
  <c r="C7" i="126"/>
  <c r="D7" i="126"/>
  <c r="B7" i="126"/>
  <c r="A3" i="163"/>
  <c r="A1" i="163" s="1"/>
  <c r="A3" i="162"/>
  <c r="A3" i="161"/>
  <c r="A3" i="126"/>
  <c r="D44" i="168"/>
  <c r="C44" i="168"/>
  <c r="D43" i="168"/>
  <c r="C43" i="168"/>
  <c r="D42" i="168"/>
  <c r="C42" i="168"/>
  <c r="J33" i="168"/>
  <c r="I33" i="168"/>
  <c r="F33" i="168"/>
  <c r="E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J28" i="168"/>
  <c r="I28" i="168"/>
  <c r="F28" i="168"/>
  <c r="E28" i="168"/>
  <c r="D28" i="168"/>
  <c r="A28" i="168"/>
  <c r="A37" i="168" s="1"/>
  <c r="H27" i="168"/>
  <c r="F10" i="162" s="1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K21" i="168"/>
  <c r="H21" i="168"/>
  <c r="G21" i="168"/>
  <c r="A21" i="168"/>
  <c r="B44" i="168" s="1"/>
  <c r="F10" i="161"/>
  <c r="K19" i="168"/>
  <c r="K18" i="168"/>
  <c r="K17" i="168"/>
  <c r="K16" i="168"/>
  <c r="K15" i="168"/>
  <c r="K14" i="168"/>
  <c r="A14" i="168"/>
  <c r="H43" i="168" s="1"/>
  <c r="H13" i="168"/>
  <c r="F10" i="126" s="1"/>
  <c r="H12" i="168"/>
  <c r="G12" i="168"/>
  <c r="H11" i="168"/>
  <c r="G11" i="168"/>
  <c r="H10" i="168"/>
  <c r="G10" i="168"/>
  <c r="H9" i="168"/>
  <c r="G9" i="168"/>
  <c r="H8" i="168"/>
  <c r="G8" i="168"/>
  <c r="H7" i="168"/>
  <c r="G7" i="168"/>
  <c r="A7" i="168"/>
  <c r="B42" i="168" s="1"/>
  <c r="D44" i="167"/>
  <c r="C44" i="167"/>
  <c r="D43" i="167"/>
  <c r="C43" i="167"/>
  <c r="D42" i="167"/>
  <c r="C42" i="167"/>
  <c r="F33" i="167"/>
  <c r="F32" i="167"/>
  <c r="D32" i="167"/>
  <c r="F31" i="167"/>
  <c r="D31" i="167"/>
  <c r="F30" i="167"/>
  <c r="D30" i="167"/>
  <c r="F29" i="167"/>
  <c r="D29" i="167"/>
  <c r="F28" i="167"/>
  <c r="D28" i="167"/>
  <c r="A28" i="167"/>
  <c r="A37" i="167" s="1"/>
  <c r="H27" i="167"/>
  <c r="F8" i="162" s="1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K21" i="167"/>
  <c r="H21" i="167"/>
  <c r="G21" i="167"/>
  <c r="A21" i="167"/>
  <c r="B44" i="167" s="1"/>
  <c r="H20" i="167"/>
  <c r="F8" i="161" s="1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K14" i="167"/>
  <c r="H14" i="167"/>
  <c r="G14" i="167"/>
  <c r="A14" i="167"/>
  <c r="H43" i="167" s="1"/>
  <c r="H13" i="167"/>
  <c r="F8" i="126" s="1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K7" i="167"/>
  <c r="H7" i="167"/>
  <c r="G7" i="167"/>
  <c r="A7" i="167"/>
  <c r="B42" i="167" s="1"/>
  <c r="D44" i="166"/>
  <c r="C44" i="166"/>
  <c r="D43" i="166"/>
  <c r="C43" i="166"/>
  <c r="D42" i="166"/>
  <c r="C42" i="166"/>
  <c r="J33" i="166"/>
  <c r="I33" i="166"/>
  <c r="F33" i="166"/>
  <c r="J32" i="166"/>
  <c r="I32" i="166"/>
  <c r="F32" i="166"/>
  <c r="D32" i="166"/>
  <c r="J31" i="166"/>
  <c r="I31" i="166"/>
  <c r="F31" i="166"/>
  <c r="D31" i="166"/>
  <c r="J30" i="166"/>
  <c r="I30" i="166"/>
  <c r="F30" i="166"/>
  <c r="D30" i="166"/>
  <c r="J29" i="166"/>
  <c r="I29" i="166"/>
  <c r="F29" i="166"/>
  <c r="D29" i="166"/>
  <c r="J28" i="166"/>
  <c r="I28" i="166"/>
  <c r="F28" i="166"/>
  <c r="D28" i="166"/>
  <c r="A28" i="166"/>
  <c r="A37" i="166" s="1"/>
  <c r="H27" i="166"/>
  <c r="F9" i="162" s="1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K21" i="166"/>
  <c r="H21" i="166"/>
  <c r="G21" i="166"/>
  <c r="A21" i="166"/>
  <c r="B44" i="166" s="1"/>
  <c r="H20" i="166"/>
  <c r="F9" i="161" s="1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K14" i="166"/>
  <c r="H14" i="166"/>
  <c r="G14" i="166"/>
  <c r="A14" i="166"/>
  <c r="H43" i="166" s="1"/>
  <c r="H13" i="166"/>
  <c r="F9" i="126" s="1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K7" i="166"/>
  <c r="H7" i="166"/>
  <c r="G7" i="166"/>
  <c r="A7" i="166"/>
  <c r="B42" i="166" s="1"/>
  <c r="D44" i="165"/>
  <c r="C44" i="165"/>
  <c r="D43" i="165"/>
  <c r="C43" i="165"/>
  <c r="D42" i="165"/>
  <c r="C42" i="165"/>
  <c r="J33" i="165"/>
  <c r="I33" i="165"/>
  <c r="F33" i="165"/>
  <c r="J32" i="165"/>
  <c r="I32" i="165"/>
  <c r="F32" i="165"/>
  <c r="D32" i="165"/>
  <c r="J31" i="165"/>
  <c r="I31" i="165"/>
  <c r="F31" i="165"/>
  <c r="D31" i="165"/>
  <c r="J30" i="165"/>
  <c r="I30" i="165"/>
  <c r="F30" i="165"/>
  <c r="D30" i="165"/>
  <c r="J29" i="165"/>
  <c r="I29" i="165"/>
  <c r="F29" i="165"/>
  <c r="D29" i="165"/>
  <c r="J28" i="165"/>
  <c r="I28" i="165"/>
  <c r="F28" i="165"/>
  <c r="D28" i="165"/>
  <c r="A28" i="165"/>
  <c r="A37" i="165" s="1"/>
  <c r="H27" i="165"/>
  <c r="F7" i="162" s="1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K21" i="165"/>
  <c r="H21" i="165"/>
  <c r="G21" i="165"/>
  <c r="A21" i="165"/>
  <c r="B44" i="165" s="1"/>
  <c r="H20" i="165"/>
  <c r="F7" i="161" s="1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K14" i="165"/>
  <c r="H14" i="165"/>
  <c r="G14" i="165"/>
  <c r="A14" i="165"/>
  <c r="B43" i="165" s="1"/>
  <c r="H13" i="165"/>
  <c r="F7" i="126" s="1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K7" i="165"/>
  <c r="H7" i="165"/>
  <c r="G7" i="165"/>
  <c r="A7" i="165"/>
  <c r="B42" i="165" s="1"/>
  <c r="A29" i="116"/>
  <c r="A22" i="116"/>
  <c r="A15" i="116"/>
  <c r="A8" i="116"/>
  <c r="H3" i="145"/>
  <c r="E3" i="145"/>
  <c r="B3" i="145"/>
  <c r="B41" i="145" s="1"/>
  <c r="A34" i="170" l="1"/>
  <c r="B34" i="170"/>
  <c r="A1" i="162"/>
  <c r="E20" i="170" s="1"/>
  <c r="B32" i="170"/>
  <c r="A32" i="170"/>
  <c r="A33" i="170"/>
  <c r="B33" i="170"/>
  <c r="A1" i="161"/>
  <c r="E19" i="170" s="1"/>
  <c r="A1" i="126"/>
  <c r="E18" i="170" s="1"/>
  <c r="A31" i="170"/>
  <c r="B31" i="170"/>
  <c r="C45" i="167"/>
  <c r="E21" i="170"/>
  <c r="H28" i="166"/>
  <c r="H32" i="166"/>
  <c r="H28" i="167"/>
  <c r="H32" i="167"/>
  <c r="H29" i="167"/>
  <c r="C11" i="126"/>
  <c r="E8" i="126" s="1"/>
  <c r="H32" i="165"/>
  <c r="H33" i="165"/>
  <c r="H28" i="168"/>
  <c r="B11" i="126"/>
  <c r="C45" i="166"/>
  <c r="D45" i="167"/>
  <c r="H30" i="166"/>
  <c r="D45" i="166"/>
  <c r="K20" i="168"/>
  <c r="K27" i="168"/>
  <c r="H30" i="168"/>
  <c r="C45" i="168"/>
  <c r="K20" i="165"/>
  <c r="C7" i="163"/>
  <c r="G13" i="166"/>
  <c r="G27" i="166"/>
  <c r="D34" i="166"/>
  <c r="B9" i="163" s="1"/>
  <c r="H29" i="168"/>
  <c r="D41" i="168"/>
  <c r="G37" i="168"/>
  <c r="D34" i="167"/>
  <c r="B8" i="163" s="1"/>
  <c r="I34" i="165"/>
  <c r="K20" i="166"/>
  <c r="K27" i="166"/>
  <c r="H31" i="166"/>
  <c r="H31" i="167"/>
  <c r="G13" i="168"/>
  <c r="G27" i="168"/>
  <c r="D34" i="168"/>
  <c r="B10" i="163" s="1"/>
  <c r="H32" i="168"/>
  <c r="D45" i="168"/>
  <c r="H31" i="165"/>
  <c r="H29" i="166"/>
  <c r="H30" i="167"/>
  <c r="J34" i="168"/>
  <c r="G37" i="165"/>
  <c r="D41" i="166"/>
  <c r="J41" i="165"/>
  <c r="D41" i="167"/>
  <c r="G37" i="166"/>
  <c r="H43" i="165"/>
  <c r="G37" i="167"/>
  <c r="H31" i="168"/>
  <c r="F34" i="168"/>
  <c r="D10" i="163" s="1"/>
  <c r="F34" i="166"/>
  <c r="D9" i="163" s="1"/>
  <c r="G20" i="166"/>
  <c r="J34" i="166"/>
  <c r="K13" i="166"/>
  <c r="K13" i="167"/>
  <c r="K20" i="167"/>
  <c r="K27" i="167"/>
  <c r="G13" i="167"/>
  <c r="G20" i="167"/>
  <c r="G27" i="167"/>
  <c r="F34" i="167"/>
  <c r="D8" i="163" s="1"/>
  <c r="K13" i="165"/>
  <c r="K27" i="165"/>
  <c r="G20" i="165"/>
  <c r="G27" i="165"/>
  <c r="H33" i="168"/>
  <c r="B43" i="168"/>
  <c r="E34" i="168"/>
  <c r="I34" i="168"/>
  <c r="K28" i="168" s="1"/>
  <c r="H42" i="168"/>
  <c r="H44" i="168"/>
  <c r="H33" i="167"/>
  <c r="B43" i="167"/>
  <c r="K32" i="167"/>
  <c r="H42" i="167"/>
  <c r="H44" i="167"/>
  <c r="H33" i="166"/>
  <c r="B43" i="166"/>
  <c r="I34" i="166"/>
  <c r="K31" i="166" s="1"/>
  <c r="H42" i="166"/>
  <c r="H44" i="166"/>
  <c r="H29" i="165"/>
  <c r="D45" i="165"/>
  <c r="H30" i="165"/>
  <c r="J34" i="165"/>
  <c r="G13" i="165"/>
  <c r="F34" i="165"/>
  <c r="C45" i="165"/>
  <c r="D34" i="165"/>
  <c r="H28" i="165"/>
  <c r="H42" i="165"/>
  <c r="H44" i="165"/>
  <c r="B21" i="170" l="1"/>
  <c r="A21" i="170"/>
  <c r="B19" i="170"/>
  <c r="A19" i="170"/>
  <c r="B20" i="170"/>
  <c r="A20" i="170"/>
  <c r="B18" i="170"/>
  <c r="A18" i="170"/>
  <c r="J41" i="166"/>
  <c r="D41" i="165"/>
  <c r="D7" i="163"/>
  <c r="B7" i="163"/>
  <c r="J43" i="165"/>
  <c r="K30" i="165"/>
  <c r="J41" i="168"/>
  <c r="G31" i="165"/>
  <c r="I44" i="165"/>
  <c r="E7" i="126"/>
  <c r="E10" i="126"/>
  <c r="E9" i="126"/>
  <c r="G30" i="165"/>
  <c r="G33" i="165"/>
  <c r="K32" i="165"/>
  <c r="I43" i="165"/>
  <c r="J42" i="165"/>
  <c r="G29" i="165"/>
  <c r="G32" i="165"/>
  <c r="G28" i="165"/>
  <c r="I42" i="165"/>
  <c r="K31" i="165"/>
  <c r="G29" i="166"/>
  <c r="C9" i="163"/>
  <c r="G31" i="167"/>
  <c r="C8" i="163"/>
  <c r="G33" i="168"/>
  <c r="C10" i="163"/>
  <c r="K28" i="165"/>
  <c r="H34" i="165"/>
  <c r="F7" i="163" s="1"/>
  <c r="H33" i="179" s="1"/>
  <c r="K29" i="165"/>
  <c r="J44" i="165"/>
  <c r="K33" i="165"/>
  <c r="J41" i="167"/>
  <c r="G30" i="168"/>
  <c r="K30" i="166"/>
  <c r="K32" i="166"/>
  <c r="G30" i="167"/>
  <c r="I44" i="168"/>
  <c r="I42" i="168"/>
  <c r="I43" i="168"/>
  <c r="H34" i="168"/>
  <c r="F10" i="163" s="1"/>
  <c r="H36" i="179" s="1"/>
  <c r="G32" i="168"/>
  <c r="K32" i="168"/>
  <c r="K29" i="168"/>
  <c r="K30" i="168"/>
  <c r="G31" i="168"/>
  <c r="G28" i="168"/>
  <c r="G29" i="168"/>
  <c r="J44" i="168"/>
  <c r="J42" i="168"/>
  <c r="J43" i="168"/>
  <c r="K33" i="168"/>
  <c r="K31" i="168"/>
  <c r="I44" i="167"/>
  <c r="I42" i="167"/>
  <c r="I43" i="167"/>
  <c r="H34" i="167"/>
  <c r="F8" i="163" s="1"/>
  <c r="H34" i="179" s="1"/>
  <c r="G32" i="167"/>
  <c r="K29" i="167"/>
  <c r="K28" i="167"/>
  <c r="K33" i="167"/>
  <c r="G28" i="167"/>
  <c r="G29" i="167"/>
  <c r="J44" i="167"/>
  <c r="J42" i="167"/>
  <c r="J43" i="167"/>
  <c r="G33" i="167"/>
  <c r="K30" i="167"/>
  <c r="K31" i="167"/>
  <c r="G32" i="166"/>
  <c r="I44" i="166"/>
  <c r="I42" i="166"/>
  <c r="I43" i="166"/>
  <c r="H34" i="166"/>
  <c r="F9" i="163" s="1"/>
  <c r="H35" i="179" s="1"/>
  <c r="G33" i="166"/>
  <c r="G28" i="166"/>
  <c r="K28" i="166"/>
  <c r="G30" i="166"/>
  <c r="J44" i="166"/>
  <c r="J42" i="166"/>
  <c r="J43" i="166"/>
  <c r="K33" i="166"/>
  <c r="G31" i="166"/>
  <c r="K29" i="166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G20" i="107" l="1"/>
  <c r="G14" i="107"/>
  <c r="G26" i="107"/>
  <c r="I45" i="165"/>
  <c r="J45" i="165"/>
  <c r="E11" i="126"/>
  <c r="G34" i="165"/>
  <c r="K34" i="165"/>
  <c r="I45" i="167"/>
  <c r="J45" i="167"/>
  <c r="G34" i="166"/>
  <c r="K34" i="168"/>
  <c r="J45" i="168"/>
  <c r="G34" i="168"/>
  <c r="I45" i="168"/>
  <c r="I45" i="166"/>
  <c r="J45" i="166"/>
  <c r="K34" i="166"/>
  <c r="K34" i="167"/>
  <c r="G34" i="167"/>
  <c r="K55" i="113"/>
  <c r="K54" i="113"/>
  <c r="K53" i="113"/>
  <c r="K52" i="113"/>
  <c r="K51" i="113"/>
  <c r="K49" i="113"/>
  <c r="K48" i="113"/>
  <c r="K47" i="113"/>
  <c r="K46" i="113"/>
  <c r="K45" i="113"/>
  <c r="K43" i="113"/>
  <c r="K42" i="113"/>
  <c r="K41" i="113"/>
  <c r="K40" i="113"/>
  <c r="K39" i="113"/>
  <c r="K55" i="112"/>
  <c r="K54" i="112"/>
  <c r="K53" i="112"/>
  <c r="K52" i="112"/>
  <c r="K51" i="112"/>
  <c r="K49" i="112"/>
  <c r="K48" i="112"/>
  <c r="K47" i="112"/>
  <c r="K46" i="112"/>
  <c r="K45" i="112"/>
  <c r="K43" i="112"/>
  <c r="K42" i="112"/>
  <c r="K41" i="112"/>
  <c r="K40" i="112"/>
  <c r="K39" i="112"/>
  <c r="K55" i="111"/>
  <c r="K54" i="111"/>
  <c r="K53" i="111"/>
  <c r="K52" i="111"/>
  <c r="K51" i="111"/>
  <c r="K49" i="111"/>
  <c r="K48" i="111"/>
  <c r="K47" i="111"/>
  <c r="K46" i="111"/>
  <c r="K45" i="111"/>
  <c r="K43" i="111"/>
  <c r="K42" i="111"/>
  <c r="K41" i="111"/>
  <c r="K40" i="111"/>
  <c r="K39" i="111"/>
  <c r="K55" i="110"/>
  <c r="K54" i="110"/>
  <c r="K53" i="110"/>
  <c r="K52" i="110"/>
  <c r="K51" i="110"/>
  <c r="K49" i="110"/>
  <c r="K48" i="110"/>
  <c r="K47" i="110"/>
  <c r="K46" i="110"/>
  <c r="K45" i="110"/>
  <c r="K43" i="110"/>
  <c r="K42" i="110"/>
  <c r="K41" i="110"/>
  <c r="K40" i="110"/>
  <c r="K39" i="110"/>
  <c r="K55" i="109"/>
  <c r="K54" i="109"/>
  <c r="K53" i="109"/>
  <c r="K52" i="109"/>
  <c r="K51" i="109"/>
  <c r="K49" i="109"/>
  <c r="K48" i="109"/>
  <c r="K47" i="109"/>
  <c r="K46" i="109"/>
  <c r="K45" i="109"/>
  <c r="K43" i="109"/>
  <c r="K42" i="109"/>
  <c r="K41" i="109"/>
  <c r="K40" i="109"/>
  <c r="K39" i="109"/>
  <c r="K55" i="108"/>
  <c r="K54" i="108"/>
  <c r="K53" i="108"/>
  <c r="K52" i="108"/>
  <c r="K51" i="108"/>
  <c r="K49" i="108"/>
  <c r="K48" i="108"/>
  <c r="K47" i="108"/>
  <c r="K46" i="108"/>
  <c r="K45" i="108"/>
  <c r="K43" i="108"/>
  <c r="K42" i="108"/>
  <c r="K41" i="108"/>
  <c r="K40" i="108"/>
  <c r="K39" i="108"/>
  <c r="K25" i="113"/>
  <c r="K24" i="113"/>
  <c r="K23" i="113"/>
  <c r="K22" i="113"/>
  <c r="K21" i="113"/>
  <c r="K19" i="113"/>
  <c r="K18" i="113"/>
  <c r="K17" i="113"/>
  <c r="K16" i="113"/>
  <c r="K15" i="113"/>
  <c r="K13" i="113"/>
  <c r="K12" i="113"/>
  <c r="K11" i="113"/>
  <c r="K10" i="113"/>
  <c r="K9" i="113"/>
  <c r="K25" i="112"/>
  <c r="K24" i="112"/>
  <c r="K23" i="112"/>
  <c r="K22" i="112"/>
  <c r="K21" i="112"/>
  <c r="K19" i="112"/>
  <c r="K18" i="112"/>
  <c r="K17" i="112"/>
  <c r="K16" i="112"/>
  <c r="K15" i="112"/>
  <c r="K13" i="112"/>
  <c r="K12" i="112"/>
  <c r="K11" i="112"/>
  <c r="K10" i="112"/>
  <c r="K9" i="112"/>
  <c r="K25" i="111"/>
  <c r="K24" i="111"/>
  <c r="K23" i="111"/>
  <c r="K22" i="111"/>
  <c r="K21" i="111"/>
  <c r="K19" i="111"/>
  <c r="K18" i="111"/>
  <c r="K17" i="111"/>
  <c r="K16" i="111"/>
  <c r="K15" i="111"/>
  <c r="K13" i="111"/>
  <c r="K12" i="111"/>
  <c r="K11" i="111"/>
  <c r="K10" i="111"/>
  <c r="K9" i="111"/>
  <c r="K25" i="110"/>
  <c r="K24" i="110"/>
  <c r="K23" i="110"/>
  <c r="K22" i="110"/>
  <c r="K21" i="110"/>
  <c r="K19" i="110"/>
  <c r="K18" i="110"/>
  <c r="K17" i="110"/>
  <c r="K16" i="110"/>
  <c r="K15" i="110"/>
  <c r="K13" i="110"/>
  <c r="K12" i="110"/>
  <c r="K11" i="110"/>
  <c r="K10" i="110"/>
  <c r="K9" i="110"/>
  <c r="K25" i="109"/>
  <c r="K24" i="109"/>
  <c r="K23" i="109"/>
  <c r="K22" i="109"/>
  <c r="K21" i="109"/>
  <c r="K19" i="109"/>
  <c r="K18" i="109"/>
  <c r="K17" i="109"/>
  <c r="K16" i="109"/>
  <c r="K15" i="109"/>
  <c r="K13" i="109"/>
  <c r="K12" i="109"/>
  <c r="K11" i="109"/>
  <c r="K10" i="109"/>
  <c r="K9" i="109"/>
  <c r="K25" i="108"/>
  <c r="K24" i="108"/>
  <c r="K23" i="108"/>
  <c r="K22" i="108"/>
  <c r="K21" i="108"/>
  <c r="K19" i="108"/>
  <c r="K18" i="108"/>
  <c r="K17" i="108"/>
  <c r="K16" i="108"/>
  <c r="K15" i="108"/>
  <c r="K13" i="108"/>
  <c r="K12" i="108"/>
  <c r="K11" i="108"/>
  <c r="K10" i="108"/>
  <c r="K9" i="108"/>
  <c r="K14" i="112" l="1"/>
  <c r="K44" i="110"/>
  <c r="K56" i="112"/>
  <c r="K26" i="110"/>
  <c r="K56" i="108"/>
  <c r="K20" i="113"/>
  <c r="K14" i="108"/>
  <c r="K44" i="113"/>
  <c r="K50" i="113"/>
  <c r="K56" i="113"/>
  <c r="K26" i="113"/>
  <c r="K14" i="113"/>
  <c r="K44" i="112"/>
  <c r="K50" i="112"/>
  <c r="K20" i="112"/>
  <c r="K26" i="112"/>
  <c r="K50" i="111"/>
  <c r="K56" i="111"/>
  <c r="K44" i="111"/>
  <c r="K14" i="111"/>
  <c r="K20" i="111"/>
  <c r="K26" i="111"/>
  <c r="K50" i="110"/>
  <c r="K56" i="110"/>
  <c r="K14" i="110"/>
  <c r="K20" i="110"/>
  <c r="K44" i="109"/>
  <c r="K50" i="109"/>
  <c r="K56" i="109"/>
  <c r="K14" i="109"/>
  <c r="K20" i="109"/>
  <c r="K26" i="109"/>
  <c r="K44" i="108"/>
  <c r="K50" i="108"/>
  <c r="K20" i="108"/>
  <c r="K26" i="108"/>
  <c r="F40" i="145" l="1"/>
  <c r="D22" i="140" l="1"/>
  <c r="C22" i="140"/>
  <c r="D22" i="139"/>
  <c r="C22" i="139"/>
  <c r="D22" i="120"/>
  <c r="C22" i="120"/>
  <c r="K17" i="107" l="1"/>
  <c r="I27" i="107"/>
  <c r="J61" i="108"/>
  <c r="I61" i="108"/>
  <c r="J60" i="108"/>
  <c r="I60" i="108"/>
  <c r="J59" i="108"/>
  <c r="I59" i="108"/>
  <c r="J58" i="108"/>
  <c r="I58" i="108"/>
  <c r="J57" i="108"/>
  <c r="I57" i="108"/>
  <c r="J61" i="109"/>
  <c r="I61" i="109"/>
  <c r="J60" i="109"/>
  <c r="I60" i="109"/>
  <c r="J59" i="109"/>
  <c r="I59" i="109"/>
  <c r="J58" i="109"/>
  <c r="I58" i="109"/>
  <c r="J57" i="109"/>
  <c r="I57" i="109"/>
  <c r="J61" i="110"/>
  <c r="I61" i="110"/>
  <c r="J60" i="110"/>
  <c r="I60" i="110"/>
  <c r="J59" i="110"/>
  <c r="I59" i="110"/>
  <c r="J58" i="110"/>
  <c r="I58" i="110"/>
  <c r="J57" i="110"/>
  <c r="I57" i="110"/>
  <c r="J61" i="111"/>
  <c r="I61" i="111"/>
  <c r="J60" i="111"/>
  <c r="I60" i="111"/>
  <c r="J59" i="111"/>
  <c r="I59" i="111"/>
  <c r="J58" i="111"/>
  <c r="I58" i="111"/>
  <c r="J57" i="111"/>
  <c r="I57" i="111"/>
  <c r="J61" i="112"/>
  <c r="I61" i="112"/>
  <c r="J60" i="112"/>
  <c r="I60" i="112"/>
  <c r="J59" i="112"/>
  <c r="I59" i="112"/>
  <c r="J58" i="112"/>
  <c r="I58" i="112"/>
  <c r="J57" i="112"/>
  <c r="I57" i="112"/>
  <c r="J61" i="113"/>
  <c r="I61" i="113"/>
  <c r="J60" i="113"/>
  <c r="I60" i="113"/>
  <c r="J59" i="113"/>
  <c r="I59" i="113"/>
  <c r="J58" i="113"/>
  <c r="I58" i="113"/>
  <c r="J57" i="113"/>
  <c r="I57" i="113"/>
  <c r="J61" i="107"/>
  <c r="I61" i="107"/>
  <c r="J60" i="107"/>
  <c r="I60" i="107"/>
  <c r="J59" i="107"/>
  <c r="I59" i="107"/>
  <c r="J58" i="107"/>
  <c r="I58" i="107"/>
  <c r="J57" i="107"/>
  <c r="I57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2" i="110" l="1"/>
  <c r="K60" i="110" s="1"/>
  <c r="I62" i="108"/>
  <c r="K59" i="108" s="1"/>
  <c r="J32" i="107"/>
  <c r="I32" i="113"/>
  <c r="K31" i="113" s="1"/>
  <c r="J32" i="113"/>
  <c r="I62" i="112"/>
  <c r="K60" i="112" s="1"/>
  <c r="J62" i="111"/>
  <c r="J32" i="111"/>
  <c r="I32" i="111"/>
  <c r="K31" i="111" s="1"/>
  <c r="J62" i="109"/>
  <c r="I32" i="109"/>
  <c r="K28" i="109" s="1"/>
  <c r="J32" i="109"/>
  <c r="I62" i="107"/>
  <c r="I32" i="107"/>
  <c r="J62" i="113"/>
  <c r="I62" i="113"/>
  <c r="K57" i="113" s="1"/>
  <c r="J62" i="112"/>
  <c r="J32" i="112"/>
  <c r="I32" i="112"/>
  <c r="K31" i="112" s="1"/>
  <c r="I62" i="111"/>
  <c r="K57" i="111" s="1"/>
  <c r="J62" i="110"/>
  <c r="J32" i="110"/>
  <c r="I32" i="110"/>
  <c r="K31" i="110" s="1"/>
  <c r="I62" i="109"/>
  <c r="K61" i="109" s="1"/>
  <c r="J62" i="108"/>
  <c r="J32" i="108"/>
  <c r="I32" i="108"/>
  <c r="K30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9" i="112" l="1"/>
  <c r="K61" i="110"/>
  <c r="K57" i="109"/>
  <c r="K31" i="109"/>
  <c r="K58" i="113"/>
  <c r="K61" i="113"/>
  <c r="K29" i="111"/>
  <c r="K27" i="111"/>
  <c r="K28" i="111"/>
  <c r="K58" i="110"/>
  <c r="K30" i="110"/>
  <c r="K29" i="110"/>
  <c r="K59" i="109"/>
  <c r="K60" i="109"/>
  <c r="K30" i="109"/>
  <c r="K27" i="109"/>
  <c r="K31" i="108"/>
  <c r="K28" i="108"/>
  <c r="K59" i="113"/>
  <c r="K60" i="113"/>
  <c r="K29" i="113"/>
  <c r="K27" i="113"/>
  <c r="K30" i="113"/>
  <c r="K28" i="113"/>
  <c r="K61" i="112"/>
  <c r="K58" i="112"/>
  <c r="K59" i="112"/>
  <c r="K57" i="112"/>
  <c r="K30" i="112"/>
  <c r="K27" i="112"/>
  <c r="K28" i="112"/>
  <c r="K61" i="111"/>
  <c r="K58" i="111"/>
  <c r="K59" i="111"/>
  <c r="K60" i="111"/>
  <c r="K30" i="111"/>
  <c r="K59" i="110"/>
  <c r="K57" i="110"/>
  <c r="K28" i="110"/>
  <c r="K27" i="110"/>
  <c r="K58" i="109"/>
  <c r="K29" i="109"/>
  <c r="K60" i="108"/>
  <c r="K58" i="108"/>
  <c r="K57" i="108"/>
  <c r="K61" i="108"/>
  <c r="K29" i="108"/>
  <c r="K27" i="108"/>
  <c r="K9" i="163"/>
  <c r="K10" i="163"/>
  <c r="K7" i="163"/>
  <c r="K8" i="163"/>
  <c r="K11" i="163"/>
  <c r="K62" i="111" l="1"/>
  <c r="K32" i="110"/>
  <c r="K62" i="113"/>
  <c r="K32" i="113"/>
  <c r="K62" i="109"/>
  <c r="K32" i="108"/>
  <c r="K62" i="108"/>
  <c r="K62" i="112"/>
  <c r="K32" i="112"/>
  <c r="K32" i="111"/>
  <c r="K62" i="110"/>
  <c r="K32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19" i="116"/>
  <c r="K18" i="116"/>
  <c r="K17" i="116"/>
  <c r="K23" i="116"/>
  <c r="K24" i="116"/>
  <c r="K25" i="116"/>
  <c r="K26" i="116"/>
  <c r="K27" i="116"/>
  <c r="K22" i="116"/>
  <c r="K16" i="116"/>
  <c r="K20" i="116"/>
  <c r="K15" i="116"/>
  <c r="K9" i="116"/>
  <c r="K10" i="116"/>
  <c r="K11" i="116"/>
  <c r="K12" i="116"/>
  <c r="K13" i="116"/>
  <c r="K8" i="116"/>
  <c r="J34" i="116"/>
  <c r="I34" i="116"/>
  <c r="J33" i="116"/>
  <c r="I33" i="116"/>
  <c r="J32" i="116"/>
  <c r="I32" i="116"/>
  <c r="J31" i="116"/>
  <c r="I31" i="116"/>
  <c r="J30" i="116"/>
  <c r="I30" i="116"/>
  <c r="J29" i="116"/>
  <c r="I29" i="116"/>
  <c r="E11" i="161" l="1"/>
  <c r="E11" i="162"/>
  <c r="K14" i="116"/>
  <c r="K21" i="116"/>
  <c r="J35" i="116"/>
  <c r="D11" i="126"/>
  <c r="I35" i="116"/>
  <c r="K28" i="116"/>
  <c r="K33" i="116" l="1"/>
  <c r="K32" i="116"/>
  <c r="K29" i="116"/>
  <c r="K30" i="116"/>
  <c r="K31" i="116"/>
  <c r="K34" i="116"/>
  <c r="K35" i="116" l="1"/>
  <c r="H55" i="113" l="1"/>
  <c r="H49" i="113"/>
  <c r="H43" i="113"/>
  <c r="H25" i="113"/>
  <c r="H19" i="113"/>
  <c r="H13" i="113"/>
  <c r="H55" i="112"/>
  <c r="H49" i="112"/>
  <c r="H43" i="112"/>
  <c r="H25" i="112"/>
  <c r="H19" i="112"/>
  <c r="H13" i="112"/>
  <c r="H55" i="111"/>
  <c r="H49" i="111"/>
  <c r="H43" i="111"/>
  <c r="H25" i="111"/>
  <c r="H19" i="111"/>
  <c r="H13" i="111"/>
  <c r="H55" i="110"/>
  <c r="H49" i="110"/>
  <c r="H43" i="110"/>
  <c r="H25" i="110"/>
  <c r="H19" i="110"/>
  <c r="H13" i="110"/>
  <c r="H55" i="109"/>
  <c r="H49" i="109"/>
  <c r="H43" i="109"/>
  <c r="H25" i="109"/>
  <c r="H19" i="109"/>
  <c r="H13" i="109"/>
  <c r="H55" i="108"/>
  <c r="H49" i="108"/>
  <c r="H43" i="108"/>
  <c r="H25" i="108"/>
  <c r="H19" i="108"/>
  <c r="H13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6" i="116"/>
  <c r="H19" i="116"/>
  <c r="H12" i="116"/>
  <c r="S21" i="122" l="1"/>
  <c r="C19" i="122" l="1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3" i="116"/>
  <c r="T27" i="147"/>
  <c r="S27" i="147"/>
  <c r="M27" i="147"/>
  <c r="L27" i="147"/>
  <c r="K27" i="147"/>
  <c r="F27" i="147"/>
  <c r="E31" i="107" l="1"/>
  <c r="H31" i="107" s="1"/>
  <c r="E33" i="116" l="1"/>
  <c r="F33" i="116"/>
  <c r="E32" i="116"/>
  <c r="D33" i="116"/>
  <c r="H33" i="116" l="1"/>
  <c r="F38" i="145"/>
  <c r="E38" i="145"/>
  <c r="G38" i="145" s="1"/>
  <c r="F61" i="113" l="1"/>
  <c r="E61" i="113"/>
  <c r="H61" i="113" s="1"/>
  <c r="D61" i="113"/>
  <c r="F60" i="113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D57" i="113"/>
  <c r="G55" i="113"/>
  <c r="H54" i="113"/>
  <c r="G54" i="113"/>
  <c r="H53" i="113"/>
  <c r="G53" i="113"/>
  <c r="H52" i="113"/>
  <c r="G52" i="113"/>
  <c r="H51" i="113"/>
  <c r="G51" i="113"/>
  <c r="H50" i="113"/>
  <c r="G49" i="113"/>
  <c r="H48" i="113"/>
  <c r="G48" i="113"/>
  <c r="H47" i="113"/>
  <c r="G47" i="113"/>
  <c r="H46" i="113"/>
  <c r="G46" i="113"/>
  <c r="H45" i="113"/>
  <c r="G45" i="113"/>
  <c r="H44" i="113"/>
  <c r="G43" i="113"/>
  <c r="H42" i="113"/>
  <c r="G42" i="113"/>
  <c r="H41" i="113"/>
  <c r="G41" i="113"/>
  <c r="H40" i="113"/>
  <c r="G40" i="113"/>
  <c r="H39" i="113"/>
  <c r="G39" i="113"/>
  <c r="F61" i="112"/>
  <c r="E61" i="112"/>
  <c r="H61" i="112" s="1"/>
  <c r="D61" i="112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D57" i="112"/>
  <c r="H56" i="112"/>
  <c r="G55" i="112"/>
  <c r="H54" i="112"/>
  <c r="G54" i="112"/>
  <c r="H53" i="112"/>
  <c r="G53" i="112"/>
  <c r="H52" i="112"/>
  <c r="G52" i="112"/>
  <c r="H51" i="112"/>
  <c r="G51" i="112"/>
  <c r="H50" i="112"/>
  <c r="G49" i="112"/>
  <c r="H48" i="112"/>
  <c r="G48" i="112"/>
  <c r="H47" i="112"/>
  <c r="G47" i="112"/>
  <c r="H46" i="112"/>
  <c r="G46" i="112"/>
  <c r="H45" i="112"/>
  <c r="G45" i="112"/>
  <c r="H44" i="112"/>
  <c r="G43" i="112"/>
  <c r="H42" i="112"/>
  <c r="G42" i="112"/>
  <c r="H41" i="112"/>
  <c r="G41" i="112"/>
  <c r="H40" i="112"/>
  <c r="G40" i="112"/>
  <c r="H39" i="112"/>
  <c r="G39" i="112"/>
  <c r="F61" i="111"/>
  <c r="E61" i="111"/>
  <c r="H61" i="111" s="1"/>
  <c r="D61" i="111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D57" i="111"/>
  <c r="H56" i="111"/>
  <c r="G55" i="111"/>
  <c r="H54" i="111"/>
  <c r="G54" i="111"/>
  <c r="H53" i="111"/>
  <c r="G53" i="111"/>
  <c r="H52" i="111"/>
  <c r="G52" i="111"/>
  <c r="H51" i="111"/>
  <c r="G51" i="111"/>
  <c r="H50" i="111"/>
  <c r="G49" i="111"/>
  <c r="H48" i="111"/>
  <c r="G48" i="111"/>
  <c r="H47" i="111"/>
  <c r="G47" i="111"/>
  <c r="H46" i="111"/>
  <c r="G46" i="111"/>
  <c r="H45" i="111"/>
  <c r="G45" i="111"/>
  <c r="H44" i="111"/>
  <c r="G43" i="111"/>
  <c r="H42" i="111"/>
  <c r="G42" i="111"/>
  <c r="H41" i="111"/>
  <c r="G41" i="111"/>
  <c r="H40" i="111"/>
  <c r="G40" i="111"/>
  <c r="H39" i="111"/>
  <c r="G39" i="111"/>
  <c r="F61" i="110"/>
  <c r="E61" i="110"/>
  <c r="H61" i="110" s="1"/>
  <c r="D61" i="110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D57" i="110"/>
  <c r="H56" i="110"/>
  <c r="G55" i="110"/>
  <c r="H54" i="110"/>
  <c r="G54" i="110"/>
  <c r="H53" i="110"/>
  <c r="G53" i="110"/>
  <c r="H52" i="110"/>
  <c r="G52" i="110"/>
  <c r="H51" i="110"/>
  <c r="G51" i="110"/>
  <c r="H50" i="110"/>
  <c r="G49" i="110"/>
  <c r="H48" i="110"/>
  <c r="G48" i="110"/>
  <c r="H47" i="110"/>
  <c r="G47" i="110"/>
  <c r="H46" i="110"/>
  <c r="G46" i="110"/>
  <c r="H45" i="110"/>
  <c r="G45" i="110"/>
  <c r="H44" i="110"/>
  <c r="G43" i="110"/>
  <c r="H42" i="110"/>
  <c r="G42" i="110"/>
  <c r="H41" i="110"/>
  <c r="G41" i="110"/>
  <c r="H40" i="110"/>
  <c r="G40" i="110"/>
  <c r="H39" i="110"/>
  <c r="G39" i="110"/>
  <c r="F61" i="109"/>
  <c r="E61" i="109"/>
  <c r="H61" i="109" s="1"/>
  <c r="D61" i="109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D57" i="109"/>
  <c r="H56" i="109"/>
  <c r="G55" i="109"/>
  <c r="H54" i="109"/>
  <c r="G54" i="109"/>
  <c r="H53" i="109"/>
  <c r="G53" i="109"/>
  <c r="H52" i="109"/>
  <c r="G52" i="109"/>
  <c r="H51" i="109"/>
  <c r="G51" i="109"/>
  <c r="H50" i="109"/>
  <c r="G49" i="109"/>
  <c r="H48" i="109"/>
  <c r="G48" i="109"/>
  <c r="H47" i="109"/>
  <c r="G47" i="109"/>
  <c r="H46" i="109"/>
  <c r="G46" i="109"/>
  <c r="H45" i="109"/>
  <c r="G45" i="109"/>
  <c r="H44" i="109"/>
  <c r="G43" i="109"/>
  <c r="H42" i="109"/>
  <c r="G42" i="109"/>
  <c r="H41" i="109"/>
  <c r="G41" i="109"/>
  <c r="H40" i="109"/>
  <c r="G40" i="109"/>
  <c r="H39" i="109"/>
  <c r="G39" i="109"/>
  <c r="G41" i="108"/>
  <c r="F61" i="108"/>
  <c r="E61" i="108"/>
  <c r="H61" i="108" s="1"/>
  <c r="D61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H56" i="108"/>
  <c r="G55" i="108"/>
  <c r="H54" i="108"/>
  <c r="G54" i="108"/>
  <c r="H53" i="108"/>
  <c r="G53" i="108"/>
  <c r="H52" i="108"/>
  <c r="G52" i="108"/>
  <c r="H51" i="108"/>
  <c r="G51" i="108"/>
  <c r="H50" i="108"/>
  <c r="G49" i="108"/>
  <c r="H48" i="108"/>
  <c r="G48" i="108"/>
  <c r="H47" i="108"/>
  <c r="G47" i="108"/>
  <c r="H46" i="108"/>
  <c r="G46" i="108"/>
  <c r="H45" i="108"/>
  <c r="G45" i="108"/>
  <c r="H44" i="108"/>
  <c r="G43" i="108"/>
  <c r="H42" i="108"/>
  <c r="G42" i="108"/>
  <c r="H41" i="108"/>
  <c r="H40" i="108"/>
  <c r="G40" i="108"/>
  <c r="H39" i="108"/>
  <c r="G39" i="108"/>
  <c r="F31" i="113"/>
  <c r="E31" i="113"/>
  <c r="H31" i="113" s="1"/>
  <c r="D31" i="113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D27" i="113"/>
  <c r="H26" i="113"/>
  <c r="G25" i="113"/>
  <c r="H24" i="113"/>
  <c r="G24" i="113"/>
  <c r="H23" i="113"/>
  <c r="G23" i="113"/>
  <c r="H22" i="113"/>
  <c r="G22" i="113"/>
  <c r="H21" i="113"/>
  <c r="G21" i="113"/>
  <c r="H20" i="113"/>
  <c r="G19" i="113"/>
  <c r="H18" i="113"/>
  <c r="G18" i="113"/>
  <c r="H17" i="113"/>
  <c r="G17" i="113"/>
  <c r="H16" i="113"/>
  <c r="G16" i="113"/>
  <c r="H15" i="113"/>
  <c r="G15" i="113"/>
  <c r="H14" i="113"/>
  <c r="G13" i="113"/>
  <c r="H12" i="113"/>
  <c r="G12" i="113"/>
  <c r="H11" i="113"/>
  <c r="G11" i="113"/>
  <c r="H10" i="113"/>
  <c r="G10" i="113"/>
  <c r="H9" i="113"/>
  <c r="G9" i="113"/>
  <c r="F31" i="112"/>
  <c r="E31" i="112"/>
  <c r="H31" i="112" s="1"/>
  <c r="D31" i="112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D27" i="112"/>
  <c r="H26" i="112"/>
  <c r="G25" i="112"/>
  <c r="H24" i="112"/>
  <c r="G24" i="112"/>
  <c r="H23" i="112"/>
  <c r="G23" i="112"/>
  <c r="H22" i="112"/>
  <c r="G22" i="112"/>
  <c r="H21" i="112"/>
  <c r="G21" i="112"/>
  <c r="H20" i="112"/>
  <c r="G19" i="112"/>
  <c r="H18" i="112"/>
  <c r="G18" i="112"/>
  <c r="H17" i="112"/>
  <c r="G17" i="112"/>
  <c r="H16" i="112"/>
  <c r="G16" i="112"/>
  <c r="H15" i="112"/>
  <c r="G15" i="112"/>
  <c r="H14" i="112"/>
  <c r="G13" i="112"/>
  <c r="H12" i="112"/>
  <c r="G12" i="112"/>
  <c r="H11" i="112"/>
  <c r="G11" i="112"/>
  <c r="H10" i="112"/>
  <c r="G10" i="112"/>
  <c r="H9" i="112"/>
  <c r="G9" i="112"/>
  <c r="F31" i="111"/>
  <c r="E31" i="111"/>
  <c r="H31" i="111" s="1"/>
  <c r="D31" i="111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D27" i="111"/>
  <c r="H26" i="111"/>
  <c r="G25" i="111"/>
  <c r="H24" i="111"/>
  <c r="G24" i="111"/>
  <c r="H23" i="111"/>
  <c r="G23" i="111"/>
  <c r="H22" i="111"/>
  <c r="G22" i="111"/>
  <c r="H21" i="111"/>
  <c r="G21" i="111"/>
  <c r="H20" i="111"/>
  <c r="G19" i="111"/>
  <c r="H18" i="111"/>
  <c r="G18" i="111"/>
  <c r="H17" i="111"/>
  <c r="G17" i="111"/>
  <c r="H16" i="111"/>
  <c r="G16" i="111"/>
  <c r="H15" i="111"/>
  <c r="G15" i="111"/>
  <c r="H14" i="111"/>
  <c r="G13" i="111"/>
  <c r="H12" i="111"/>
  <c r="G12" i="111"/>
  <c r="H11" i="111"/>
  <c r="G11" i="111"/>
  <c r="H10" i="111"/>
  <c r="G10" i="111"/>
  <c r="H9" i="111"/>
  <c r="G9" i="111"/>
  <c r="F31" i="110"/>
  <c r="E31" i="110"/>
  <c r="H31" i="110" s="1"/>
  <c r="D31" i="110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D27" i="110"/>
  <c r="H26" i="110"/>
  <c r="G25" i="110"/>
  <c r="H24" i="110"/>
  <c r="G24" i="110"/>
  <c r="H23" i="110"/>
  <c r="G23" i="110"/>
  <c r="H22" i="110"/>
  <c r="G22" i="110"/>
  <c r="H21" i="110"/>
  <c r="G21" i="110"/>
  <c r="H20" i="110"/>
  <c r="G19" i="110"/>
  <c r="H18" i="110"/>
  <c r="G18" i="110"/>
  <c r="H17" i="110"/>
  <c r="G17" i="110"/>
  <c r="H16" i="110"/>
  <c r="G16" i="110"/>
  <c r="H15" i="110"/>
  <c r="G15" i="110"/>
  <c r="H14" i="110"/>
  <c r="G13" i="110"/>
  <c r="H12" i="110"/>
  <c r="G12" i="110"/>
  <c r="H11" i="110"/>
  <c r="G11" i="110"/>
  <c r="H10" i="110"/>
  <c r="G10" i="110"/>
  <c r="H9" i="110"/>
  <c r="G9" i="110"/>
  <c r="F31" i="109"/>
  <c r="E31" i="109"/>
  <c r="H31" i="109" s="1"/>
  <c r="D31" i="109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D27" i="109"/>
  <c r="H26" i="109"/>
  <c r="G25" i="109"/>
  <c r="H24" i="109"/>
  <c r="G24" i="109"/>
  <c r="H23" i="109"/>
  <c r="G23" i="109"/>
  <c r="H22" i="109"/>
  <c r="G22" i="109"/>
  <c r="H21" i="109"/>
  <c r="G21" i="109"/>
  <c r="H20" i="109"/>
  <c r="G19" i="109"/>
  <c r="H18" i="109"/>
  <c r="G18" i="109"/>
  <c r="H17" i="109"/>
  <c r="G17" i="109"/>
  <c r="H16" i="109"/>
  <c r="G16" i="109"/>
  <c r="H15" i="109"/>
  <c r="G15" i="109"/>
  <c r="H14" i="109"/>
  <c r="G13" i="109"/>
  <c r="H12" i="109"/>
  <c r="G12" i="109"/>
  <c r="H11" i="109"/>
  <c r="G11" i="109"/>
  <c r="H10" i="109"/>
  <c r="G10" i="109"/>
  <c r="H9" i="109"/>
  <c r="G9" i="109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2" i="109" l="1"/>
  <c r="G44" i="107"/>
  <c r="K44" i="107"/>
  <c r="K50" i="107"/>
  <c r="K56" i="107"/>
  <c r="K62" i="107"/>
  <c r="G44" i="112"/>
  <c r="G56" i="112"/>
  <c r="G50" i="111"/>
  <c r="G44" i="109"/>
  <c r="G56" i="109"/>
  <c r="G14" i="109"/>
  <c r="G26" i="109"/>
  <c r="G56" i="108"/>
  <c r="G20" i="113"/>
  <c r="G20" i="111"/>
  <c r="G44" i="113"/>
  <c r="G56" i="113"/>
  <c r="G50" i="113"/>
  <c r="G14" i="113"/>
  <c r="G26" i="113"/>
  <c r="G50" i="112"/>
  <c r="G26" i="112"/>
  <c r="G14" i="112"/>
  <c r="G20" i="112"/>
  <c r="G44" i="111"/>
  <c r="G56" i="111"/>
  <c r="G14" i="111"/>
  <c r="G26" i="111"/>
  <c r="G44" i="110"/>
  <c r="G56" i="110"/>
  <c r="G50" i="110"/>
  <c r="G14" i="110"/>
  <c r="G26" i="110"/>
  <c r="G20" i="110"/>
  <c r="G50" i="109"/>
  <c r="G20" i="109"/>
  <c r="G44" i="108"/>
  <c r="G50" i="108"/>
  <c r="G50" i="107"/>
  <c r="G56" i="107"/>
  <c r="E62" i="113"/>
  <c r="G57" i="113" s="1"/>
  <c r="E32" i="113"/>
  <c r="H32" i="113" s="1"/>
  <c r="D62" i="113"/>
  <c r="E62" i="112"/>
  <c r="G60" i="112" s="1"/>
  <c r="E32" i="112"/>
  <c r="G28" i="112" s="1"/>
  <c r="D62" i="111"/>
  <c r="F62" i="111"/>
  <c r="D32" i="111"/>
  <c r="F62" i="110"/>
  <c r="D62" i="110"/>
  <c r="D32" i="110"/>
  <c r="F32" i="110"/>
  <c r="F32" i="109"/>
  <c r="D32" i="109"/>
  <c r="F62" i="108"/>
  <c r="F62" i="113"/>
  <c r="F32" i="113"/>
  <c r="D32" i="113"/>
  <c r="H57" i="112"/>
  <c r="D62" i="112"/>
  <c r="F62" i="112"/>
  <c r="D32" i="112"/>
  <c r="F32" i="112"/>
  <c r="H27" i="112"/>
  <c r="E62" i="111"/>
  <c r="H62" i="111" s="1"/>
  <c r="F32" i="111"/>
  <c r="E32" i="111"/>
  <c r="G30" i="111" s="1"/>
  <c r="E62" i="110"/>
  <c r="H62" i="110" s="1"/>
  <c r="E32" i="110"/>
  <c r="G30" i="110" s="1"/>
  <c r="D62" i="109"/>
  <c r="E62" i="109"/>
  <c r="G59" i="109" s="1"/>
  <c r="E32" i="109"/>
  <c r="H32" i="109" s="1"/>
  <c r="D62" i="108"/>
  <c r="E62" i="108"/>
  <c r="H62" i="108" s="1"/>
  <c r="H57" i="113"/>
  <c r="H57" i="111"/>
  <c r="H57" i="110"/>
  <c r="H57" i="109"/>
  <c r="H27" i="113"/>
  <c r="H27" i="111"/>
  <c r="H27" i="110"/>
  <c r="H27" i="109"/>
  <c r="G57" i="112" l="1"/>
  <c r="G58" i="112"/>
  <c r="G60" i="113"/>
  <c r="G59" i="112"/>
  <c r="G61" i="112"/>
  <c r="H62" i="112"/>
  <c r="G59" i="113"/>
  <c r="G61" i="113"/>
  <c r="G58" i="108"/>
  <c r="G59" i="111"/>
  <c r="G27" i="113"/>
  <c r="G30" i="113"/>
  <c r="G30" i="112"/>
  <c r="G57" i="110"/>
  <c r="G31" i="113"/>
  <c r="G58" i="109"/>
  <c r="G61" i="109"/>
  <c r="G29" i="109"/>
  <c r="G28" i="109"/>
  <c r="G30" i="109"/>
  <c r="G31" i="109"/>
  <c r="G57" i="108"/>
  <c r="G59" i="108"/>
  <c r="G60" i="108"/>
  <c r="G61" i="108"/>
  <c r="G58" i="113"/>
  <c r="H62" i="113"/>
  <c r="G29" i="113"/>
  <c r="G28" i="113"/>
  <c r="G29" i="112"/>
  <c r="G31" i="112"/>
  <c r="G60" i="109"/>
  <c r="G57" i="109"/>
  <c r="H62" i="109"/>
  <c r="G27" i="109"/>
  <c r="H32" i="112"/>
  <c r="G27" i="112"/>
  <c r="G57" i="111"/>
  <c r="G31" i="111"/>
  <c r="H32" i="111"/>
  <c r="G59" i="110"/>
  <c r="G31" i="110"/>
  <c r="H32" i="110"/>
  <c r="G60" i="111"/>
  <c r="G61" i="111"/>
  <c r="G58" i="111"/>
  <c r="G29" i="111"/>
  <c r="G28" i="111"/>
  <c r="G27" i="111"/>
  <c r="G60" i="110"/>
  <c r="G61" i="110"/>
  <c r="G58" i="110"/>
  <c r="G29" i="110"/>
  <c r="G28" i="110"/>
  <c r="G27" i="110"/>
  <c r="G62" i="112" l="1"/>
  <c r="G62" i="113"/>
  <c r="G62" i="109"/>
  <c r="G62" i="108"/>
  <c r="G32" i="113"/>
  <c r="G62" i="110"/>
  <c r="G32" i="110"/>
  <c r="G32" i="109"/>
  <c r="G32" i="112"/>
  <c r="G62" i="111"/>
  <c r="G32" i="111"/>
  <c r="N18" i="147" l="1"/>
  <c r="G21" i="147"/>
  <c r="G18" i="147"/>
  <c r="S18" i="147"/>
  <c r="T28" i="147" s="1"/>
  <c r="S19" i="147"/>
  <c r="T29" i="147" s="1"/>
  <c r="S20" i="147"/>
  <c r="T30" i="147" s="1"/>
  <c r="S21" i="147"/>
  <c r="T31" i="147" s="1"/>
  <c r="S22" i="147"/>
  <c r="S23" i="147"/>
  <c r="S24" i="147"/>
  <c r="L18" i="147"/>
  <c r="M28" i="147" s="1"/>
  <c r="L19" i="147"/>
  <c r="M29" i="147" s="1"/>
  <c r="L20" i="147"/>
  <c r="M30" i="147" s="1"/>
  <c r="L21" i="147"/>
  <c r="M31" i="147" s="1"/>
  <c r="L22" i="147"/>
  <c r="L23" i="147"/>
  <c r="L24" i="147"/>
  <c r="F18" i="147"/>
  <c r="F28" i="147" s="1"/>
  <c r="F19" i="147"/>
  <c r="F20" i="147"/>
  <c r="F21" i="147"/>
  <c r="F22" i="147"/>
  <c r="F23" i="147"/>
  <c r="F24" i="147"/>
  <c r="F31" i="108"/>
  <c r="E31" i="108"/>
  <c r="H31" i="108" s="1"/>
  <c r="D31" i="108"/>
  <c r="F30" i="108"/>
  <c r="E30" i="108"/>
  <c r="H30" i="108" s="1"/>
  <c r="D30" i="108"/>
  <c r="F29" i="108"/>
  <c r="E29" i="108"/>
  <c r="H29" i="108" s="1"/>
  <c r="D29" i="108"/>
  <c r="F28" i="108"/>
  <c r="E28" i="108"/>
  <c r="D28" i="108"/>
  <c r="F27" i="108"/>
  <c r="E27" i="108"/>
  <c r="H27" i="108" s="1"/>
  <c r="D27" i="108"/>
  <c r="H26" i="108"/>
  <c r="H24" i="108"/>
  <c r="H23" i="108"/>
  <c r="H22" i="108"/>
  <c r="H21" i="108"/>
  <c r="H20" i="108"/>
  <c r="H18" i="108"/>
  <c r="H17" i="108"/>
  <c r="H16" i="108"/>
  <c r="H15" i="108"/>
  <c r="H14" i="108"/>
  <c r="H12" i="108"/>
  <c r="H11" i="108"/>
  <c r="H10" i="108"/>
  <c r="H9" i="108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3" i="116"/>
  <c r="G12" i="116"/>
  <c r="G11" i="116"/>
  <c r="G10" i="116"/>
  <c r="G9" i="116"/>
  <c r="G8" i="116"/>
  <c r="F32" i="108" l="1"/>
  <c r="G14" i="116"/>
  <c r="E32" i="108"/>
  <c r="H32" i="108" s="1"/>
  <c r="D62" i="107"/>
  <c r="F62" i="107"/>
  <c r="H28" i="108"/>
  <c r="D32" i="108"/>
  <c r="E62" i="107"/>
  <c r="G59" i="107" s="1"/>
  <c r="G29" i="108" l="1"/>
  <c r="G31" i="108"/>
  <c r="G28" i="108"/>
  <c r="G27" i="108"/>
  <c r="G30" i="108"/>
  <c r="G60" i="107"/>
  <c r="H62" i="107"/>
  <c r="G57" i="107"/>
  <c r="G61" i="107"/>
  <c r="G58" i="107"/>
  <c r="G32" i="108" l="1"/>
  <c r="G62" i="107"/>
  <c r="H39" i="145"/>
  <c r="H40" i="145"/>
  <c r="B39" i="145"/>
  <c r="I20" i="122" l="1"/>
  <c r="B20" i="122"/>
  <c r="C27" i="147" l="1"/>
  <c r="D27" i="147"/>
  <c r="E27" i="147"/>
  <c r="B27" i="147"/>
  <c r="R18" i="128" l="1"/>
  <c r="P20" i="128"/>
  <c r="R20" i="128"/>
  <c r="B18" i="128"/>
  <c r="C18" i="128"/>
  <c r="D18" i="128"/>
  <c r="E18" i="128"/>
  <c r="F18" i="128"/>
  <c r="G18" i="128"/>
  <c r="H18" i="128"/>
  <c r="I18" i="128"/>
  <c r="J18" i="128"/>
  <c r="K18" i="128"/>
  <c r="L18" i="128"/>
  <c r="M18" i="128"/>
  <c r="N18" i="128"/>
  <c r="O18" i="128"/>
  <c r="P18" i="128"/>
  <c r="Q18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R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19" i="147"/>
  <c r="C19" i="147"/>
  <c r="D19" i="147"/>
  <c r="E19" i="147"/>
  <c r="G19" i="147"/>
  <c r="H19" i="147"/>
  <c r="I29" i="147" s="1"/>
  <c r="J29" i="147"/>
  <c r="J19" i="147"/>
  <c r="K29" i="147" s="1"/>
  <c r="K19" i="147"/>
  <c r="L29" i="147" s="1"/>
  <c r="M19" i="147"/>
  <c r="N19" i="147"/>
  <c r="O19" i="147"/>
  <c r="P29" i="147" s="1"/>
  <c r="P19" i="147"/>
  <c r="Q29" i="147" s="1"/>
  <c r="Q19" i="147"/>
  <c r="R29" i="147" s="1"/>
  <c r="R19" i="147"/>
  <c r="S29" i="147" s="1"/>
  <c r="T19" i="147"/>
  <c r="U19" i="147"/>
  <c r="B20" i="147"/>
  <c r="C20" i="147"/>
  <c r="D20" i="147"/>
  <c r="E20" i="147"/>
  <c r="G20" i="147"/>
  <c r="H20" i="147"/>
  <c r="I30" i="147" s="1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22" i="147"/>
  <c r="J22" i="147"/>
  <c r="K22" i="147"/>
  <c r="M22" i="147"/>
  <c r="N22" i="147"/>
  <c r="O22" i="147"/>
  <c r="P22" i="147"/>
  <c r="Q22" i="147"/>
  <c r="R22" i="147"/>
  <c r="T22" i="147"/>
  <c r="U22" i="147"/>
  <c r="C23" i="147"/>
  <c r="D23" i="147"/>
  <c r="E23" i="147"/>
  <c r="G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R22" i="128" l="1"/>
  <c r="H37" i="145"/>
  <c r="J37" i="145"/>
  <c r="D37" i="145"/>
  <c r="F20" i="140" l="1"/>
  <c r="F20" i="139"/>
  <c r="F20" i="120"/>
  <c r="F18" i="140"/>
  <c r="F18" i="139"/>
  <c r="F18" i="120"/>
  <c r="F16" i="140"/>
  <c r="F16" i="139"/>
  <c r="F16" i="120"/>
  <c r="F14" i="140"/>
  <c r="F14" i="139"/>
  <c r="F14" i="120"/>
  <c r="F12" i="140"/>
  <c r="F12" i="139"/>
  <c r="F12" i="120"/>
  <c r="F10" i="140"/>
  <c r="F10" i="120"/>
  <c r="F18" i="141" l="1"/>
  <c r="F10" i="141"/>
  <c r="F10" i="139"/>
  <c r="F16" i="141" l="1"/>
  <c r="F20" i="141"/>
  <c r="F12" i="141"/>
  <c r="F14" i="141"/>
  <c r="G16" i="116" l="1"/>
  <c r="G17" i="116"/>
  <c r="G18" i="116"/>
  <c r="G19" i="116"/>
  <c r="G20" i="116"/>
  <c r="G15" i="116"/>
  <c r="G21" i="116" l="1"/>
  <c r="C18" i="147" l="1"/>
  <c r="C28" i="147" s="1"/>
  <c r="D18" i="147"/>
  <c r="D28" i="147" s="1"/>
  <c r="E18" i="147"/>
  <c r="E28" i="147" s="1"/>
  <c r="B18" i="147"/>
  <c r="B28" i="147" s="1"/>
  <c r="G8" i="141" l="1"/>
  <c r="H8" i="141"/>
  <c r="I8" i="141"/>
  <c r="J8" i="141"/>
  <c r="G9" i="14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7" i="141"/>
  <c r="J7" i="141"/>
  <c r="I7" i="141"/>
  <c r="H7" i="141"/>
  <c r="K18" i="141" l="1"/>
  <c r="K16" i="141"/>
  <c r="K8" i="141"/>
  <c r="K13" i="141"/>
  <c r="K11" i="141"/>
  <c r="K23" i="141"/>
  <c r="K21" i="141"/>
  <c r="K19" i="141"/>
  <c r="K17" i="141"/>
  <c r="K14" i="141"/>
  <c r="K22" i="141"/>
  <c r="K15" i="141"/>
  <c r="K12" i="141"/>
  <c r="K10" i="141"/>
  <c r="K9" i="141"/>
  <c r="K20" i="141"/>
  <c r="K7" i="141"/>
  <c r="C10" i="141" l="1"/>
  <c r="D10" i="141"/>
  <c r="C12" i="141"/>
  <c r="D12" i="141"/>
  <c r="C14" i="141"/>
  <c r="D14" i="141"/>
  <c r="C16" i="141"/>
  <c r="D16" i="141"/>
  <c r="C18" i="141"/>
  <c r="D18" i="141"/>
  <c r="C20" i="141"/>
  <c r="D20" i="141"/>
  <c r="C7" i="140"/>
  <c r="D7" i="140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B7" i="140"/>
  <c r="C7" i="139"/>
  <c r="D7" i="139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B7" i="139"/>
  <c r="C7" i="120"/>
  <c r="D7" i="120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7" i="120"/>
  <c r="B21" i="120" l="1"/>
  <c r="D21" i="120"/>
  <c r="E7" i="120" s="1"/>
  <c r="C21" i="120"/>
  <c r="Q27" i="147" l="1"/>
  <c r="R27" i="147"/>
  <c r="P27" i="147"/>
  <c r="O29" i="147"/>
  <c r="O30" i="147"/>
  <c r="O31" i="147"/>
  <c r="O28" i="147"/>
  <c r="J27" i="147"/>
  <c r="I27" i="147"/>
  <c r="H29" i="147"/>
  <c r="H30" i="147"/>
  <c r="H31" i="147"/>
  <c r="H28" i="147"/>
  <c r="T18" i="147" l="1"/>
  <c r="M18" i="147"/>
  <c r="R18" i="147"/>
  <c r="S28" i="147" s="1"/>
  <c r="Q18" i="147"/>
  <c r="R28" i="147" s="1"/>
  <c r="P18" i="147"/>
  <c r="Q28" i="147" s="1"/>
  <c r="O18" i="147"/>
  <c r="P28" i="147" s="1"/>
  <c r="K18" i="147"/>
  <c r="L28" i="147" s="1"/>
  <c r="J18" i="147"/>
  <c r="K28" i="147" s="1"/>
  <c r="I18" i="147"/>
  <c r="J28" i="147" s="1"/>
  <c r="H18" i="147"/>
  <c r="I28" i="147" s="1"/>
  <c r="U18" i="147" l="1"/>
  <c r="K6" i="146" l="1"/>
  <c r="H6" i="146" l="1"/>
  <c r="M6" i="146"/>
  <c r="I6" i="146"/>
  <c r="C6" i="146"/>
  <c r="E6" i="146"/>
  <c r="E39" i="145"/>
  <c r="F45" i="145"/>
  <c r="J40" i="145"/>
  <c r="I40" i="145"/>
  <c r="I47" i="145"/>
  <c r="I39" i="145"/>
  <c r="I46" i="145"/>
  <c r="I38" i="145"/>
  <c r="H38" i="145"/>
  <c r="E40" i="145"/>
  <c r="F47" i="145" s="1"/>
  <c r="F39" i="145"/>
  <c r="D40" i="145"/>
  <c r="C38" i="145"/>
  <c r="C39" i="145"/>
  <c r="C40" i="145"/>
  <c r="B40" i="145"/>
  <c r="C47" i="145" s="1"/>
  <c r="C46" i="145"/>
  <c r="B38" i="145"/>
  <c r="I37" i="145"/>
  <c r="F37" i="145"/>
  <c r="E37" i="145"/>
  <c r="C37" i="145"/>
  <c r="B37" i="145"/>
  <c r="H41" i="145"/>
  <c r="E41" i="145"/>
  <c r="H29" i="179" l="1"/>
  <c r="H30" i="179"/>
  <c r="G39" i="145"/>
  <c r="E30" i="179"/>
  <c r="C45" i="145"/>
  <c r="E29" i="179"/>
  <c r="I45" i="145"/>
  <c r="J38" i="145"/>
  <c r="D39" i="145"/>
  <c r="J39" i="145"/>
  <c r="D38" i="145"/>
  <c r="L6" i="146"/>
  <c r="F6" i="146"/>
  <c r="J6" i="146"/>
  <c r="F46" i="145"/>
  <c r="I4" i="113"/>
  <c r="I4" i="112"/>
  <c r="I4" i="111"/>
  <c r="I4" i="110"/>
  <c r="I4" i="109"/>
  <c r="I4" i="108"/>
  <c r="I4" i="107"/>
  <c r="K5" i="105"/>
  <c r="J5" i="105"/>
  <c r="I5" i="105"/>
  <c r="H5" i="105"/>
  <c r="A38" i="116"/>
  <c r="I4" i="116"/>
  <c r="D21" i="140"/>
  <c r="D23" i="140" s="1"/>
  <c r="C21" i="140"/>
  <c r="C23" i="140" s="1"/>
  <c r="B21" i="140"/>
  <c r="B23" i="140" s="1"/>
  <c r="D21" i="139"/>
  <c r="D23" i="139" s="1"/>
  <c r="C21" i="139"/>
  <c r="C23" i="139" s="1"/>
  <c r="B21" i="139"/>
  <c r="B23" i="139" s="1"/>
  <c r="E7" i="140" l="1"/>
  <c r="E9" i="140"/>
  <c r="E14" i="140"/>
  <c r="E19" i="140"/>
  <c r="E10" i="140"/>
  <c r="E15" i="140"/>
  <c r="E13" i="140"/>
  <c r="E18" i="140"/>
  <c r="E11" i="140"/>
  <c r="E17" i="140"/>
  <c r="E10" i="139"/>
  <c r="E11" i="139"/>
  <c r="E19" i="139"/>
  <c r="E9" i="139"/>
  <c r="E13" i="139"/>
  <c r="E17" i="139"/>
  <c r="E14" i="139"/>
  <c r="E18" i="139"/>
  <c r="E7" i="139"/>
  <c r="E15" i="139"/>
  <c r="E8" i="139"/>
  <c r="E12" i="139"/>
  <c r="E16" i="139"/>
  <c r="E8" i="140"/>
  <c r="E12" i="140"/>
  <c r="E16" i="140"/>
  <c r="E20" i="140"/>
  <c r="E20" i="139"/>
  <c r="G38" i="116"/>
  <c r="J42" i="116"/>
  <c r="I42" i="116"/>
  <c r="H45" i="116"/>
  <c r="H44" i="116"/>
  <c r="H43" i="116"/>
  <c r="D42" i="116"/>
  <c r="C42" i="116"/>
  <c r="B45" i="116"/>
  <c r="B44" i="116"/>
  <c r="B43" i="116"/>
  <c r="D32" i="133"/>
  <c r="D33" i="133"/>
  <c r="D34" i="133"/>
  <c r="F30" i="133"/>
  <c r="G30" i="133"/>
  <c r="H30" i="133"/>
  <c r="E30" i="133"/>
  <c r="D31" i="133"/>
  <c r="C19" i="133"/>
  <c r="F33" i="133" s="1"/>
  <c r="K22" i="133"/>
  <c r="K18" i="133"/>
  <c r="F18" i="133"/>
  <c r="F22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J21" i="133"/>
  <c r="I21" i="133"/>
  <c r="H21" i="133"/>
  <c r="G21" i="133"/>
  <c r="E21" i="133"/>
  <c r="D21" i="133"/>
  <c r="C21" i="133"/>
  <c r="B21" i="133"/>
  <c r="K20" i="133"/>
  <c r="J20" i="133"/>
  <c r="I20" i="133"/>
  <c r="H20" i="133"/>
  <c r="G20" i="133"/>
  <c r="E20" i="133"/>
  <c r="H34" i="133" s="1"/>
  <c r="D20" i="133"/>
  <c r="G34" i="133" s="1"/>
  <c r="C20" i="133"/>
  <c r="F34" i="133" s="1"/>
  <c r="B20" i="133"/>
  <c r="E34" i="133" s="1"/>
  <c r="J19" i="133"/>
  <c r="I19" i="133"/>
  <c r="H19" i="133"/>
  <c r="G19" i="133"/>
  <c r="E19" i="133"/>
  <c r="H33" i="133" s="1"/>
  <c r="D19" i="133"/>
  <c r="G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J17" i="133"/>
  <c r="I17" i="133"/>
  <c r="H17" i="133"/>
  <c r="G17" i="133"/>
  <c r="E17" i="133"/>
  <c r="H31" i="133" s="1"/>
  <c r="D17" i="133"/>
  <c r="G31" i="133" s="1"/>
  <c r="C17" i="133"/>
  <c r="F31" i="133" s="1"/>
  <c r="B17" i="133"/>
  <c r="E31" i="133" s="1"/>
  <c r="F20" i="133" l="1"/>
  <c r="E21" i="139"/>
  <c r="E21" i="140"/>
  <c r="K23" i="133"/>
  <c r="K21" i="133"/>
  <c r="K19" i="133"/>
  <c r="K17" i="133"/>
  <c r="F19" i="133"/>
  <c r="F23" i="133"/>
  <c r="F17" i="133"/>
  <c r="F21" i="133"/>
  <c r="B17" i="128"/>
  <c r="R17" i="128"/>
  <c r="Q17" i="128"/>
  <c r="P17" i="128"/>
  <c r="O17" i="128"/>
  <c r="N17" i="128"/>
  <c r="M17" i="128"/>
  <c r="L17" i="128"/>
  <c r="K17" i="128"/>
  <c r="J17" i="128"/>
  <c r="I17" i="128"/>
  <c r="H17" i="128"/>
  <c r="G17" i="128"/>
  <c r="F17" i="128"/>
  <c r="E17" i="128"/>
  <c r="D17" i="128"/>
  <c r="C17" i="128"/>
  <c r="C24" i="122" l="1"/>
  <c r="C23" i="122"/>
  <c r="C22" i="122"/>
  <c r="C21" i="122"/>
  <c r="C20" i="122"/>
  <c r="C18" i="122"/>
  <c r="S24" i="122"/>
  <c r="R24" i="122"/>
  <c r="Q24" i="122"/>
  <c r="N24" i="122"/>
  <c r="M24" i="122"/>
  <c r="L24" i="122"/>
  <c r="K24" i="122"/>
  <c r="S23" i="122"/>
  <c r="R23" i="122"/>
  <c r="Q23" i="122"/>
  <c r="P23" i="122"/>
  <c r="N23" i="122"/>
  <c r="M23" i="122"/>
  <c r="L23" i="122"/>
  <c r="K23" i="122"/>
  <c r="S22" i="122"/>
  <c r="R22" i="122"/>
  <c r="Q22" i="122"/>
  <c r="N22" i="122"/>
  <c r="M22" i="122"/>
  <c r="L22" i="122"/>
  <c r="K22" i="122"/>
  <c r="R21" i="122"/>
  <c r="Q21" i="122"/>
  <c r="N21" i="122"/>
  <c r="M21" i="122"/>
  <c r="L21" i="122"/>
  <c r="K21" i="122"/>
  <c r="S20" i="122"/>
  <c r="R20" i="122"/>
  <c r="Q20" i="122"/>
  <c r="N20" i="122"/>
  <c r="M20" i="122"/>
  <c r="L20" i="122"/>
  <c r="K20" i="122"/>
  <c r="S19" i="122"/>
  <c r="R19" i="122"/>
  <c r="Q19" i="122"/>
  <c r="P19" i="122"/>
  <c r="N19" i="122"/>
  <c r="M19" i="122"/>
  <c r="L19" i="122"/>
  <c r="K19" i="122"/>
  <c r="S18" i="122"/>
  <c r="Q18" i="122"/>
  <c r="N18" i="122"/>
  <c r="M18" i="122"/>
  <c r="K18" i="122"/>
  <c r="P21" i="122"/>
  <c r="O21" i="122"/>
  <c r="P20" i="122"/>
  <c r="O20" i="122"/>
  <c r="O23" i="122"/>
  <c r="P24" i="122"/>
  <c r="O24" i="122"/>
  <c r="P22" i="122"/>
  <c r="O22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J21" i="122"/>
  <c r="I21" i="122"/>
  <c r="H21" i="122"/>
  <c r="E21" i="122"/>
  <c r="D21" i="122"/>
  <c r="B21" i="122"/>
  <c r="J20" i="122"/>
  <c r="H20" i="122"/>
  <c r="E20" i="122"/>
  <c r="D20" i="122"/>
  <c r="J19" i="122"/>
  <c r="I19" i="122"/>
  <c r="H19" i="122"/>
  <c r="E19" i="122"/>
  <c r="D19" i="122"/>
  <c r="B19" i="122"/>
  <c r="J18" i="122"/>
  <c r="I18" i="122"/>
  <c r="H18" i="122"/>
  <c r="E18" i="122"/>
  <c r="G21" i="122"/>
  <c r="G20" i="122"/>
  <c r="G19" i="122"/>
  <c r="G24" i="122"/>
  <c r="O18" i="122" l="1"/>
  <c r="P18" i="122"/>
  <c r="F24" i="122"/>
  <c r="G22" i="122"/>
  <c r="F19" i="122"/>
  <c r="F21" i="122"/>
  <c r="F23" i="122"/>
  <c r="G23" i="122"/>
  <c r="F18" i="122"/>
  <c r="F20" i="122"/>
  <c r="F22" i="122"/>
  <c r="B23" i="120" l="1"/>
  <c r="C23" i="120"/>
  <c r="E10" i="120" l="1"/>
  <c r="E13" i="120"/>
  <c r="E20" i="120"/>
  <c r="E19" i="120"/>
  <c r="E12" i="120"/>
  <c r="E17" i="120"/>
  <c r="E9" i="120"/>
  <c r="D23" i="120"/>
  <c r="E15" i="120"/>
  <c r="E8" i="120"/>
  <c r="E16" i="120"/>
  <c r="E11" i="120"/>
  <c r="E18" i="120"/>
  <c r="E14" i="120"/>
  <c r="E21" i="120" l="1"/>
  <c r="E30" i="116"/>
  <c r="F34" i="116" l="1"/>
  <c r="E34" i="116"/>
  <c r="F30" i="116"/>
  <c r="E31" i="116"/>
  <c r="F31" i="116"/>
  <c r="F32" i="116"/>
  <c r="F29" i="116"/>
  <c r="D30" i="116"/>
  <c r="D31" i="116"/>
  <c r="D32" i="116"/>
  <c r="D29" i="116"/>
  <c r="E29" i="116"/>
  <c r="H27" i="116"/>
  <c r="F22" i="140" s="1"/>
  <c r="D45" i="116"/>
  <c r="H25" i="116"/>
  <c r="H24" i="116"/>
  <c r="H23" i="116"/>
  <c r="H22" i="116"/>
  <c r="H20" i="116"/>
  <c r="F22" i="139" s="1"/>
  <c r="D44" i="116"/>
  <c r="H18" i="116"/>
  <c r="H17" i="116"/>
  <c r="H16" i="116"/>
  <c r="H15" i="116"/>
  <c r="H9" i="116"/>
  <c r="H10" i="116"/>
  <c r="H11" i="116"/>
  <c r="F22" i="120"/>
  <c r="H8" i="116"/>
  <c r="C22" i="141" l="1"/>
  <c r="D22" i="141"/>
  <c r="E35" i="116"/>
  <c r="D35" i="116"/>
  <c r="E38" i="179" s="1"/>
  <c r="F35" i="116"/>
  <c r="H34" i="116"/>
  <c r="F22" i="141" s="1"/>
  <c r="H30" i="116"/>
  <c r="H32" i="116"/>
  <c r="H21" i="116"/>
  <c r="F11" i="161" s="1"/>
  <c r="C44" i="116"/>
  <c r="H31" i="116"/>
  <c r="H29" i="116"/>
  <c r="D11" i="163" l="1"/>
  <c r="B11" i="163"/>
  <c r="C11" i="163"/>
  <c r="E10" i="163" s="1"/>
  <c r="E36" i="179" s="1"/>
  <c r="F23" i="139"/>
  <c r="G23" i="116"/>
  <c r="G27" i="116"/>
  <c r="G24" i="116"/>
  <c r="G22" i="116"/>
  <c r="G25" i="116"/>
  <c r="G26" i="116"/>
  <c r="D43" i="116"/>
  <c r="D46" i="116" s="1"/>
  <c r="J43" i="116"/>
  <c r="J44" i="116"/>
  <c r="J45" i="116"/>
  <c r="H28" i="116"/>
  <c r="F11" i="162" s="1"/>
  <c r="C45" i="116"/>
  <c r="C43" i="116"/>
  <c r="F11" i="126"/>
  <c r="E7" i="163" l="1"/>
  <c r="E33" i="179" s="1"/>
  <c r="E9" i="163"/>
  <c r="E35" i="179" s="1"/>
  <c r="E8" i="163"/>
  <c r="G28" i="116"/>
  <c r="F23" i="140"/>
  <c r="C46" i="116"/>
  <c r="I43" i="116"/>
  <c r="G30" i="116"/>
  <c r="G32" i="116"/>
  <c r="G34" i="116"/>
  <c r="G29" i="116"/>
  <c r="G31" i="116"/>
  <c r="G33" i="116"/>
  <c r="J46" i="116"/>
  <c r="H35" i="116"/>
  <c r="F11" i="163" s="1"/>
  <c r="I45" i="116"/>
  <c r="I44" i="116"/>
  <c r="E11" i="163" l="1"/>
  <c r="E34" i="179"/>
  <c r="G35" i="116"/>
  <c r="F23" i="141"/>
  <c r="I46" i="116"/>
  <c r="F15" i="140"/>
  <c r="F15" i="139"/>
  <c r="F15" i="120"/>
  <c r="F13" i="140"/>
  <c r="F13" i="139"/>
  <c r="F13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7" i="141" s="1"/>
  <c r="E32" i="107"/>
  <c r="B15" i="141"/>
  <c r="D15" i="141"/>
  <c r="C9" i="141"/>
  <c r="B8" i="141"/>
  <c r="B17" i="141"/>
  <c r="B13" i="141"/>
  <c r="D13" i="141"/>
  <c r="D19" i="141"/>
  <c r="B18" i="141"/>
  <c r="D17" i="141"/>
  <c r="B16" i="141"/>
  <c r="B14" i="141"/>
  <c r="B12" i="141"/>
  <c r="D11" i="141"/>
  <c r="B11" i="141"/>
  <c r="F11" i="141"/>
  <c r="C11" i="141"/>
  <c r="B10" i="141"/>
  <c r="D9" i="141"/>
  <c r="B9" i="141"/>
  <c r="D8" i="141"/>
  <c r="F8" i="140"/>
  <c r="B19" i="141"/>
  <c r="B20" i="141"/>
  <c r="F19" i="120"/>
  <c r="F19" i="139"/>
  <c r="F19" i="140"/>
  <c r="C19" i="141"/>
  <c r="F17" i="120"/>
  <c r="F17" i="139"/>
  <c r="F17" i="140"/>
  <c r="F11" i="120"/>
  <c r="F11" i="139"/>
  <c r="F11" i="140"/>
  <c r="F9" i="120"/>
  <c r="F9" i="139"/>
  <c r="F9" i="140"/>
  <c r="D7" i="141"/>
  <c r="F8" i="139"/>
  <c r="F8" i="120"/>
  <c r="H18" i="107"/>
  <c r="H12" i="107"/>
  <c r="H24" i="107"/>
  <c r="H27" i="107"/>
  <c r="H11" i="107"/>
  <c r="H17" i="107"/>
  <c r="H23" i="107"/>
  <c r="H26" i="107"/>
  <c r="F7" i="140" s="1"/>
  <c r="H28" i="107"/>
  <c r="H10" i="107"/>
  <c r="F7" i="120"/>
  <c r="H16" i="107"/>
  <c r="H20" i="107"/>
  <c r="F7" i="139" s="1"/>
  <c r="H22" i="107"/>
  <c r="H29" i="107"/>
  <c r="H15" i="107"/>
  <c r="H21" i="107"/>
  <c r="H30" i="107"/>
  <c r="H32" i="107" l="1"/>
  <c r="F7" i="141" s="1"/>
  <c r="G31" i="107"/>
  <c r="C7" i="141"/>
  <c r="F9" i="141"/>
  <c r="F8" i="141"/>
  <c r="F17" i="141"/>
  <c r="C17" i="141"/>
  <c r="F15" i="141"/>
  <c r="C15" i="141"/>
  <c r="B21" i="141"/>
  <c r="B23" i="141" s="1"/>
  <c r="F13" i="141"/>
  <c r="C13" i="141"/>
  <c r="D21" i="141"/>
  <c r="E8" i="141" s="1"/>
  <c r="C8" i="141"/>
  <c r="F19" i="141"/>
  <c r="G28" i="107"/>
  <c r="G30" i="107"/>
  <c r="G29" i="107"/>
  <c r="G27" i="107"/>
  <c r="G32" i="107" l="1"/>
  <c r="C21" i="141"/>
  <c r="C23" i="141" s="1"/>
  <c r="E17" i="141"/>
  <c r="E7" i="141"/>
  <c r="E18" i="141"/>
  <c r="E13" i="141"/>
  <c r="E14" i="141"/>
  <c r="E12" i="141"/>
  <c r="E15" i="141"/>
  <c r="E11" i="141"/>
  <c r="E10" i="141"/>
  <c r="E16" i="141"/>
  <c r="E9" i="141"/>
  <c r="E19" i="141"/>
  <c r="E20" i="141"/>
  <c r="D23" i="141"/>
  <c r="E21" i="141" l="1"/>
</calcChain>
</file>

<file path=xl/sharedStrings.xml><?xml version="1.0" encoding="utf-8"?>
<sst xmlns="http://schemas.openxmlformats.org/spreadsheetml/2006/main" count="1544" uniqueCount="321">
  <si>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</si>
  <si>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</si>
  <si>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</si>
  <si>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</si>
  <si>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</si>
  <si>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</si>
  <si>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</si>
  <si>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</si>
  <si>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</si>
  <si>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</si>
  <si>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</si>
  <si>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</si>
  <si>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</si>
  <si>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</si>
  <si>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</si>
  <si>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</si>
  <si>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</si>
  <si>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</si>
  <si>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</si>
  <si>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</si>
  <si>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</si>
  <si>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</si>
  <si>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</si>
  <si>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</si>
  <si>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</si>
  <si>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</si>
  <si>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</si>
  <si>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</si>
  <si>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</si>
  <si>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</si>
  <si>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</si>
  <si>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</si>
  <si>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</si>
  <si>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</si>
  <si>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</si>
  <si>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</si>
  <si>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</si>
  <si>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</si>
  <si>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</si>
  <si>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</si>
  <si>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</si>
  <si>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</si>
  <si>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</si>
  <si>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</si>
  <si>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</si>
  <si>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</si>
  <si>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</si>
  <si>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</si>
  <si>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I. čtvrtletí</t>
  </si>
  <si>
    <t>Tok plynu do/z plynárenské soustavy ČR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</si>
  <si>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</si>
  <si>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</si>
  <si>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</si>
  <si>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</si>
  <si>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</si>
  <si>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</si>
  <si>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</si>
  <si>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</si>
  <si>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</si>
  <si>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</si>
  <si>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</si>
  <si>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 xml:space="preserve">       Průměrná teplota ovzduší podle krajů (°C)</t>
  </si>
  <si>
    <t>Průměr</t>
  </si>
  <si>
    <t>III. čtvrtletí</t>
  </si>
  <si>
    <t>Spotřeba plynu
v ČR</t>
  </si>
  <si>
    <t>Moravia GS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</si>
  <si>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</si>
  <si>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</si>
  <si>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</si>
  <si>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</si>
  <si>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</si>
  <si>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</si>
  <si>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</si>
  <si>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</si>
  <si>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</si>
  <si>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</si>
  <si>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</si>
  <si>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</si>
  <si>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</si>
  <si>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</si>
  <si>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</si>
  <si>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</si>
  <si>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</si>
  <si>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</si>
  <si>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Ostatní společnosti</t>
  </si>
  <si>
    <t>zákazníci připojeni přímo k PS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</si>
  <si>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</si>
  <si>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</si>
  <si>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</si>
  <si>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</si>
  <si>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</si>
  <si>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</si>
  <si>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</si>
  <si>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</si>
  <si>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OP+VS+PKS</t>
  </si>
  <si>
    <t xml:space="preserve"> OP+VS+PKS</t>
  </si>
  <si>
    <t>VS+PKS</t>
  </si>
  <si>
    <t>Bilanční rozdíl v PS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</si>
  <si>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</si>
  <si>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</si>
  <si>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</si>
  <si>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</si>
  <si>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</si>
  <si>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</si>
  <si>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</si>
  <si>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</si>
  <si>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</si>
  <si>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</si>
  <si>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</si>
  <si>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</si>
  <si>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</si>
  <si>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</si>
  <si>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</si>
  <si>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</si>
  <si>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</si>
  <si>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</si>
  <si>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</si>
  <si>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</si>
  <si>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</si>
  <si>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</si>
  <si>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</si>
  <si>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</si>
  <si>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</si>
  <si>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</si>
  <si>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</si>
  <si>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</si>
  <si>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</si>
  <si>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</si>
  <si>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</si>
  <si>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</si>
  <si>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</si>
  <si>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</si>
  <si>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</si>
  <si>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</si>
  <si>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</si>
  <si>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</si>
  <si>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</si>
  <si>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</si>
  <si>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</si>
  <si>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</si>
  <si>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</si>
  <si>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</si>
  <si>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</si>
  <si>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</si>
  <si>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</si>
  <si>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</si>
  <si>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</si>
  <si>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</si>
  <si>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</si>
  <si>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</si>
  <si>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</si>
  <si>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</si>
  <si>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</si>
  <si>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</si>
  <si>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Spotřeba plynu 
na výrobu 
elektřiny</t>
  </si>
  <si>
    <t>Skutečná spotřeba 
plynu v ČR</t>
  </si>
  <si>
    <t>Přepočtená spotřeba 
plynu v ČR</t>
  </si>
  <si>
    <t>Teplota ovzduší v ČR (°C)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</si>
  <si>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</si>
  <si>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</si>
  <si>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</si>
  <si>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</si>
  <si>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</si>
  <si>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</si>
  <si>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</si>
  <si>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</si>
  <si>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</si>
  <si>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</si>
  <si>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</si>
  <si>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</si>
  <si>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</si>
  <si>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</si>
  <si>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</si>
  <si>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</si>
  <si>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</si>
  <si>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</si>
  <si>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</si>
  <si>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</si>
  <si>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</si>
  <si>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</si>
  <si>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</si>
  <si>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</si>
  <si>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</si>
  <si>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</si>
  <si>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</si>
  <si>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Počet 
zákazníků</t>
  </si>
  <si>
    <t>Teplota ovzduší</t>
  </si>
  <si>
    <t xml:space="preserve">                           Kraje</t>
  </si>
  <si>
    <t>Přepravní soustava a zásobníky plynu ČR</t>
  </si>
  <si>
    <t>Bilanční rozdíl
v přepravní soustavě</t>
  </si>
  <si>
    <t>saldo
ze/do ZP</t>
  </si>
  <si>
    <t>saldo
do/z ČR</t>
  </si>
  <si>
    <t>Tok plynu do/z
plynárenské soustavy ČR</t>
  </si>
  <si>
    <t>Tok plynu ze/do ZP,
které náleží do PLS ČR</t>
  </si>
  <si>
    <t>Spotřeba plynu [MWh]</t>
  </si>
  <si>
    <t>připojena 
k RDS</t>
  </si>
  <si>
    <t>připojena 
k LDS</t>
  </si>
  <si>
    <t>Do ČR</t>
  </si>
  <si>
    <t>Z ČR</t>
  </si>
  <si>
    <t>Ze ZP</t>
  </si>
  <si>
    <t>Do ZP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</si>
  <si>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</si>
  <si>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Společnost GasNet, s.r.o. (provozovatel regionální distribuční soustavy) </t>
  </si>
  <si>
    <t>Společnost Moravia Gas Storage a.s. (provozovatel zásobníku plynu)</t>
  </si>
  <si>
    <t>Společnost NET4GAS, s.r.o. (provozovatel přepravní plynárenské soustavy)</t>
  </si>
  <si>
    <t>Společnost Pražská plynárenská Distribuce, a.s., člen koncernu Pražská plynárenská, a.s. (provozovatel regionální distribuční soustavy)</t>
  </si>
  <si>
    <t>±1,0</t>
  </si>
  <si>
    <t>EG.D, a.s.</t>
  </si>
  <si>
    <t>Společnost EG.D, a.s. (provozovatel regionální distribuční soustavy)</t>
  </si>
  <si>
    <t>EG.D</t>
  </si>
  <si>
    <t xml:space="preserve"> EG.D</t>
  </si>
  <si>
    <t>MND ES</t>
  </si>
  <si>
    <t>Společnost MND Energy Storage a.s. (provozovatel zásobníku plynu)</t>
  </si>
  <si>
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</t>
  </si>
  <si>
    <t>Tok plynu do plynárenské soustavy ČR</t>
  </si>
  <si>
    <t>/</t>
  </si>
  <si>
    <t>GWh</t>
  </si>
  <si>
    <t>Tok plynu z plynárenské soustavy ČR</t>
  </si>
  <si>
    <t>Tok plynu ze zásobníků plynu ČR (těžba)</t>
  </si>
  <si>
    <t>Tok plynu do zásobníků plynu ČR (vtláčení)</t>
  </si>
  <si>
    <t>Stav provozních zásob u zásobníků plynu ČR na konci čtrvrtletí</t>
  </si>
  <si>
    <t>Dodávky od výrobců plynu vč. vlastní spotřeby (vnitrostátní těžba)</t>
  </si>
  <si>
    <t>Skutečná spotřeba plynu v ČR</t>
  </si>
  <si>
    <t>Meziroční změna skutečné spotřeby plynu (nárůst +, pokles -)</t>
  </si>
  <si>
    <t>%</t>
  </si>
  <si>
    <t>Přepočtená spotřeba plynu v ČR</t>
  </si>
  <si>
    <t>Meziroční změna přepočtené spotřeby plynu (nárůst +, pokles -)</t>
  </si>
  <si>
    <t>Průměrná teplota za celé čtvrtletí</t>
  </si>
  <si>
    <t>°C</t>
  </si>
  <si>
    <t>Dlouhodobý teplotní normál</t>
  </si>
  <si>
    <t>Odchylka od dlouhodobého teplotního normálu</t>
  </si>
  <si>
    <t>Maximální denní spotřeba plynu v ČR</t>
  </si>
  <si>
    <t>Minimální denní spotřeba plynu v ČR</t>
  </si>
  <si>
    <t>Podíl / meziroční změna u společnosti PP Distribuce</t>
  </si>
  <si>
    <t>Podíl / meziroční změna u společnosti GasNet</t>
  </si>
  <si>
    <t>Podíl / meziroční změna u společnosti EG.D</t>
  </si>
  <si>
    <t>Podíl / meziroční změna u ostatních společností</t>
  </si>
  <si>
    <t>Celkový počet zákazníků v plynárenské soustavě ČR</t>
  </si>
  <si>
    <t>Bilanční rozdíl 
v PS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</si>
  <si>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plynárenských společností 
    na celkové spotřebě v ČR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</si>
  <si>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dlouhodobý teplotní normál</t>
    </r>
  </si>
  <si>
    <r>
      <rPr>
        <vertAlign val="superscript"/>
        <sz val="8"/>
        <rFont val="Arial"/>
        <family val="2"/>
        <charset val="238"/>
      </rPr>
      <t xml:space="preserve">3) </t>
    </r>
    <r>
      <rPr>
        <sz val="8"/>
        <rFont val="Arial"/>
        <family val="2"/>
        <charset val="238"/>
      </rPr>
      <t>odchylka od dlouhodobého teplotního normálu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</si>
  <si>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kraje na celkové spotřebě 
   zákazníků v ČR</t>
    </r>
  </si>
  <si>
    <t>OBSAH</t>
  </si>
  <si>
    <t>ÚVOD</t>
  </si>
  <si>
    <t>Výroba plynu
v ČR
(včetně VS)</t>
  </si>
  <si>
    <r>
      <t>Tok plynu do/z plynárenské soustavy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</si>
  <si>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Tok plynu ze/do ZP, které náleží do PLS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</si>
  <si>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Spotřeba plynu v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</si>
  <si>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Plynárenská soustava</t>
    </r>
    <r>
      <rPr>
        <sz val="11"/>
        <color rgb="FF233060"/>
        <rFont val="Arial"/>
        <family val="2"/>
        <charset val="238"/>
      </rPr>
      <t xml:space="preserve"> (kapitola 3)</t>
    </r>
  </si>
  <si>
    <r>
      <t xml:space="preserve">Spotřeba zemního plynu </t>
    </r>
    <r>
      <rPr>
        <sz val="11"/>
        <color rgb="FF233060"/>
        <rFont val="Arial"/>
        <family val="2"/>
        <charset val="238"/>
      </rPr>
      <t>(kapitola 4)</t>
    </r>
  </si>
  <si>
    <r>
      <t>Spotřeba zemního plynu podle distribučních soustav</t>
    </r>
    <r>
      <rPr>
        <sz val="11"/>
        <color rgb="FF233060"/>
        <rFont val="Arial"/>
        <family val="2"/>
        <charset val="238"/>
      </rPr>
      <t xml:space="preserve"> (kapitola 5)</t>
    </r>
  </si>
  <si>
    <r>
      <t>Spotřeba plynu po kategoriích 
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</si>
  <si>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Spotřeba plynu celkem 
(GWh)</t>
  </si>
  <si>
    <t>Pražská plynárenská 
Distribuce, a.s.</t>
  </si>
  <si>
    <t>Spotřeba plynu podle krajů (MWh)</t>
  </si>
  <si>
    <r>
      <t>mil. m</t>
    </r>
    <r>
      <rPr>
        <vertAlign val="superscript"/>
        <sz val="11"/>
        <rFont val="Arial"/>
        <family val="2"/>
        <charset val="238"/>
      </rPr>
      <t>3</t>
    </r>
  </si>
  <si>
    <t xml:space="preserve"> </t>
  </si>
  <si>
    <r>
      <t>mil. m</t>
    </r>
    <r>
      <rPr>
        <b/>
        <vertAlign val="superscript"/>
        <sz val="8"/>
        <rFont val="Arial"/>
        <family val="2"/>
        <charset val="238"/>
      </rPr>
      <t>3</t>
    </r>
  </si>
  <si>
    <r>
      <t>tis. m</t>
    </r>
    <r>
      <rPr>
        <b/>
        <vertAlign val="superscript"/>
        <sz val="8"/>
        <rFont val="Arial"/>
        <family val="2"/>
        <charset val="238"/>
      </rPr>
      <t>3</t>
    </r>
  </si>
  <si>
    <t>MWh</t>
  </si>
  <si>
    <t>Teplota ovzduší v ČR</t>
  </si>
  <si>
    <t xml:space="preserve"> změna</t>
  </si>
  <si>
    <t>změna</t>
  </si>
  <si>
    <t>OP
VS
PKS</t>
  </si>
  <si>
    <t>Max</t>
  </si>
  <si>
    <t>Min</t>
  </si>
  <si>
    <r>
      <t>(tis. m</t>
    </r>
    <r>
      <rPr>
        <b/>
        <vertAlign val="superscript"/>
        <sz val="8"/>
        <color rgb="FF233060"/>
        <rFont val="Arial"/>
        <family val="2"/>
        <charset val="238"/>
      </rPr>
      <t>3</t>
    </r>
    <r>
      <rPr>
        <b/>
        <sz val="8"/>
        <color rgb="FF233060"/>
        <rFont val="Arial"/>
        <family val="2"/>
        <charset val="238"/>
      </rPr>
      <t>)</t>
    </r>
  </si>
  <si>
    <t>Změna spotřeby</t>
  </si>
  <si>
    <r>
      <t>Spotřeba plynu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</si>
  <si>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Podíl jednotlivých měsíců na spotřebě plynu</t>
  </si>
  <si>
    <r>
      <t>Spotřeba plynu podle plynárenských společností 
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</si>
  <si>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Průměrná teplota ovzduší podle plynárenských společností (°C)</t>
  </si>
  <si>
    <t>Podíl spotřeby plynu 
podle plynárenských společností</t>
  </si>
  <si>
    <r>
      <t>Spotřeba plynu (tis. m</t>
    </r>
    <r>
      <rPr>
        <b/>
        <vertAlign val="superscript"/>
        <sz val="8"/>
        <rFont val="Arial"/>
        <family val="2"/>
        <charset val="238"/>
      </rPr>
      <t>3</t>
    </r>
    <r>
      <rPr>
        <b/>
        <sz val="8"/>
        <rFont val="Arial"/>
        <family val="2"/>
        <charset val="238"/>
      </rPr>
      <t>)</t>
    </r>
  </si>
  <si>
    <t>Spotřeba plynu (MWh)</t>
  </si>
  <si>
    <r>
      <t>Spotřeba zemního plynu podle plynárenských soustav v ČR po jednotlivých čtvrtletích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</si>
  <si>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Podíl</t>
    </r>
    <r>
      <rPr>
        <b/>
        <vertAlign val="superscript"/>
        <sz val="8"/>
        <rFont val="Arial"/>
        <family val="2"/>
        <charset val="238"/>
      </rPr>
      <t>1)</t>
    </r>
  </si>
  <si>
    <r>
      <t>Normál</t>
    </r>
    <r>
      <rPr>
        <b/>
        <vertAlign val="superscript"/>
        <sz val="8"/>
        <color theme="1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</si>
  <si>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color theme="1"/>
        <rFont val="Arial"/>
        <family val="2"/>
        <charset val="238"/>
      </rPr>
      <t>3)</t>
    </r>
  </si>
  <si>
    <t>Změna</t>
  </si>
  <si>
    <t>Plynárenské 
společnosti</t>
  </si>
  <si>
    <r>
      <t>Normál</t>
    </r>
    <r>
      <rPr>
        <b/>
        <vertAlign val="superscript"/>
        <sz val="8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</si>
  <si>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rFont val="Arial"/>
        <family val="2"/>
        <charset val="238"/>
      </rPr>
      <t>3)</t>
    </r>
  </si>
  <si>
    <t>1 ZKRATKY A POJMY</t>
  </si>
  <si>
    <t>3 PLYNÁRENSKÁ SOUSTAVA</t>
  </si>
  <si>
    <t>4 SPOTŘEBA ZEMNÍHO PLYNU</t>
  </si>
  <si>
    <t>5 SPOTŘEBA ZEMNÍHO PLYNU PODLE DISTRIBUČNÍCH SOUSTAV</t>
  </si>
  <si>
    <t>6 SPOTŘEBA ZEMNÍHO PLYNU PODLE KRAJŮ</t>
  </si>
  <si>
    <t>7 MAPA PLYNÁRENSKÉ SOUSTAVY ČR</t>
  </si>
  <si>
    <t>3.1 Čtvrtletní bilance plynárenské soustavy ČR</t>
  </si>
  <si>
    <t>3.2 Bilance plynárenské soustavy ČR v průběhu roku</t>
  </si>
  <si>
    <t>4.1 Spotřeba zemního plynu v ČR v průběhu roku</t>
  </si>
  <si>
    <t>4.2 Spotřeba zemního plynu v ČR podle kategorií zákazníků v průběhu roku</t>
  </si>
  <si>
    <t>4.3 Denní průběh spotřeb zemního plynu v ČR</t>
  </si>
  <si>
    <t>5.1 Spotřeba zemního plynu podle kategorií zákazníků v ČR</t>
  </si>
  <si>
    <t>5.2 Spotřeba zemního plynu u společnosti PP Distribuce</t>
  </si>
  <si>
    <t>5.3 Spotřeba zemního plynu u společnosti GasNet</t>
  </si>
  <si>
    <t>5.4 Spotřeba zemního plynu u společnosti EG.D</t>
  </si>
  <si>
    <t>5.5 Spotřeba zemního plynu u ostatních společností</t>
  </si>
  <si>
    <t>5.10 Spotřeba zemního plynu podle plynárenských soustav v průběhu roku</t>
  </si>
  <si>
    <t>6.1 Spotřeba zemního plynu: Jihočeský a Jihomoravský kraj</t>
  </si>
  <si>
    <t>6.2 Spotřeba zemního plynu: Karlovarský a Královéhradecký kraj</t>
  </si>
  <si>
    <t>6.3 Spotřeba zemního plynu: Liberecký a Moravskoslezský kraj</t>
  </si>
  <si>
    <t>6.4 Spotřeba zemního plynu: Olomoucký a Pardubický kraj</t>
  </si>
  <si>
    <t>6.5 Spotřeba zemního plynu: Plzeňský kraj a Hlavní město Praha</t>
  </si>
  <si>
    <t>6.6 Spotřeba zemního plynu: Středočeský a Ústecký kraj</t>
  </si>
  <si>
    <t>6.7 Spotřeba zemního plynu: Kraj Vysočina a Zlínský kraj</t>
  </si>
  <si>
    <t>6.12 Spotřeba zemního plynu podle krajů v ČR v průběhu roku</t>
  </si>
  <si>
    <t>Podíl jednotlivých kategorií 
na celkovém počtu zákazníků</t>
  </si>
  <si>
    <t>Oddělení statistiky a sledování kvality</t>
  </si>
  <si>
    <t>plyn.statistika@eru.cz</t>
  </si>
  <si>
    <t>spotřeba 
v LDS, která není 
v RDS</t>
  </si>
  <si>
    <t>Vydání</t>
  </si>
  <si>
    <t>Denní fyzické množství plynu pro pohon kompresních stanic a ostatní plyn,
který představuje neměřené hodnoty rozdílového množství celkové bilance PS</t>
  </si>
  <si>
    <t>Poznámka: Případnou kolidující hodnotu v objemových a energetických jednotkách "Bilanční rozdíl v přepravní soustavě" způsobuje odlišné spalné teplo na vstupech a výstupech plynárenské soustavy. Tato hodnota představuje neměřené hodnoty rozdílového množství celkové bilance přepravní soustavy.</t>
  </si>
  <si>
    <t xml:space="preserve">Energetický regulační úřad (ERÚ) zveřejňuje čtvrtletní zprávu o provozu plynárenské soustavy ČR za dané čtvrtletí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 rámci ČR nebo Evropské unie a odbornou veřejnost.
ERÚ v této zprávě uvádí všechna dostupná provozně technická data, která představují fyzické toky plynu. Údaje pro čtvrtletní zprávu jsou získávány na základě vyhlášky č. 404/2016 Sb., o náležitostech a členění výkazů nezbytných pro zpracování zpráv o provozu soustav v energetických odvětvích, včetně termínů, rozsahu a pravidel pro sestavování výkazů (statistická vyhláška), ve znění pozdějších předpisů, která nabyla účinnost dnem 1. ledna 2017. V rámci svých kompetencí, určených § 20a odst. 4 písm. e) energetického zákona, zpracovává operátor trhu své měsíční a roční statistiky o trhu s 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plynárenství č. 9/2018 ze dne 14. 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2023, kterou ERÚ předpokládá zveřejnit do konce května roku 2024.
</t>
  </si>
  <si>
    <t>* Prognóza spotřeby plynu do konce roku 2023 byla zpracována v prosinci 2022.</t>
  </si>
  <si>
    <r>
      <rPr>
        <b/>
        <sz val="24"/>
        <color rgb="FF1A3366"/>
        <rFont val="Arial"/>
        <family val="2"/>
        <charset val="238"/>
      </rPr>
      <t xml:space="preserve">ČTVRTLETNÍ ZPRÁVA O PROVOZU 
PLYNÁRENSKÉ SOUSTAVY
ČESKÉ REPUBLIKY
</t>
    </r>
    <r>
      <rPr>
        <b/>
        <sz val="24"/>
        <color theme="8"/>
        <rFont val="Arial"/>
        <family val="2"/>
        <charset val="238"/>
      </rPr>
      <t>ZA IV. ČTVRTLETÍ 2023</t>
    </r>
  </si>
  <si>
    <t>GS CZ</t>
  </si>
  <si>
    <t>Společnost Gas Storage CZ, s.r.o. (provozovatel zásobníků plynu)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</si>
</sst>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  <numFmt numFmtId="185" formatCode="#,##0.000000"/>
  </numFmts>
  <fonts count="143">
    <font>
      <sz val="10"/>
      <name val="Arial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rgb="FFFF0000"/>
      <name val="Arial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FF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vertAlign val="superscript"/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16"/>
      <color rgb="FF233060"/>
      <name val="Arial"/>
      <family val="2"/>
      <charset val="238"/>
    </font>
    <font>
      <b/>
      <sz val="10"/>
      <color rgb="FF233060"/>
      <name val="Arial"/>
      <family val="2"/>
      <charset val="238"/>
    </font>
    <font>
      <sz val="10"/>
      <color rgb="FF233060"/>
      <name val="Arial"/>
      <family val="2"/>
      <charset val="238"/>
    </font>
    <font>
      <b/>
      <sz val="11"/>
      <color rgb="FF233060"/>
      <name val="Arial"/>
      <family val="2"/>
      <charset val="238"/>
    </font>
    <font>
      <sz val="11"/>
      <color rgb="FF233060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8" tint="-0.249977111117893"/>
      <name val="Arial"/>
      <family val="2"/>
      <charset val="238"/>
    </font>
    <font>
      <sz val="14"/>
      <color rgb="FF233060"/>
      <name val="Arial"/>
      <family val="2"/>
      <charset val="238"/>
    </font>
    <font>
      <sz val="26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8"/>
      <color rgb="FF000099"/>
      <name val="Arial"/>
      <family val="2"/>
      <charset val="238"/>
    </font>
    <font>
      <sz val="8"/>
      <color rgb="FF233060"/>
      <name val="Arial"/>
      <family val="2"/>
      <charset val="238"/>
    </font>
    <font>
      <b/>
      <sz val="8"/>
      <color rgb="FF233060"/>
      <name val="Arial"/>
      <family val="2"/>
      <charset val="238"/>
    </font>
    <font>
      <b/>
      <vertAlign val="superscript"/>
      <sz val="10"/>
      <color rgb="FF233060"/>
      <name val="Arial"/>
      <family val="2"/>
      <charset val="238"/>
    </font>
    <font>
      <b/>
      <sz val="10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7"/>
      <color rgb="FF153366"/>
      <name val="Arial"/>
      <family val="2"/>
      <charset val="238"/>
      <scheme val="minor"/>
    </font>
    <font>
      <b/>
      <sz val="24"/>
      <color theme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u/>
      <sz val="8"/>
      <name val="Arial"/>
      <family val="2"/>
      <charset val="238"/>
    </font>
    <font>
      <b/>
      <vertAlign val="superscript"/>
      <sz val="8"/>
      <color rgb="FF233060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14"/>
      <color rgb="FF233060"/>
      <name val="Arial"/>
      <family val="2"/>
      <charset val="238"/>
    </font>
    <font>
      <b/>
      <sz val="11"/>
      <color rgb="FFE53A2E"/>
      <name val="Arial"/>
      <family val="2"/>
      <charset val="238"/>
    </font>
    <font>
      <sz val="11"/>
      <color theme="3"/>
      <name val="Arial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0">
    <xf numFmtId="0" fontId="0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9" fontId="9" fillId="0" borderId="0" applyFont="0" applyFill="0" applyBorder="0" applyAlignment="0" applyProtection="0"/>
    <xf numFmtId="4" fontId="12" fillId="3" borderId="3" applyNumberFormat="0" applyProtection="0">
      <alignment vertical="center"/>
    </xf>
    <xf numFmtId="4" fontId="12" fillId="4" borderId="3" applyNumberFormat="0" applyProtection="0">
      <alignment horizontal="left" vertical="center" indent="1"/>
    </xf>
    <xf numFmtId="4" fontId="12" fillId="5" borderId="0" applyNumberFormat="0" applyProtection="0">
      <alignment horizontal="left" vertical="center" indent="1"/>
    </xf>
    <xf numFmtId="4" fontId="13" fillId="6" borderId="3" applyNumberFormat="0" applyProtection="0">
      <alignment horizontal="right" vertical="center"/>
    </xf>
    <xf numFmtId="4" fontId="13" fillId="7" borderId="3" applyNumberFormat="0" applyProtection="0">
      <alignment horizontal="left" vertical="center" indent="1"/>
    </xf>
    <xf numFmtId="2" fontId="9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4" fontId="14" fillId="4" borderId="3" applyNumberFormat="0" applyProtection="0">
      <alignment vertical="center"/>
    </xf>
    <xf numFmtId="0" fontId="12" fillId="4" borderId="3" applyNumberFormat="0" applyProtection="0">
      <alignment horizontal="left" vertical="top" indent="1"/>
    </xf>
    <xf numFmtId="4" fontId="13" fillId="8" borderId="3" applyNumberFormat="0" applyProtection="0">
      <alignment horizontal="right" vertical="center"/>
    </xf>
    <xf numFmtId="4" fontId="13" fillId="9" borderId="3" applyNumberFormat="0" applyProtection="0">
      <alignment horizontal="right" vertical="center"/>
    </xf>
    <xf numFmtId="4" fontId="13" fillId="10" borderId="3" applyNumberFormat="0" applyProtection="0">
      <alignment horizontal="right" vertical="center"/>
    </xf>
    <xf numFmtId="4" fontId="13" fillId="11" borderId="3" applyNumberFormat="0" applyProtection="0">
      <alignment horizontal="right" vertical="center"/>
    </xf>
    <xf numFmtId="4" fontId="13" fillId="12" borderId="3" applyNumberFormat="0" applyProtection="0">
      <alignment horizontal="right" vertical="center"/>
    </xf>
    <xf numFmtId="4" fontId="13" fillId="13" borderId="3" applyNumberFormat="0" applyProtection="0">
      <alignment horizontal="right" vertical="center"/>
    </xf>
    <xf numFmtId="4" fontId="13" fillId="14" borderId="3" applyNumberFormat="0" applyProtection="0">
      <alignment horizontal="right" vertical="center"/>
    </xf>
    <xf numFmtId="4" fontId="13" fillId="15" borderId="3" applyNumberFormat="0" applyProtection="0">
      <alignment horizontal="right" vertical="center"/>
    </xf>
    <xf numFmtId="4" fontId="13" fillId="16" borderId="3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4" fontId="15" fillId="17" borderId="0" applyNumberFormat="0" applyProtection="0">
      <alignment horizontal="left" vertical="center" indent="1"/>
    </xf>
    <xf numFmtId="4" fontId="13" fillId="7" borderId="3" applyNumberFormat="0" applyProtection="0">
      <alignment horizontal="right" vertical="center"/>
    </xf>
    <xf numFmtId="4" fontId="16" fillId="6" borderId="0" applyNumberFormat="0" applyProtection="0">
      <alignment horizontal="left" vertical="center" indent="1"/>
    </xf>
    <xf numFmtId="4" fontId="16" fillId="5" borderId="0" applyNumberFormat="0" applyProtection="0">
      <alignment horizontal="left" vertical="center" indent="1"/>
    </xf>
    <xf numFmtId="0" fontId="9" fillId="17" borderId="3" applyNumberFormat="0" applyProtection="0">
      <alignment horizontal="left" vertical="center" indent="1"/>
    </xf>
    <xf numFmtId="0" fontId="9" fillId="17" borderId="3" applyNumberFormat="0" applyProtection="0">
      <alignment horizontal="left" vertical="top" indent="1"/>
    </xf>
    <xf numFmtId="0" fontId="9" fillId="5" borderId="3" applyNumberFormat="0" applyProtection="0">
      <alignment horizontal="left" vertical="center" indent="1"/>
    </xf>
    <xf numFmtId="0" fontId="9" fillId="5" borderId="3" applyNumberFormat="0" applyProtection="0">
      <alignment horizontal="left" vertical="top" indent="1"/>
    </xf>
    <xf numFmtId="0" fontId="9" fillId="18" borderId="3" applyNumberFormat="0" applyProtection="0">
      <alignment horizontal="left" vertical="center" indent="1"/>
    </xf>
    <xf numFmtId="0" fontId="9" fillId="18" borderId="3" applyNumberFormat="0" applyProtection="0">
      <alignment horizontal="left" vertical="top" indent="1"/>
    </xf>
    <xf numFmtId="0" fontId="9" fillId="19" borderId="3" applyNumberFormat="0" applyProtection="0">
      <alignment horizontal="left" vertical="center" indent="1"/>
    </xf>
    <xf numFmtId="0" fontId="9" fillId="19" borderId="3" applyNumberFormat="0" applyProtection="0">
      <alignment horizontal="left" vertical="top" indent="1"/>
    </xf>
    <xf numFmtId="4" fontId="13" fillId="20" borderId="3" applyNumberFormat="0" applyProtection="0">
      <alignment vertical="center"/>
    </xf>
    <xf numFmtId="4" fontId="17" fillId="20" borderId="3" applyNumberFormat="0" applyProtection="0">
      <alignment vertical="center"/>
    </xf>
    <xf numFmtId="4" fontId="13" fillId="20" borderId="3" applyNumberFormat="0" applyProtection="0">
      <alignment horizontal="left" vertical="center" indent="1"/>
    </xf>
    <xf numFmtId="0" fontId="13" fillId="20" borderId="3" applyNumberFormat="0" applyProtection="0">
      <alignment horizontal="left" vertical="top" indent="1"/>
    </xf>
    <xf numFmtId="4" fontId="17" fillId="6" borderId="3" applyNumberFormat="0" applyProtection="0">
      <alignment horizontal="right" vertical="center"/>
    </xf>
    <xf numFmtId="0" fontId="13" fillId="5" borderId="3" applyNumberFormat="0" applyProtection="0">
      <alignment horizontal="left" vertical="top" indent="1"/>
    </xf>
    <xf numFmtId="4" fontId="18" fillId="0" borderId="0" applyNumberFormat="0" applyProtection="0">
      <alignment horizontal="left" vertical="center" indent="1"/>
    </xf>
    <xf numFmtId="4" fontId="19" fillId="6" borderId="3" applyNumberFormat="0" applyProtection="0">
      <alignment horizontal="right" vertical="center"/>
    </xf>
    <xf numFmtId="0" fontId="9" fillId="0" borderId="0"/>
    <xf numFmtId="0" fontId="20" fillId="21" borderId="4" applyNumberFormat="0" applyFont="0" applyFill="0" applyAlignment="0" applyProtection="0"/>
    <xf numFmtId="0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3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168" fontId="20" fillId="21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2" fontId="20" fillId="21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21" borderId="0" applyNumberFormat="0" applyFill="0" applyBorder="0" applyAlignment="0" applyProtection="0"/>
    <xf numFmtId="0" fontId="23" fillId="21" borderId="0" applyNumberFormat="0" applyFill="0" applyBorder="0" applyAlignment="0" applyProtection="0"/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" fontId="34" fillId="0" borderId="0">
      <alignment horizontal="lef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0"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0" fontId="36" fillId="0" borderId="0"/>
    <xf numFmtId="0" fontId="37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8" fillId="0" borderId="0"/>
    <xf numFmtId="0" fontId="38" fillId="0" borderId="0"/>
    <xf numFmtId="0" fontId="39" fillId="26" borderId="0" applyNumberFormat="0" applyBorder="0" applyAlignment="0" applyProtection="0"/>
    <xf numFmtId="0" fontId="39" fillId="9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39" fillId="29" borderId="0" applyNumberFormat="0" applyBorder="0" applyAlignment="0" applyProtection="0"/>
    <xf numFmtId="0" fontId="39" fillId="9" borderId="0" applyNumberFormat="0" applyBorder="0" applyAlignment="0" applyProtection="0"/>
    <xf numFmtId="0" fontId="39" fillId="3" borderId="0" applyNumberFormat="0" applyBorder="0" applyAlignment="0" applyProtection="0"/>
    <xf numFmtId="0" fontId="39" fillId="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29" borderId="0" applyNumberFormat="0" applyBorder="0" applyAlignment="0" applyProtection="0"/>
    <xf numFmtId="0" fontId="40" fillId="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2" fillId="38" borderId="0" applyNumberFormat="0" applyBorder="0" applyAlignment="0" applyProtection="0"/>
    <xf numFmtId="0" fontId="41" fillId="33" borderId="0" applyNumberFormat="0" applyBorder="0" applyAlignment="0" applyProtection="0"/>
    <xf numFmtId="0" fontId="41" fillId="39" borderId="0" applyNumberFormat="0" applyBorder="0" applyAlignment="0" applyProtection="0"/>
    <xf numFmtId="0" fontId="42" fillId="34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2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" fontId="45" fillId="0" borderId="8" applyAlignment="0">
      <alignment horizontal="left" vertical="center"/>
    </xf>
    <xf numFmtId="173" fontId="46" fillId="4" borderId="9" applyNumberFormat="0" applyFont="0" applyFill="0" applyBorder="0" applyAlignment="0">
      <alignment horizontal="center"/>
    </xf>
    <xf numFmtId="173" fontId="46" fillId="4" borderId="9" applyNumberFormat="0" applyFont="0" applyFill="0" applyBorder="0" applyAlignment="0">
      <alignment horizontal="center"/>
    </xf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9" fillId="0" borderId="0" applyNumberForma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2" fillId="0" borderId="0" applyNumberFormat="0" applyAlignment="0"/>
    <xf numFmtId="0" fontId="53" fillId="0" borderId="0" applyNumberFormat="0" applyAlignment="0"/>
    <xf numFmtId="0" fontId="52" fillId="0" borderId="0" applyNumberFormat="0" applyAlignment="0"/>
    <xf numFmtId="0" fontId="53" fillId="0" borderId="0" applyNumberFormat="0" applyAlignment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0" fontId="54" fillId="0" borderId="0">
      <alignment horizontal="center" vertical="center"/>
    </xf>
    <xf numFmtId="0" fontId="54" fillId="44" borderId="0">
      <alignment horizontal="center" vertical="center"/>
    </xf>
    <xf numFmtId="0" fontId="54" fillId="45" borderId="0">
      <alignment horizontal="center" vertical="center"/>
    </xf>
    <xf numFmtId="0" fontId="54" fillId="46" borderId="0">
      <alignment horizontal="center" vertical="center"/>
    </xf>
    <xf numFmtId="15" fontId="38" fillId="0" borderId="0"/>
    <xf numFmtId="15" fontId="38" fillId="0" borderId="0"/>
    <xf numFmtId="15" fontId="38" fillId="0" borderId="0"/>
    <xf numFmtId="15" fontId="38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38" fontId="58" fillId="50" borderId="0" applyNumberFormat="0" applyBorder="0" applyAlignment="0" applyProtection="0"/>
    <xf numFmtId="0" fontId="59" fillId="0" borderId="12" applyNumberFormat="0" applyAlignment="0" applyProtection="0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60" fillId="51" borderId="0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76" fontId="9" fillId="52" borderId="0"/>
    <xf numFmtId="176" fontId="9" fillId="52" borderId="0"/>
    <xf numFmtId="176" fontId="9" fillId="52" borderId="0"/>
    <xf numFmtId="176" fontId="9" fillId="52" borderId="0"/>
    <xf numFmtId="0" fontId="61" fillId="53" borderId="13" applyNumberFormat="0" applyAlignment="0" applyProtection="0"/>
    <xf numFmtId="176" fontId="9" fillId="54" borderId="0"/>
    <xf numFmtId="176" fontId="9" fillId="54" borderId="0"/>
    <xf numFmtId="176" fontId="9" fillId="54" borderId="0"/>
    <xf numFmtId="176" fontId="9" fillId="54" borderId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3" borderId="0" applyNumberFormat="0" applyBorder="0" applyAlignment="0" applyProtection="0"/>
    <xf numFmtId="0" fontId="26" fillId="23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0" fontId="9" fillId="0" borderId="0" applyNumberFormat="0" applyFill="0" applyBorder="0" applyAlignment="0" applyProtection="0"/>
    <xf numFmtId="0" fontId="7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71" fillId="0" borderId="0"/>
    <xf numFmtId="0" fontId="71" fillId="0" borderId="0"/>
    <xf numFmtId="0" fontId="72" fillId="0" borderId="0"/>
    <xf numFmtId="0" fontId="3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175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0" borderId="0"/>
    <xf numFmtId="0" fontId="36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18" applyNumberFormat="0" applyFill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0" fontId="49" fillId="0" borderId="0" applyNumberFormat="0" applyFill="0" applyBorder="0" applyAlignment="0" applyProtection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0" fontId="9" fillId="0" borderId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0" fontId="9" fillId="0" borderId="0"/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9" fillId="0" borderId="0"/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9" fillId="0" borderId="0"/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0" fontId="9" fillId="0" borderId="0"/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0" fontId="9" fillId="0" borderId="0"/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0" fontId="9" fillId="0" borderId="0"/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0" fontId="9" fillId="0" borderId="0"/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0" fontId="9" fillId="0" borderId="0"/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0" fontId="9" fillId="0" borderId="0"/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0" fontId="9" fillId="0" borderId="0"/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0" fontId="9" fillId="0" borderId="0"/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0" fontId="9" fillId="0" borderId="0"/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0" fontId="9" fillId="0" borderId="0"/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0" fontId="9" fillId="0" borderId="0"/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0" fontId="9" fillId="0" borderId="0"/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9" fillId="0" borderId="0"/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58" borderId="19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0" borderId="0"/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9" fillId="0" borderId="0"/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60" borderId="19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0" borderId="0"/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9" fillId="0" borderId="0"/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9" fillId="0" borderId="0"/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9" fillId="0" borderId="0"/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9" fillId="0" borderId="0"/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0" borderId="0"/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58" fillId="62" borderId="22" applyNumberFormat="0">
      <protection locked="0"/>
    </xf>
    <xf numFmtId="0" fontId="9" fillId="0" borderId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0" fontId="9" fillId="0" borderId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9" fillId="0" borderId="0"/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0" fontId="9" fillId="0" borderId="0"/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0" borderId="0"/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79" fillId="0" borderId="0"/>
    <xf numFmtId="0" fontId="9" fillId="0" borderId="0"/>
    <xf numFmtId="0" fontId="79" fillId="0" borderId="0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9" fillId="0" borderId="0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2" fillId="29" borderId="0" applyNumberFormat="0" applyBorder="0" applyAlignment="0" applyProtection="0"/>
    <xf numFmtId="0" fontId="25" fillId="22" borderId="0" applyNumberFormat="0" applyBorder="0" applyAlignment="0" applyProtection="0"/>
    <xf numFmtId="0" fontId="83" fillId="0" borderId="0"/>
    <xf numFmtId="40" fontId="84" fillId="0" borderId="0" applyBorder="0">
      <alignment horizontal="right"/>
    </xf>
    <xf numFmtId="0" fontId="73" fillId="0" borderId="0" applyNumberFormat="0" applyFill="0" applyBorder="0" applyAlignment="0" applyProtection="0"/>
    <xf numFmtId="0" fontId="85" fillId="3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6" fillId="62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8" fillId="62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9" fillId="0" borderId="0" applyNumberFormat="0" applyFill="0" applyBorder="0" applyAlignment="0" applyProtection="0"/>
    <xf numFmtId="0" fontId="40" fillId="65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56" borderId="0" applyNumberFormat="0" applyBorder="0" applyAlignment="0" applyProtection="0"/>
    <xf numFmtId="0" fontId="40" fillId="66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9" fillId="0" borderId="0"/>
  </cellStyleXfs>
  <cellXfs count="526">
    <xf numFmtId="0" fontId="0" fillId="0" borderId="0" xfId="0"/>
    <xf numFmtId="0" fontId="92" fillId="0" borderId="0" xfId="2" applyFont="1" applyFill="1" applyBorder="1" applyAlignment="1">
      <alignment horizontal="left"/>
    </xf>
    <xf numFmtId="0" fontId="94" fillId="0" borderId="0" xfId="2" applyFont="1" applyFill="1"/>
    <xf numFmtId="0" fontId="95" fillId="0" borderId="0" xfId="2" applyFont="1" applyFill="1" applyAlignment="1"/>
    <xf numFmtId="0" fontId="45" fillId="0" borderId="0" xfId="2" applyFont="1" applyFill="1"/>
    <xf numFmtId="0" fontId="96" fillId="0" borderId="0" xfId="2" applyFont="1" applyFill="1" applyBorder="1" applyAlignment="1">
      <alignment horizontal="left"/>
    </xf>
    <xf numFmtId="0" fontId="45" fillId="0" borderId="0" xfId="2" applyFont="1" applyFill="1" applyAlignment="1"/>
    <xf numFmtId="0" fontId="45" fillId="0" borderId="0" xfId="2" applyFont="1" applyFill="1" applyAlignment="1">
      <alignment horizontal="left" vertical="top" wrapText="1"/>
    </xf>
    <xf numFmtId="0" fontId="45" fillId="0" borderId="0" xfId="2" applyFont="1" applyFill="1" applyAlignment="1">
      <alignment horizontal="center" vertical="top" wrapText="1"/>
    </xf>
    <xf numFmtId="0" fontId="45" fillId="0" borderId="0" xfId="2" applyFont="1" applyFill="1" applyAlignment="1">
      <alignment vertical="top"/>
    </xf>
    <xf numFmtId="0" fontId="45" fillId="0" borderId="0" xfId="2" applyFont="1" applyFill="1" applyBorder="1" applyAlignment="1">
      <alignment horizontal="center" vertical="top" wrapText="1"/>
    </xf>
    <xf numFmtId="0" fontId="11" fillId="0" borderId="0" xfId="2" applyFont="1" applyFill="1" applyAlignment="1">
      <alignment vertical="top" wrapText="1"/>
    </xf>
    <xf numFmtId="0" fontId="45" fillId="0" borderId="0" xfId="2" applyFont="1" applyFill="1" applyBorder="1"/>
    <xf numFmtId="0" fontId="91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horizontal="justify" vertical="top" wrapText="1"/>
    </xf>
    <xf numFmtId="0" fontId="91" fillId="0" borderId="0" xfId="2" applyFont="1" applyFill="1" applyBorder="1" applyAlignment="1">
      <alignment horizontal="left" vertical="top"/>
    </xf>
    <xf numFmtId="0" fontId="92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/>
    </xf>
    <xf numFmtId="0" fontId="92" fillId="0" borderId="0" xfId="527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 wrapText="1"/>
    </xf>
    <xf numFmtId="0" fontId="92" fillId="0" borderId="0" xfId="527" applyFont="1" applyFill="1" applyBorder="1" applyAlignment="1">
      <alignment vertical="top" wrapText="1"/>
    </xf>
    <xf numFmtId="0" fontId="98" fillId="0" borderId="0" xfId="2" applyFont="1" applyFill="1" applyBorder="1" applyAlignment="1">
      <alignment horizontal="right"/>
    </xf>
    <xf numFmtId="0" fontId="92" fillId="0" borderId="0" xfId="2" applyFont="1" applyFill="1" applyBorder="1"/>
    <xf numFmtId="0" fontId="92" fillId="0" borderId="0" xfId="2" applyFont="1" applyFill="1" applyBorder="1" applyAlignment="1">
      <alignment horizontal="left" vertical="top"/>
    </xf>
    <xf numFmtId="0" fontId="98" fillId="0" borderId="0" xfId="2" applyFont="1" applyFill="1" applyBorder="1"/>
    <xf numFmtId="0" fontId="99" fillId="0" borderId="0" xfId="2" applyFont="1" applyFill="1"/>
    <xf numFmtId="0" fontId="100" fillId="0" borderId="0" xfId="2" applyFont="1" applyFill="1" applyAlignment="1"/>
    <xf numFmtId="0" fontId="101" fillId="0" borderId="0" xfId="2" applyFont="1" applyFill="1" applyBorder="1" applyAlignment="1"/>
    <xf numFmtId="0" fontId="99" fillId="0" borderId="0" xfId="2" applyFont="1" applyFill="1" applyAlignment="1"/>
    <xf numFmtId="0" fontId="54" fillId="2" borderId="0" xfId="2" applyFont="1" applyFill="1" applyAlignment="1">
      <alignment vertical="top" wrapText="1"/>
    </xf>
    <xf numFmtId="0" fontId="99" fillId="0" borderId="0" xfId="2" applyFont="1" applyFill="1" applyAlignment="1">
      <alignment vertical="top" wrapText="1"/>
    </xf>
    <xf numFmtId="3" fontId="92" fillId="0" borderId="0" xfId="2" applyNumberFormat="1" applyFont="1" applyFill="1"/>
    <xf numFmtId="0" fontId="92" fillId="0" borderId="0" xfId="2" applyFont="1" applyFill="1"/>
    <xf numFmtId="0" fontId="54" fillId="2" borderId="0" xfId="2" applyFont="1" applyFill="1" applyAlignment="1">
      <alignment horizontal="right" vertical="top" wrapText="1"/>
    </xf>
    <xf numFmtId="0" fontId="99" fillId="0" borderId="0" xfId="2" applyFont="1" applyFill="1" applyAlignment="1">
      <alignment horizontal="right" vertical="top" wrapText="1"/>
    </xf>
    <xf numFmtId="3" fontId="99" fillId="0" borderId="0" xfId="2" applyNumberFormat="1" applyFont="1" applyFill="1"/>
    <xf numFmtId="167" fontId="92" fillId="0" borderId="0" xfId="1" applyNumberFormat="1" applyFont="1" applyFill="1"/>
    <xf numFmtId="0" fontId="92" fillId="0" borderId="0" xfId="0" applyFont="1" applyAlignment="1">
      <alignment horizontal="right"/>
    </xf>
    <xf numFmtId="165" fontId="92" fillId="0" borderId="0" xfId="2" applyNumberFormat="1" applyFont="1" applyFill="1"/>
    <xf numFmtId="0" fontId="45" fillId="0" borderId="0" xfId="0" applyFont="1" applyFill="1"/>
    <xf numFmtId="0" fontId="45" fillId="0" borderId="0" xfId="0" applyFont="1" applyFill="1" applyAlignment="1"/>
    <xf numFmtId="3" fontId="45" fillId="0" borderId="0" xfId="0" applyNumberFormat="1" applyFont="1" applyFill="1" applyBorder="1"/>
    <xf numFmtId="2" fontId="45" fillId="0" borderId="0" xfId="0" applyNumberFormat="1" applyFont="1" applyFill="1"/>
    <xf numFmtId="0" fontId="45" fillId="0" borderId="0" xfId="0" applyFont="1" applyFill="1" applyBorder="1" applyAlignment="1">
      <alignment horizontal="right"/>
    </xf>
    <xf numFmtId="0" fontId="45" fillId="0" borderId="0" xfId="0" applyFont="1" applyFill="1" applyBorder="1"/>
    <xf numFmtId="0" fontId="104" fillId="0" borderId="0" xfId="2" applyFont="1" applyFill="1"/>
    <xf numFmtId="0" fontId="105" fillId="0" borderId="0" xfId="2" applyFont="1" applyFill="1" applyBorder="1" applyAlignment="1">
      <alignment horizontal="right"/>
    </xf>
    <xf numFmtId="0" fontId="106" fillId="0" borderId="0" xfId="2" applyFont="1" applyFill="1" applyBorder="1"/>
    <xf numFmtId="0" fontId="107" fillId="0" borderId="0" xfId="2" applyFont="1" applyFill="1" applyBorder="1" applyAlignment="1">
      <alignment horizontal="right"/>
    </xf>
    <xf numFmtId="0" fontId="105" fillId="0" borderId="0" xfId="2" applyFont="1" applyFill="1" applyBorder="1" applyAlignment="1">
      <alignment horizontal="left"/>
    </xf>
    <xf numFmtId="0" fontId="106" fillId="0" borderId="0" xfId="2" applyFont="1" applyFill="1" applyBorder="1" applyAlignment="1">
      <alignment horizontal="left"/>
    </xf>
    <xf numFmtId="1" fontId="106" fillId="0" borderId="0" xfId="2" applyNumberFormat="1" applyFont="1" applyFill="1" applyBorder="1" applyAlignment="1">
      <alignment horizontal="left"/>
    </xf>
    <xf numFmtId="0" fontId="106" fillId="0" borderId="0" xfId="2" applyNumberFormat="1" applyFont="1" applyFill="1" applyBorder="1" applyAlignment="1">
      <alignment horizontal="left"/>
    </xf>
    <xf numFmtId="0" fontId="106" fillId="0" borderId="0" xfId="2" applyFont="1" applyFill="1" applyBorder="1" applyAlignment="1">
      <alignment horizontal="right"/>
    </xf>
    <xf numFmtId="0" fontId="104" fillId="0" borderId="0" xfId="2" applyFont="1" applyFill="1" applyBorder="1" applyAlignment="1">
      <alignment horizontal="left"/>
    </xf>
    <xf numFmtId="0" fontId="104" fillId="0" borderId="0" xfId="0" applyFont="1" applyFill="1"/>
    <xf numFmtId="3" fontId="45" fillId="0" borderId="0" xfId="2" applyNumberFormat="1" applyFont="1" applyFill="1" applyBorder="1" applyAlignment="1">
      <alignment horizontal="right"/>
    </xf>
    <xf numFmtId="3" fontId="45" fillId="0" borderId="0" xfId="2" applyNumberFormat="1" applyFont="1" applyFill="1" applyBorder="1"/>
    <xf numFmtId="165" fontId="45" fillId="0" borderId="0" xfId="2" applyNumberFormat="1" applyFont="1" applyFill="1" applyBorder="1" applyAlignment="1">
      <alignment horizontal="right"/>
    </xf>
    <xf numFmtId="166" fontId="45" fillId="0" borderId="0" xfId="2" applyNumberFormat="1" applyFont="1" applyFill="1" applyBorder="1" applyAlignment="1">
      <alignment horizontal="right"/>
    </xf>
    <xf numFmtId="0" fontId="45" fillId="0" borderId="0" xfId="2" applyFont="1" applyFill="1" applyBorder="1" applyAlignment="1">
      <alignment wrapText="1"/>
    </xf>
    <xf numFmtId="0" fontId="110" fillId="0" borderId="0" xfId="2" applyFont="1" applyFill="1" applyBorder="1"/>
    <xf numFmtId="165" fontId="110" fillId="0" borderId="0" xfId="2" applyNumberFormat="1" applyFont="1" applyFill="1" applyBorder="1"/>
    <xf numFmtId="165" fontId="45" fillId="0" borderId="0" xfId="2" applyNumberFormat="1" applyFont="1" applyFill="1" applyBorder="1"/>
    <xf numFmtId="0" fontId="11" fillId="0" borderId="0" xfId="2" applyFont="1" applyFill="1" applyBorder="1" applyAlignment="1"/>
    <xf numFmtId="4" fontId="45" fillId="0" borderId="0" xfId="2" applyNumberFormat="1" applyFont="1" applyFill="1" applyBorder="1"/>
    <xf numFmtId="3" fontId="116" fillId="0" borderId="0" xfId="2" applyNumberFormat="1" applyFont="1" applyFill="1" applyBorder="1"/>
    <xf numFmtId="0" fontId="118" fillId="0" borderId="0" xfId="2" applyFont="1" applyFill="1" applyBorder="1" applyAlignment="1">
      <alignment wrapText="1"/>
    </xf>
    <xf numFmtId="164" fontId="45" fillId="0" borderId="0" xfId="1" applyNumberFormat="1" applyFont="1" applyFill="1" applyBorder="1"/>
    <xf numFmtId="0" fontId="104" fillId="0" borderId="0" xfId="2" applyFont="1" applyFill="1" applyBorder="1"/>
    <xf numFmtId="1" fontId="110" fillId="0" borderId="0" xfId="2" applyNumberFormat="1" applyFont="1" applyFill="1" applyBorder="1" applyAlignment="1">
      <alignment horizontal="right" wrapText="1"/>
    </xf>
    <xf numFmtId="0" fontId="110" fillId="0" borderId="0" xfId="2" applyFont="1" applyFill="1" applyBorder="1" applyAlignment="1">
      <alignment wrapText="1"/>
    </xf>
    <xf numFmtId="0" fontId="110" fillId="0" borderId="0" xfId="2" applyFont="1" applyFill="1" applyBorder="1" applyAlignment="1">
      <alignment horizontal="right"/>
    </xf>
    <xf numFmtId="0" fontId="110" fillId="0" borderId="0" xfId="2" applyFont="1" applyFill="1" applyBorder="1" applyAlignment="1">
      <alignment horizontal="right" wrapText="1"/>
    </xf>
    <xf numFmtId="3" fontId="110" fillId="0" borderId="0" xfId="2" applyNumberFormat="1" applyFont="1" applyFill="1" applyBorder="1" applyAlignment="1">
      <alignment horizontal="right"/>
    </xf>
    <xf numFmtId="165" fontId="110" fillId="0" borderId="0" xfId="2" applyNumberFormat="1" applyFont="1" applyFill="1" applyBorder="1" applyAlignment="1">
      <alignment horizontal="right"/>
    </xf>
    <xf numFmtId="0" fontId="9" fillId="0" borderId="0" xfId="0" applyFont="1" applyFill="1" applyBorder="1"/>
    <xf numFmtId="3" fontId="9" fillId="0" borderId="0" xfId="0" applyNumberFormat="1" applyFont="1" applyFill="1" applyBorder="1"/>
    <xf numFmtId="3" fontId="45" fillId="0" borderId="0" xfId="0" applyNumberFormat="1" applyFont="1" applyFill="1" applyBorder="1" applyAlignment="1">
      <alignment vertical="center"/>
    </xf>
    <xf numFmtId="0" fontId="121" fillId="0" borderId="0" xfId="0" applyFont="1" applyFill="1" applyBorder="1"/>
    <xf numFmtId="3" fontId="118" fillId="0" borderId="0" xfId="0" applyNumberFormat="1" applyFont="1" applyFill="1" applyBorder="1" applyAlignment="1">
      <alignment horizontal="right"/>
    </xf>
    <xf numFmtId="3" fontId="118" fillId="0" borderId="0" xfId="0" applyNumberFormat="1" applyFont="1" applyFill="1" applyBorder="1"/>
    <xf numFmtId="0" fontId="118" fillId="0" borderId="0" xfId="0" applyFont="1" applyFill="1" applyBorder="1" applyAlignment="1">
      <alignment horizontal="right"/>
    </xf>
    <xf numFmtId="3" fontId="45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122" fillId="0" borderId="0" xfId="0" applyFont="1" applyFill="1"/>
    <xf numFmtId="0" fontId="123" fillId="0" borderId="0" xfId="0" applyFont="1" applyFill="1"/>
    <xf numFmtId="0" fontId="45" fillId="0" borderId="0" xfId="0" applyFont="1" applyFill="1" applyBorder="1" applyAlignment="1">
      <alignment horizontal="left" vertical="center"/>
    </xf>
    <xf numFmtId="3" fontId="45" fillId="0" borderId="0" xfId="0" applyNumberFormat="1" applyFont="1" applyFill="1" applyBorder="1" applyAlignment="1">
      <alignment horizontal="right" vertical="center"/>
    </xf>
    <xf numFmtId="165" fontId="9" fillId="0" borderId="0" xfId="0" applyNumberFormat="1" applyFont="1" applyFill="1"/>
    <xf numFmtId="3" fontId="122" fillId="0" borderId="0" xfId="0" applyNumberFormat="1" applyFont="1" applyFill="1"/>
    <xf numFmtId="1" fontId="122" fillId="0" borderId="0" xfId="0" applyNumberFormat="1" applyFont="1" applyFill="1"/>
    <xf numFmtId="3" fontId="116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/>
    <xf numFmtId="0" fontId="45" fillId="0" borderId="0" xfId="0" applyFont="1" applyFill="1" applyBorder="1" applyAlignment="1">
      <alignment vertical="center"/>
    </xf>
    <xf numFmtId="164" fontId="45" fillId="0" borderId="0" xfId="1" applyNumberFormat="1" applyFont="1" applyFill="1" applyBorder="1" applyAlignment="1">
      <alignment vertical="center"/>
    </xf>
    <xf numFmtId="164" fontId="45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/>
    <xf numFmtId="0" fontId="45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right" vertical="center"/>
    </xf>
    <xf numFmtId="0" fontId="123" fillId="0" borderId="0" xfId="0" applyFont="1" applyFill="1" applyBorder="1" applyAlignment="1">
      <alignment horizontal="left"/>
    </xf>
    <xf numFmtId="9" fontId="9" fillId="0" borderId="0" xfId="1" applyFont="1" applyFill="1" applyBorder="1"/>
    <xf numFmtId="0" fontId="9" fillId="0" borderId="0" xfId="0" applyFont="1" applyFill="1" applyAlignment="1">
      <alignment horizontal="left"/>
    </xf>
    <xf numFmtId="164" fontId="9" fillId="0" borderId="0" xfId="0" applyNumberFormat="1" applyFont="1" applyFill="1"/>
    <xf numFmtId="0" fontId="111" fillId="0" borderId="0" xfId="57" applyFont="1" applyFill="1"/>
    <xf numFmtId="0" fontId="9" fillId="0" borderId="0" xfId="2" applyFont="1" applyFill="1"/>
    <xf numFmtId="0" fontId="125" fillId="0" borderId="0" xfId="2" applyFont="1" applyFill="1" applyAlignment="1">
      <alignment horizontal="right"/>
    </xf>
    <xf numFmtId="167" fontId="110" fillId="0" borderId="0" xfId="2" applyNumberFormat="1" applyFont="1" applyFill="1" applyBorder="1" applyAlignment="1">
      <alignment horizontal="right"/>
    </xf>
    <xf numFmtId="167" fontId="45" fillId="0" borderId="0" xfId="2" applyNumberFormat="1" applyFont="1" applyFill="1" applyBorder="1" applyAlignment="1">
      <alignment horizontal="right"/>
    </xf>
    <xf numFmtId="3" fontId="124" fillId="0" borderId="0" xfId="2" applyNumberFormat="1" applyFont="1" applyFill="1" applyBorder="1"/>
    <xf numFmtId="0" fontId="9" fillId="0" borderId="0" xfId="2" applyFont="1" applyFill="1" applyBorder="1" applyAlignment="1"/>
    <xf numFmtId="0" fontId="9" fillId="0" borderId="0" xfId="2" applyFont="1" applyFill="1" applyBorder="1"/>
    <xf numFmtId="3" fontId="9" fillId="0" borderId="0" xfId="2" applyNumberFormat="1" applyFont="1" applyFill="1" applyBorder="1"/>
    <xf numFmtId="0" fontId="45" fillId="0" borderId="0" xfId="2" applyFont="1" applyFill="1" applyBorder="1" applyAlignment="1"/>
    <xf numFmtId="3" fontId="9" fillId="0" borderId="0" xfId="2" applyNumberFormat="1" applyFont="1" applyFill="1"/>
    <xf numFmtId="0" fontId="104" fillId="0" borderId="0" xfId="57" applyFont="1" applyFill="1"/>
    <xf numFmtId="0" fontId="126" fillId="0" borderId="0" xfId="2" applyFont="1" applyFill="1" applyBorder="1"/>
    <xf numFmtId="0" fontId="127" fillId="0" borderId="0" xfId="0" applyFont="1" applyFill="1" applyBorder="1" applyAlignment="1">
      <alignment vertical="center"/>
    </xf>
    <xf numFmtId="0" fontId="105" fillId="0" borderId="0" xfId="0" applyFont="1" applyFill="1" applyBorder="1"/>
    <xf numFmtId="0" fontId="127" fillId="0" borderId="0" xfId="0" applyFont="1" applyFill="1" applyBorder="1" applyAlignment="1">
      <alignment wrapText="1"/>
    </xf>
    <xf numFmtId="0" fontId="127" fillId="0" borderId="0" xfId="0" applyFont="1" applyFill="1" applyBorder="1" applyAlignment="1">
      <alignment vertical="center" wrapText="1"/>
    </xf>
    <xf numFmtId="0" fontId="105" fillId="0" borderId="0" xfId="0" applyFont="1" applyFill="1"/>
    <xf numFmtId="0" fontId="127" fillId="0" borderId="0" xfId="0" applyFont="1" applyFill="1" applyBorder="1"/>
    <xf numFmtId="0" fontId="10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vertical="center" wrapText="1"/>
    </xf>
    <xf numFmtId="0" fontId="9" fillId="2" borderId="0" xfId="0" applyFont="1" applyFill="1" applyBorder="1"/>
    <xf numFmtId="3" fontId="45" fillId="2" borderId="0" xfId="0" applyNumberFormat="1" applyFont="1" applyFill="1" applyBorder="1" applyAlignment="1">
      <alignment horizontal="right" vertical="center"/>
    </xf>
    <xf numFmtId="1" fontId="93" fillId="2" borderId="0" xfId="0" applyNumberFormat="1" applyFont="1" applyFill="1" applyBorder="1" applyAlignment="1">
      <alignment horizontal="right" vertical="center" wrapText="1"/>
    </xf>
    <xf numFmtId="0" fontId="93" fillId="2" borderId="0" xfId="0" applyFont="1" applyFill="1" applyBorder="1" applyAlignment="1">
      <alignment horizontal="right" wrapText="1"/>
    </xf>
    <xf numFmtId="0" fontId="45" fillId="0" borderId="0" xfId="0" applyFont="1" applyFill="1" applyBorder="1" applyAlignment="1">
      <alignment horizontal="left" vertical="center"/>
    </xf>
    <xf numFmtId="0" fontId="119" fillId="0" borderId="0" xfId="0" applyFont="1" applyFill="1" applyBorder="1" applyAlignment="1">
      <alignment horizontal="left" wrapText="1"/>
    </xf>
    <xf numFmtId="0" fontId="24" fillId="0" borderId="0" xfId="1535" applyFont="1"/>
    <xf numFmtId="0" fontId="27" fillId="0" borderId="0" xfId="1535" applyFont="1" applyAlignment="1">
      <alignment horizontal="left" vertical="center"/>
    </xf>
    <xf numFmtId="0" fontId="133" fillId="0" borderId="0" xfId="1538" applyFont="1" applyAlignment="1">
      <alignment horizontal="left" vertical="center" wrapText="1"/>
    </xf>
    <xf numFmtId="0" fontId="27" fillId="0" borderId="0" xfId="1535" applyFont="1" applyAlignment="1">
      <alignment horizontal="center" vertical="center"/>
    </xf>
    <xf numFmtId="49" fontId="90" fillId="0" borderId="0" xfId="1538" applyNumberFormat="1" applyFont="1" applyAlignment="1">
      <alignment vertical="top" wrapText="1"/>
    </xf>
    <xf numFmtId="49" fontId="28" fillId="0" borderId="0" xfId="1535" applyNumberFormat="1" applyFont="1" applyAlignment="1">
      <alignment vertical="center"/>
    </xf>
    <xf numFmtId="0" fontId="29" fillId="0" borderId="0" xfId="1535" applyFont="1"/>
    <xf numFmtId="0" fontId="30" fillId="0" borderId="0" xfId="1535" applyFont="1"/>
    <xf numFmtId="0" fontId="24" fillId="0" borderId="0" xfId="1535" applyFont="1" applyAlignment="1">
      <alignment horizontal="left" vertical="center"/>
    </xf>
    <xf numFmtId="0" fontId="30" fillId="0" borderId="0" xfId="1535" applyFont="1" applyAlignment="1">
      <alignment horizontal="center"/>
    </xf>
    <xf numFmtId="0" fontId="24" fillId="0" borderId="0" xfId="1535" applyFont="1" applyAlignment="1">
      <alignment horizontal="right" vertical="center"/>
    </xf>
    <xf numFmtId="0" fontId="24" fillId="0" borderId="0" xfId="1535" applyFont="1" applyAlignment="1">
      <alignment horizontal="left" vertical="center" indent="1"/>
    </xf>
    <xf numFmtId="0" fontId="31" fillId="0" borderId="0" xfId="1535" applyFont="1"/>
    <xf numFmtId="0" fontId="31" fillId="0" borderId="0" xfId="1535" applyFont="1" applyAlignment="1">
      <alignment horizontal="right" vertical="center"/>
    </xf>
    <xf numFmtId="0" fontId="31" fillId="0" borderId="0" xfId="1535" applyFont="1" applyAlignment="1">
      <alignment horizontal="left" vertical="center" indent="1"/>
    </xf>
    <xf numFmtId="49" fontId="27" fillId="0" borderId="0" xfId="1535" applyNumberFormat="1" applyFont="1" applyAlignment="1">
      <alignment vertical="center"/>
    </xf>
    <xf numFmtId="0" fontId="45" fillId="2" borderId="0" xfId="0" applyFont="1" applyFill="1" applyBorder="1" applyAlignment="1"/>
    <xf numFmtId="0" fontId="45" fillId="2" borderId="0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right" vertical="center" wrapText="1"/>
    </xf>
    <xf numFmtId="0" fontId="45" fillId="2" borderId="25" xfId="0" applyFont="1" applyFill="1" applyBorder="1"/>
    <xf numFmtId="0" fontId="45" fillId="2" borderId="0" xfId="0" applyFont="1" applyFill="1" applyBorder="1" applyAlignment="1">
      <alignment horizontal="left" vertical="center"/>
    </xf>
    <xf numFmtId="3" fontId="45" fillId="2" borderId="3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center"/>
    </xf>
    <xf numFmtId="3" fontId="109" fillId="2" borderId="33" xfId="0" applyNumberFormat="1" applyFont="1" applyFill="1" applyBorder="1" applyAlignment="1">
      <alignment vertical="center"/>
    </xf>
    <xf numFmtId="3" fontId="109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horizontal="left" vertical="center"/>
    </xf>
    <xf numFmtId="3" fontId="45" fillId="2" borderId="29" xfId="0" applyNumberFormat="1" applyFont="1" applyFill="1" applyBorder="1" applyAlignment="1">
      <alignment vertical="center"/>
    </xf>
    <xf numFmtId="3" fontId="45" fillId="2" borderId="25" xfId="0" applyNumberFormat="1" applyFont="1" applyFill="1" applyBorder="1" applyAlignment="1">
      <alignment vertical="center"/>
    </xf>
    <xf numFmtId="3" fontId="109" fillId="2" borderId="32" xfId="0" applyNumberFormat="1" applyFont="1" applyFill="1" applyBorder="1" applyAlignment="1">
      <alignment vertical="center"/>
    </xf>
    <xf numFmtId="3" fontId="109" fillId="2" borderId="25" xfId="0" applyNumberFormat="1" applyFont="1" applyFill="1" applyBorder="1" applyAlignment="1">
      <alignment vertical="center"/>
    </xf>
    <xf numFmtId="0" fontId="45" fillId="2" borderId="26" xfId="0" applyFont="1" applyFill="1" applyBorder="1" applyAlignment="1">
      <alignment horizontal="left" vertical="center"/>
    </xf>
    <xf numFmtId="3" fontId="45" fillId="2" borderId="28" xfId="0" applyNumberFormat="1" applyFont="1" applyFill="1" applyBorder="1" applyAlignment="1">
      <alignment vertical="center"/>
    </xf>
    <xf numFmtId="3" fontId="45" fillId="2" borderId="26" xfId="0" applyNumberFormat="1" applyFont="1" applyFill="1" applyBorder="1" applyAlignment="1">
      <alignment vertical="center"/>
    </xf>
    <xf numFmtId="3" fontId="109" fillId="2" borderId="31" xfId="0" applyNumberFormat="1" applyFont="1" applyFill="1" applyBorder="1" applyAlignment="1">
      <alignment vertical="center"/>
    </xf>
    <xf numFmtId="3" fontId="109" fillId="2" borderId="26" xfId="0" applyNumberFormat="1" applyFont="1" applyFill="1" applyBorder="1" applyAlignment="1">
      <alignment vertical="center"/>
    </xf>
    <xf numFmtId="3" fontId="45" fillId="2" borderId="27" xfId="0" applyNumberFormat="1" applyFont="1" applyFill="1" applyBorder="1" applyAlignment="1">
      <alignment vertical="center"/>
    </xf>
    <xf numFmtId="3" fontId="45" fillId="2" borderId="6" xfId="0" applyNumberFormat="1" applyFont="1" applyFill="1" applyBorder="1" applyAlignment="1">
      <alignment vertical="center"/>
    </xf>
    <xf numFmtId="3" fontId="109" fillId="2" borderId="34" xfId="0" applyNumberFormat="1" applyFont="1" applyFill="1" applyBorder="1" applyAlignment="1">
      <alignment vertical="center"/>
    </xf>
    <xf numFmtId="3" fontId="109" fillId="2" borderId="6" xfId="0" applyNumberFormat="1" applyFont="1" applyFill="1" applyBorder="1" applyAlignment="1">
      <alignment vertical="center"/>
    </xf>
    <xf numFmtId="0" fontId="45" fillId="2" borderId="0" xfId="0" applyFont="1" applyFill="1" applyBorder="1" applyAlignment="1">
      <alignment horizontal="right" vertical="center"/>
    </xf>
    <xf numFmtId="0" fontId="45" fillId="2" borderId="25" xfId="0" applyFont="1" applyFill="1" applyBorder="1" applyAlignment="1">
      <alignment horizontal="left" vertical="top"/>
    </xf>
    <xf numFmtId="0" fontId="109" fillId="0" borderId="0" xfId="2" applyFont="1" applyFill="1" applyBorder="1" applyAlignment="1">
      <alignment horizontal="right" vertical="top" wrapText="1"/>
    </xf>
    <xf numFmtId="0" fontId="45" fillId="2" borderId="0" xfId="2" applyFont="1" applyFill="1" applyBorder="1" applyAlignment="1">
      <alignment horizontal="left" vertical="center"/>
    </xf>
    <xf numFmtId="165" fontId="45" fillId="2" borderId="0" xfId="2" applyNumberFormat="1" applyFont="1" applyFill="1" applyBorder="1" applyAlignment="1">
      <alignment horizontal="right" vertical="center"/>
    </xf>
    <xf numFmtId="165" fontId="45" fillId="2" borderId="0" xfId="2" applyNumberFormat="1" applyFont="1" applyFill="1" applyBorder="1" applyAlignment="1">
      <alignment vertical="center"/>
    </xf>
    <xf numFmtId="0" fontId="45" fillId="2" borderId="25" xfId="2" applyFont="1" applyFill="1" applyBorder="1" applyAlignment="1">
      <alignment horizontal="left" vertical="center"/>
    </xf>
    <xf numFmtId="165" fontId="45" fillId="2" borderId="25" xfId="2" applyNumberFormat="1" applyFont="1" applyFill="1" applyBorder="1" applyAlignment="1">
      <alignment horizontal="right" vertical="center"/>
    </xf>
    <xf numFmtId="165" fontId="45" fillId="2" borderId="25" xfId="2" applyNumberFormat="1" applyFont="1" applyFill="1" applyBorder="1" applyAlignment="1">
      <alignment vertical="center"/>
    </xf>
    <xf numFmtId="0" fontId="45" fillId="2" borderId="2" xfId="2" applyFont="1" applyFill="1" applyBorder="1" applyAlignment="1">
      <alignment horizontal="left" vertical="center"/>
    </xf>
    <xf numFmtId="165" fontId="45" fillId="2" borderId="30" xfId="2" applyNumberFormat="1" applyFont="1" applyFill="1" applyBorder="1" applyAlignment="1">
      <alignment horizontal="right" vertical="center"/>
    </xf>
    <xf numFmtId="165" fontId="45" fillId="2" borderId="29" xfId="2" applyNumberFormat="1" applyFont="1" applyFill="1" applyBorder="1" applyAlignment="1">
      <alignment horizontal="right" vertical="center"/>
    </xf>
    <xf numFmtId="165" fontId="45" fillId="2" borderId="33" xfId="2" applyNumberFormat="1" applyFont="1" applyFill="1" applyBorder="1" applyAlignment="1">
      <alignment vertical="center"/>
    </xf>
    <xf numFmtId="165" fontId="45" fillId="2" borderId="32" xfId="2" applyNumberFormat="1" applyFont="1" applyFill="1" applyBorder="1" applyAlignment="1">
      <alignment vertical="center"/>
    </xf>
    <xf numFmtId="165" fontId="45" fillId="2" borderId="33" xfId="2" applyNumberFormat="1" applyFont="1" applyFill="1" applyBorder="1" applyAlignment="1">
      <alignment horizontal="right" vertical="center"/>
    </xf>
    <xf numFmtId="165" fontId="45" fillId="2" borderId="32" xfId="2" applyNumberFormat="1" applyFont="1" applyFill="1" applyBorder="1" applyAlignment="1">
      <alignment horizontal="right" vertical="center"/>
    </xf>
    <xf numFmtId="165" fontId="45" fillId="2" borderId="30" xfId="2" applyNumberFormat="1" applyFont="1" applyFill="1" applyBorder="1" applyAlignment="1">
      <alignment vertical="center"/>
    </xf>
    <xf numFmtId="165" fontId="45" fillId="2" borderId="29" xfId="2" applyNumberFormat="1" applyFont="1" applyFill="1" applyBorder="1" applyAlignment="1">
      <alignment vertical="center"/>
    </xf>
    <xf numFmtId="0" fontId="109" fillId="2" borderId="33" xfId="2" applyFont="1" applyFill="1" applyBorder="1" applyAlignment="1">
      <alignment horizontal="center" vertical="center" wrapText="1"/>
    </xf>
    <xf numFmtId="0" fontId="109" fillId="0" borderId="32" xfId="2" applyFont="1" applyFill="1" applyBorder="1"/>
    <xf numFmtId="0" fontId="109" fillId="2" borderId="29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wrapText="1"/>
    </xf>
    <xf numFmtId="0" fontId="109" fillId="2" borderId="32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0" xfId="0" applyFont="1" applyFill="1" applyBorder="1" applyAlignment="1"/>
    <xf numFmtId="0" fontId="109" fillId="2" borderId="25" xfId="0" applyFont="1" applyFill="1" applyBorder="1"/>
    <xf numFmtId="0" fontId="109" fillId="2" borderId="29" xfId="0" applyFont="1" applyFill="1" applyBorder="1" applyAlignment="1">
      <alignment horizontal="right"/>
    </xf>
    <xf numFmtId="0" fontId="109" fillId="2" borderId="25" xfId="0" applyFont="1" applyFill="1" applyBorder="1" applyAlignment="1">
      <alignment horizontal="right"/>
    </xf>
    <xf numFmtId="1" fontId="109" fillId="2" borderId="32" xfId="0" applyNumberFormat="1" applyFont="1" applyFill="1" applyBorder="1" applyAlignment="1">
      <alignment horizontal="right"/>
    </xf>
    <xf numFmtId="1" fontId="109" fillId="2" borderId="25" xfId="0" applyNumberFormat="1" applyFont="1" applyFill="1" applyBorder="1" applyAlignment="1">
      <alignment horizontal="right"/>
    </xf>
    <xf numFmtId="0" fontId="45" fillId="2" borderId="25" xfId="0" applyFont="1" applyFill="1" applyBorder="1" applyAlignment="1">
      <alignment horizontal="left" vertical="center"/>
    </xf>
    <xf numFmtId="0" fontId="109" fillId="2" borderId="31" xfId="2" applyFont="1" applyFill="1" applyBorder="1" applyAlignment="1">
      <alignment horizontal="left" vertical="center"/>
    </xf>
    <xf numFmtId="1" fontId="112" fillId="0" borderId="0" xfId="2" applyNumberFormat="1" applyFont="1" applyFill="1" applyBorder="1" applyAlignment="1">
      <alignment horizontal="left" vertical="top" wrapText="1"/>
    </xf>
    <xf numFmtId="0" fontId="109" fillId="0" borderId="0" xfId="2" applyFont="1" applyFill="1" applyBorder="1" applyAlignment="1">
      <alignment vertical="top" wrapText="1"/>
    </xf>
    <xf numFmtId="0" fontId="113" fillId="0" borderId="0" xfId="2" applyFont="1" applyFill="1" applyBorder="1" applyAlignment="1">
      <alignment horizontal="left" vertical="top" wrapText="1"/>
    </xf>
    <xf numFmtId="165" fontId="45" fillId="2" borderId="0" xfId="2" applyNumberFormat="1" applyFont="1" applyFill="1" applyBorder="1" applyAlignment="1">
      <alignment horizontal="right"/>
    </xf>
    <xf numFmtId="0" fontId="45" fillId="2" borderId="0" xfId="2" applyFont="1" applyFill="1" applyBorder="1" applyAlignment="1">
      <alignment horizontal="center" vertical="center" wrapText="1"/>
    </xf>
    <xf numFmtId="164" fontId="45" fillId="2" borderId="0" xfId="1" applyNumberFormat="1" applyFont="1" applyFill="1" applyBorder="1" applyAlignment="1">
      <alignment vertical="center"/>
    </xf>
    <xf numFmtId="165" fontId="45" fillId="2" borderId="0" xfId="20" applyNumberFormat="1" applyFont="1" applyFill="1" applyBorder="1" applyAlignment="1">
      <alignment horizontal="right" vertical="center"/>
    </xf>
    <xf numFmtId="0" fontId="45" fillId="2" borderId="25" xfId="2" applyFont="1" applyFill="1" applyBorder="1" applyAlignment="1">
      <alignment horizontal="left"/>
    </xf>
    <xf numFmtId="164" fontId="45" fillId="2" borderId="25" xfId="1" applyNumberFormat="1" applyFont="1" applyFill="1" applyBorder="1" applyAlignment="1">
      <alignment vertical="center"/>
    </xf>
    <xf numFmtId="165" fontId="45" fillId="2" borderId="25" xfId="2" applyNumberFormat="1" applyFont="1" applyFill="1" applyBorder="1" applyAlignment="1">
      <alignment horizontal="right"/>
    </xf>
    <xf numFmtId="0" fontId="45" fillId="2" borderId="6" xfId="2" applyFont="1" applyFill="1" applyBorder="1" applyAlignment="1">
      <alignment horizontal="left" vertical="center"/>
    </xf>
    <xf numFmtId="0" fontId="109" fillId="2" borderId="0" xfId="2" applyFont="1" applyFill="1" applyBorder="1" applyAlignment="1">
      <alignment horizontal="center" vertical="center" wrapText="1"/>
    </xf>
    <xf numFmtId="0" fontId="109" fillId="2" borderId="25" xfId="2" applyFont="1" applyFill="1" applyBorder="1" applyAlignment="1">
      <alignment horizontal="left"/>
    </xf>
    <xf numFmtId="0" fontId="109" fillId="2" borderId="25" xfId="0" applyFont="1" applyFill="1" applyBorder="1" applyAlignment="1">
      <alignment horizontal="right" wrapText="1"/>
    </xf>
    <xf numFmtId="165" fontId="45" fillId="2" borderId="30" xfId="20" applyNumberFormat="1" applyFont="1" applyFill="1" applyBorder="1" applyAlignment="1">
      <alignment horizontal="righ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165" fontId="45" fillId="2" borderId="33" xfId="20" applyNumberFormat="1" applyFont="1" applyFill="1" applyBorder="1" applyAlignment="1">
      <alignment horizontal="right" vertical="center"/>
    </xf>
    <xf numFmtId="0" fontId="45" fillId="0" borderId="32" xfId="2" applyFont="1" applyFill="1" applyBorder="1"/>
    <xf numFmtId="0" fontId="109" fillId="2" borderId="29" xfId="0" applyFont="1" applyFill="1" applyBorder="1" applyAlignment="1">
      <alignment horizontal="right" textRotation="90" wrapText="1"/>
    </xf>
    <xf numFmtId="0" fontId="109" fillId="2" borderId="25" xfId="0" applyFont="1" applyFill="1" applyBorder="1" applyAlignment="1">
      <alignment horizontal="right" textRotation="90" wrapText="1"/>
    </xf>
    <xf numFmtId="0" fontId="109" fillId="2" borderId="32" xfId="0" applyFont="1" applyFill="1" applyBorder="1" applyAlignment="1">
      <alignment horizontal="right" textRotation="90" wrapText="1"/>
    </xf>
    <xf numFmtId="0" fontId="109" fillId="2" borderId="6" xfId="2" applyFont="1" applyFill="1" applyBorder="1" applyAlignment="1">
      <alignment horizontal="left" vertical="center"/>
    </xf>
    <xf numFmtId="0" fontId="136" fillId="0" borderId="25" xfId="0" applyFont="1" applyFill="1" applyBorder="1"/>
    <xf numFmtId="0" fontId="136" fillId="0" borderId="25" xfId="0" applyFont="1" applyFill="1" applyBorder="1" applyAlignment="1"/>
    <xf numFmtId="1" fontId="109" fillId="2" borderId="29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1" fontId="109" fillId="2" borderId="32" xfId="2" applyNumberFormat="1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textRotation="90" wrapText="1"/>
    </xf>
    <xf numFmtId="3" fontId="45" fillId="2" borderId="0" xfId="2" applyNumberFormat="1" applyFont="1" applyFill="1" applyBorder="1" applyAlignment="1">
      <alignment horizontal="right" vertical="center"/>
    </xf>
    <xf numFmtId="3" fontId="45" fillId="2" borderId="0" xfId="2" applyNumberFormat="1" applyFont="1" applyFill="1" applyBorder="1" applyAlignment="1">
      <alignment vertical="center"/>
    </xf>
    <xf numFmtId="0" fontId="109" fillId="0" borderId="25" xfId="2" applyFont="1" applyFill="1" applyBorder="1" applyAlignment="1">
      <alignment horizontal="right" vertical="top" wrapText="1"/>
    </xf>
    <xf numFmtId="3" fontId="45" fillId="2" borderId="25" xfId="2" applyNumberFormat="1" applyFont="1" applyFill="1" applyBorder="1" applyAlignment="1">
      <alignment horizontal="right" vertical="center"/>
    </xf>
    <xf numFmtId="3" fontId="45" fillId="2" borderId="25" xfId="2" applyNumberFormat="1" applyFont="1" applyFill="1" applyBorder="1" applyAlignment="1">
      <alignment vertical="center"/>
    </xf>
    <xf numFmtId="3" fontId="45" fillId="2" borderId="30" xfId="2" applyNumberFormat="1" applyFont="1" applyFill="1" applyBorder="1" applyAlignment="1">
      <alignment horizontal="right" vertical="center"/>
    </xf>
    <xf numFmtId="3" fontId="45" fillId="2" borderId="29" xfId="2" applyNumberFormat="1" applyFont="1" applyFill="1" applyBorder="1" applyAlignment="1">
      <alignment horizontal="right" vertical="center"/>
    </xf>
    <xf numFmtId="3" fontId="45" fillId="2" borderId="33" xfId="2" applyNumberFormat="1" applyFont="1" applyFill="1" applyBorder="1" applyAlignment="1">
      <alignment vertical="center"/>
    </xf>
    <xf numFmtId="3" fontId="45" fillId="2" borderId="32" xfId="2" applyNumberFormat="1" applyFont="1" applyFill="1" applyBorder="1" applyAlignment="1">
      <alignment vertical="center"/>
    </xf>
    <xf numFmtId="3" fontId="45" fillId="2" borderId="33" xfId="2" applyNumberFormat="1" applyFont="1" applyFill="1" applyBorder="1" applyAlignment="1">
      <alignment horizontal="right" vertical="center"/>
    </xf>
    <xf numFmtId="0" fontId="109" fillId="2" borderId="30" xfId="2" applyFont="1" applyFill="1" applyBorder="1"/>
    <xf numFmtId="0" fontId="109" fillId="2" borderId="0" xfId="2" applyFont="1" applyFill="1" applyBorder="1"/>
    <xf numFmtId="0" fontId="109" fillId="2" borderId="33" xfId="2" applyFont="1" applyFill="1" applyBorder="1"/>
    <xf numFmtId="0" fontId="109" fillId="2" borderId="0" xfId="2" applyFont="1" applyFill="1" applyBorder="1" applyAlignment="1">
      <alignment horizontal="left" vertical="center" wrapText="1"/>
    </xf>
    <xf numFmtId="0" fontId="109" fillId="2" borderId="0" xfId="2" applyFont="1" applyFill="1" applyBorder="1" applyAlignment="1">
      <alignment vertical="center" wrapText="1"/>
    </xf>
    <xf numFmtId="0" fontId="109" fillId="2" borderId="30" xfId="2" applyFont="1" applyFill="1" applyBorder="1" applyAlignment="1">
      <alignment vertical="center" wrapText="1"/>
    </xf>
    <xf numFmtId="165" fontId="45" fillId="0" borderId="0" xfId="0" applyNumberFormat="1" applyFont="1" applyFill="1" applyBorder="1" applyAlignment="1">
      <alignment horizontal="center"/>
    </xf>
    <xf numFmtId="0" fontId="109" fillId="2" borderId="0" xfId="0" applyFont="1" applyFill="1" applyBorder="1" applyAlignment="1">
      <alignment vertical="center"/>
    </xf>
    <xf numFmtId="1" fontId="112" fillId="0" borderId="25" xfId="0" applyNumberFormat="1" applyFont="1" applyFill="1" applyBorder="1" applyAlignment="1">
      <alignment vertical="top"/>
    </xf>
    <xf numFmtId="0" fontId="93" fillId="0" borderId="25" xfId="0" applyFont="1" applyFill="1" applyBorder="1" applyAlignment="1">
      <alignment vertical="top" wrapText="1"/>
    </xf>
    <xf numFmtId="165" fontId="45" fillId="2" borderId="0" xfId="0" applyNumberFormat="1" applyFont="1" applyFill="1" applyBorder="1" applyAlignment="1"/>
    <xf numFmtId="165" fontId="45" fillId="2" borderId="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top" wrapText="1"/>
    </xf>
    <xf numFmtId="165" fontId="45" fillId="2" borderId="0" xfId="0" applyNumberFormat="1" applyFont="1" applyFill="1" applyBorder="1" applyAlignment="1">
      <alignment vertical="top" wrapText="1"/>
    </xf>
    <xf numFmtId="3" fontId="45" fillId="2" borderId="0" xfId="0" applyNumberFormat="1" applyFont="1" applyFill="1" applyBorder="1" applyAlignment="1"/>
    <xf numFmtId="3" fontId="45" fillId="2" borderId="0" xfId="0" applyNumberFormat="1" applyFont="1" applyFill="1" applyBorder="1" applyAlignment="1">
      <alignment vertical="top"/>
    </xf>
    <xf numFmtId="0" fontId="109" fillId="2" borderId="25" xfId="0" applyFont="1" applyFill="1" applyBorder="1" applyAlignment="1">
      <alignment horizontal="left" wrapText="1"/>
    </xf>
    <xf numFmtId="165" fontId="45" fillId="2" borderId="25" xfId="0" applyNumberFormat="1" applyFont="1" applyFill="1" applyBorder="1" applyAlignment="1">
      <alignment vertical="center"/>
    </xf>
    <xf numFmtId="0" fontId="45" fillId="2" borderId="6" xfId="0" applyFont="1" applyFill="1" applyBorder="1" applyAlignment="1">
      <alignment horizontal="left" vertical="center"/>
    </xf>
    <xf numFmtId="165" fontId="45" fillId="2" borderId="6" xfId="0" applyNumberFormat="1" applyFont="1" applyFill="1" applyBorder="1" applyAlignment="1">
      <alignment vertical="center"/>
    </xf>
    <xf numFmtId="3" fontId="45" fillId="2" borderId="30" xfId="0" applyNumberFormat="1" applyFont="1" applyFill="1" applyBorder="1" applyAlignment="1"/>
    <xf numFmtId="3" fontId="45" fillId="2" borderId="30" xfId="0" applyNumberFormat="1" applyFont="1" applyFill="1" applyBorder="1" applyAlignment="1">
      <alignment vertical="top"/>
    </xf>
    <xf numFmtId="165" fontId="45" fillId="2" borderId="33" xfId="0" applyNumberFormat="1" applyFont="1" applyFill="1" applyBorder="1" applyAlignment="1"/>
    <xf numFmtId="165" fontId="45" fillId="2" borderId="33" xfId="0" applyNumberFormat="1" applyFont="1" applyFill="1" applyBorder="1" applyAlignment="1">
      <alignment vertical="center"/>
    </xf>
    <xf numFmtId="165" fontId="45" fillId="2" borderId="33" xfId="0" applyNumberFormat="1" applyFont="1" applyFill="1" applyBorder="1" applyAlignment="1">
      <alignment vertical="top" wrapText="1"/>
    </xf>
    <xf numFmtId="165" fontId="45" fillId="2" borderId="32" xfId="0" applyNumberFormat="1" applyFont="1" applyFill="1" applyBorder="1" applyAlignment="1">
      <alignment vertical="center"/>
    </xf>
    <xf numFmtId="165" fontId="45" fillId="2" borderId="34" xfId="0" applyNumberFormat="1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wrapText="1"/>
    </xf>
    <xf numFmtId="0" fontId="120" fillId="2" borderId="32" xfId="0" applyFont="1" applyFill="1" applyBorder="1" applyAlignment="1">
      <alignment vertical="center"/>
    </xf>
    <xf numFmtId="3" fontId="4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45" fillId="0" borderId="25" xfId="0" applyFont="1" applyFill="1" applyBorder="1" applyAlignment="1">
      <alignment horizontal="left" wrapText="1"/>
    </xf>
    <xf numFmtId="3" fontId="45" fillId="0" borderId="25" xfId="0" applyNumberFormat="1" applyFont="1" applyFill="1" applyBorder="1"/>
    <xf numFmtId="3" fontId="45" fillId="0" borderId="25" xfId="0" applyNumberFormat="1" applyFont="1" applyFill="1" applyBorder="1" applyAlignment="1">
      <alignment horizontal="center"/>
    </xf>
    <xf numFmtId="0" fontId="9" fillId="0" borderId="25" xfId="0" applyFont="1" applyFill="1" applyBorder="1"/>
    <xf numFmtId="3" fontId="45" fillId="0" borderId="25" xfId="0" applyNumberFormat="1" applyFont="1" applyFill="1" applyBorder="1" applyAlignment="1">
      <alignment horizontal="right"/>
    </xf>
    <xf numFmtId="165" fontId="45" fillId="0" borderId="25" xfId="0" applyNumberFormat="1" applyFont="1" applyFill="1" applyBorder="1" applyAlignment="1">
      <alignment horizontal="center"/>
    </xf>
    <xf numFmtId="3" fontId="45" fillId="0" borderId="28" xfId="0" applyNumberFormat="1" applyFont="1" applyFill="1" applyBorder="1"/>
    <xf numFmtId="3" fontId="45" fillId="0" borderId="26" xfId="0" applyNumberFormat="1" applyFont="1" applyFill="1" applyBorder="1"/>
    <xf numFmtId="3" fontId="45" fillId="0" borderId="26" xfId="0" applyNumberFormat="1" applyFont="1" applyFill="1" applyBorder="1" applyAlignment="1">
      <alignment horizontal="center"/>
    </xf>
    <xf numFmtId="3" fontId="45" fillId="0" borderId="29" xfId="0" applyNumberFormat="1" applyFont="1" applyFill="1" applyBorder="1"/>
    <xf numFmtId="3" fontId="45" fillId="0" borderId="30" xfId="0" applyNumberFormat="1" applyFont="1" applyFill="1" applyBorder="1" applyAlignment="1">
      <alignment horizontal="right"/>
    </xf>
    <xf numFmtId="3" fontId="45" fillId="0" borderId="29" xfId="0" applyNumberFormat="1" applyFont="1" applyFill="1" applyBorder="1" applyAlignment="1">
      <alignment horizontal="right"/>
    </xf>
    <xf numFmtId="3" fontId="45" fillId="0" borderId="31" xfId="0" applyNumberFormat="1" applyFont="1" applyFill="1" applyBorder="1" applyAlignment="1">
      <alignment horizontal="center"/>
    </xf>
    <xf numFmtId="3" fontId="45" fillId="0" borderId="32" xfId="0" applyNumberFormat="1" applyFont="1" applyFill="1" applyBorder="1" applyAlignment="1">
      <alignment horizontal="center"/>
    </xf>
    <xf numFmtId="165" fontId="45" fillId="0" borderId="33" xfId="0" applyNumberFormat="1" applyFont="1" applyFill="1" applyBorder="1" applyAlignment="1">
      <alignment horizontal="center"/>
    </xf>
    <xf numFmtId="165" fontId="45" fillId="0" borderId="32" xfId="0" applyNumberFormat="1" applyFont="1" applyFill="1" applyBorder="1" applyAlignment="1">
      <alignment horizontal="center"/>
    </xf>
    <xf numFmtId="0" fontId="121" fillId="0" borderId="30" xfId="0" applyFont="1" applyFill="1" applyBorder="1"/>
    <xf numFmtId="3" fontId="118" fillId="0" borderId="30" xfId="0" applyNumberFormat="1" applyFont="1" applyFill="1" applyBorder="1" applyAlignment="1">
      <alignment horizontal="right"/>
    </xf>
    <xf numFmtId="0" fontId="118" fillId="0" borderId="30" xfId="0" applyFont="1" applyFill="1" applyBorder="1" applyAlignment="1">
      <alignment horizontal="right"/>
    </xf>
    <xf numFmtId="0" fontId="9" fillId="0" borderId="29" xfId="0" applyFont="1" applyFill="1" applyBorder="1"/>
    <xf numFmtId="0" fontId="121" fillId="0" borderId="33" xfId="0" applyFont="1" applyFill="1" applyBorder="1"/>
    <xf numFmtId="0" fontId="9" fillId="0" borderId="32" xfId="0" applyFont="1" applyFill="1" applyBorder="1"/>
    <xf numFmtId="0" fontId="127" fillId="0" borderId="30" xfId="0" applyFont="1" applyFill="1" applyBorder="1" applyAlignment="1">
      <alignment horizontal="left" vertical="top"/>
    </xf>
    <xf numFmtId="0" fontId="109" fillId="2" borderId="0" xfId="0" applyFont="1" applyFill="1" applyBorder="1" applyAlignment="1">
      <alignment horizontal="left" vertical="center"/>
    </xf>
    <xf numFmtId="1" fontId="93" fillId="0" borderId="0" xfId="0" applyNumberFormat="1" applyFont="1" applyFill="1" applyBorder="1" applyAlignment="1">
      <alignment vertical="center" wrapText="1"/>
    </xf>
    <xf numFmtId="1" fontId="93" fillId="0" borderId="0" xfId="0" applyNumberFormat="1" applyFont="1" applyFill="1" applyBorder="1" applyAlignment="1">
      <alignment horizontal="left" vertical="center" wrapText="1"/>
    </xf>
    <xf numFmtId="0" fontId="93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vertical="center" wrapText="1"/>
    </xf>
    <xf numFmtId="1" fontId="109" fillId="2" borderId="0" xfId="0" applyNumberFormat="1" applyFont="1" applyFill="1" applyBorder="1" applyAlignment="1">
      <alignment horizontal="right" vertical="center" wrapText="1"/>
    </xf>
    <xf numFmtId="0" fontId="109" fillId="2" borderId="0" xfId="0" applyFont="1" applyFill="1" applyBorder="1" applyAlignment="1">
      <alignment horizontal="left" wrapText="1"/>
    </xf>
    <xf numFmtId="0" fontId="45" fillId="2" borderId="0" xfId="0" applyFont="1" applyFill="1" applyBorder="1" applyAlignment="1">
      <alignment wrapText="1"/>
    </xf>
    <xf numFmtId="164" fontId="45" fillId="2" borderId="0" xfId="1" applyNumberFormat="1" applyFont="1" applyFill="1" applyBorder="1" applyAlignment="1">
      <alignment horizontal="right" vertical="center"/>
    </xf>
    <xf numFmtId="3" fontId="45" fillId="2" borderId="26" xfId="0" applyNumberFormat="1" applyFont="1" applyFill="1" applyBorder="1" applyAlignment="1">
      <alignment horizontal="right" vertical="center"/>
    </xf>
    <xf numFmtId="164" fontId="45" fillId="2" borderId="26" xfId="1" applyNumberFormat="1" applyFont="1" applyFill="1" applyBorder="1" applyAlignment="1">
      <alignment horizontal="right" vertical="center"/>
    </xf>
    <xf numFmtId="3" fontId="45" fillId="2" borderId="25" xfId="0" applyNumberFormat="1" applyFont="1" applyFill="1" applyBorder="1" applyAlignment="1">
      <alignment horizontal="right" vertical="center"/>
    </xf>
    <xf numFmtId="164" fontId="45" fillId="2" borderId="25" xfId="1" applyNumberFormat="1" applyFont="1" applyFill="1" applyBorder="1" applyAlignment="1">
      <alignment horizontal="right" vertical="center"/>
    </xf>
    <xf numFmtId="3" fontId="45" fillId="2" borderId="28" xfId="0" applyNumberFormat="1" applyFont="1" applyFill="1" applyBorder="1" applyAlignment="1">
      <alignment horizontal="right" vertical="center"/>
    </xf>
    <xf numFmtId="3" fontId="45" fillId="2" borderId="30" xfId="0" applyNumberFormat="1" applyFont="1" applyFill="1" applyBorder="1" applyAlignment="1">
      <alignment horizontal="right" vertical="center"/>
    </xf>
    <xf numFmtId="3" fontId="45" fillId="2" borderId="29" xfId="0" applyNumberFormat="1" applyFont="1" applyFill="1" applyBorder="1" applyAlignment="1">
      <alignment horizontal="right" vertical="center"/>
    </xf>
    <xf numFmtId="1" fontId="93" fillId="0" borderId="25" xfId="0" applyNumberFormat="1" applyFont="1" applyFill="1" applyBorder="1" applyAlignment="1">
      <alignment vertical="center" wrapText="1"/>
    </xf>
    <xf numFmtId="1" fontId="93" fillId="0" borderId="25" xfId="0" applyNumberFormat="1" applyFont="1" applyFill="1" applyBorder="1" applyAlignment="1">
      <alignment horizontal="left" vertical="center" wrapText="1"/>
    </xf>
    <xf numFmtId="0" fontId="93" fillId="0" borderId="25" xfId="0" applyFont="1" applyFill="1" applyBorder="1" applyAlignment="1">
      <alignment vertical="center" wrapText="1"/>
    </xf>
    <xf numFmtId="0" fontId="109" fillId="2" borderId="25" xfId="0" applyFont="1" applyFill="1" applyBorder="1" applyAlignment="1">
      <alignment horizontal="left" vertical="center"/>
    </xf>
    <xf numFmtId="3" fontId="109" fillId="2" borderId="25" xfId="0" applyNumberFormat="1" applyFont="1" applyFill="1" applyBorder="1" applyAlignment="1">
      <alignment horizontal="right" vertical="center"/>
    </xf>
    <xf numFmtId="164" fontId="109" fillId="2" borderId="25" xfId="1" applyNumberFormat="1" applyFont="1" applyFill="1" applyBorder="1" applyAlignment="1">
      <alignment horizontal="right" vertical="center"/>
    </xf>
    <xf numFmtId="3" fontId="109" fillId="2" borderId="29" xfId="0" applyNumberFormat="1" applyFont="1" applyFill="1" applyBorder="1" applyAlignment="1">
      <alignment horizontal="right" vertical="center"/>
    </xf>
    <xf numFmtId="0" fontId="109" fillId="2" borderId="25" xfId="0" applyFont="1" applyFill="1" applyBorder="1" applyAlignment="1">
      <alignment vertical="top" wrapText="1"/>
    </xf>
    <xf numFmtId="0" fontId="109" fillId="2" borderId="25" xfId="0" applyFont="1" applyFill="1" applyBorder="1" applyAlignment="1">
      <alignment horizontal="left" vertical="top" wrapText="1"/>
    </xf>
    <xf numFmtId="165" fontId="115" fillId="2" borderId="0" xfId="1" applyNumberFormat="1" applyFont="1" applyFill="1" applyBorder="1" applyAlignment="1">
      <alignment horizontal="right" vertical="center"/>
    </xf>
    <xf numFmtId="165" fontId="115" fillId="2" borderId="0" xfId="0" applyNumberFormat="1" applyFont="1" applyFill="1" applyBorder="1" applyAlignment="1">
      <alignment horizontal="right" vertical="center"/>
    </xf>
    <xf numFmtId="165" fontId="45" fillId="2" borderId="0" xfId="1" applyNumberFormat="1" applyFont="1" applyFill="1" applyBorder="1" applyAlignment="1">
      <alignment horizontal="right" vertical="center"/>
    </xf>
    <xf numFmtId="165" fontId="45" fillId="2" borderId="0" xfId="0" applyNumberFormat="1" applyFont="1" applyFill="1" applyBorder="1" applyAlignment="1">
      <alignment horizontal="right" vertical="center"/>
    </xf>
    <xf numFmtId="165" fontId="45" fillId="2" borderId="25" xfId="1" applyNumberFormat="1" applyFont="1" applyFill="1" applyBorder="1" applyAlignment="1">
      <alignment horizontal="right" vertical="center"/>
    </xf>
    <xf numFmtId="165" fontId="45" fillId="2" borderId="25" xfId="0" applyNumberFormat="1" applyFont="1" applyFill="1" applyBorder="1" applyAlignment="1">
      <alignment horizontal="right" vertical="center"/>
    </xf>
    <xf numFmtId="165" fontId="115" fillId="2" borderId="30" xfId="1" applyNumberFormat="1" applyFont="1" applyFill="1" applyBorder="1" applyAlignment="1">
      <alignment horizontal="right" vertical="center"/>
    </xf>
    <xf numFmtId="165" fontId="45" fillId="2" borderId="29" xfId="1" applyNumberFormat="1" applyFont="1" applyFill="1" applyBorder="1" applyAlignment="1">
      <alignment horizontal="right" vertical="center"/>
    </xf>
    <xf numFmtId="164" fontId="45" fillId="2" borderId="33" xfId="1" applyNumberFormat="1" applyFont="1" applyFill="1" applyBorder="1" applyAlignment="1">
      <alignment horizontal="right" vertical="center"/>
    </xf>
    <xf numFmtId="164" fontId="45" fillId="2" borderId="32" xfId="1" applyNumberFormat="1" applyFont="1" applyFill="1" applyBorder="1" applyAlignment="1">
      <alignment horizontal="right" vertical="center"/>
    </xf>
    <xf numFmtId="3" fontId="45" fillId="2" borderId="30" xfId="2" applyNumberFormat="1" applyFont="1" applyFill="1" applyBorder="1" applyAlignment="1">
      <alignment vertical="center"/>
    </xf>
    <xf numFmtId="3" fontId="45" fillId="2" borderId="29" xfId="2" applyNumberFormat="1" applyFont="1" applyFill="1" applyBorder="1" applyAlignment="1">
      <alignment vertical="center"/>
    </xf>
    <xf numFmtId="0" fontId="109" fillId="2" borderId="26" xfId="2" applyFont="1" applyFill="1" applyBorder="1" applyAlignment="1">
      <alignment horizontal="left" vertical="center" wrapText="1"/>
    </xf>
    <xf numFmtId="0" fontId="45" fillId="2" borderId="32" xfId="2" applyFont="1" applyFill="1" applyBorder="1" applyAlignment="1">
      <alignment horizontal="left"/>
    </xf>
    <xf numFmtId="0" fontId="109" fillId="2" borderId="29" xfId="2" applyFont="1" applyFill="1" applyBorder="1" applyAlignment="1">
      <alignment horizontal="right" textRotation="90" wrapText="1"/>
    </xf>
    <xf numFmtId="0" fontId="109" fillId="2" borderId="32" xfId="2" applyFont="1" applyFill="1" applyBorder="1" applyAlignment="1">
      <alignment horizontal="right" textRotation="90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8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vertical="center" wrapText="1"/>
    </xf>
    <xf numFmtId="0" fontId="109" fillId="2" borderId="29" xfId="0" applyFont="1" applyFill="1" applyBorder="1" applyAlignment="1">
      <alignment vertical="top" wrapText="1"/>
    </xf>
    <xf numFmtId="164" fontId="110" fillId="2" borderId="0" xfId="1" applyNumberFormat="1" applyFont="1" applyFill="1" applyBorder="1" applyAlignment="1">
      <alignment horizontal="right" vertical="center"/>
    </xf>
    <xf numFmtId="0" fontId="109" fillId="2" borderId="30" xfId="0" applyFont="1" applyFill="1" applyBorder="1" applyAlignment="1">
      <alignment horizontal="right"/>
    </xf>
    <xf numFmtId="0" fontId="109" fillId="2" borderId="0" xfId="0" applyFont="1" applyFill="1" applyBorder="1" applyAlignment="1">
      <alignment horizontal="right"/>
    </xf>
    <xf numFmtId="0" fontId="138" fillId="2" borderId="30" xfId="0" applyFont="1" applyFill="1" applyBorder="1" applyAlignment="1">
      <alignment horizontal="right" wrapText="1"/>
    </xf>
    <xf numFmtId="0" fontId="138" fillId="2" borderId="0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left" vertical="center" wrapText="1"/>
    </xf>
    <xf numFmtId="0" fontId="138" fillId="2" borderId="29" xfId="0" applyFont="1" applyFill="1" applyBorder="1" applyAlignment="1">
      <alignment horizontal="right" wrapText="1"/>
    </xf>
    <xf numFmtId="0" fontId="138" fillId="2" borderId="25" xfId="0" applyFont="1" applyFill="1" applyBorder="1" applyAlignment="1">
      <alignment horizontal="right" wrapText="1"/>
    </xf>
    <xf numFmtId="0" fontId="93" fillId="2" borderId="0" xfId="0" applyFont="1" applyFill="1" applyBorder="1" applyAlignment="1">
      <alignment horizontal="left" wrapText="1"/>
    </xf>
    <xf numFmtId="1" fontId="109" fillId="2" borderId="26" xfId="0" applyNumberFormat="1" applyFont="1" applyFill="1" applyBorder="1" applyAlignment="1">
      <alignment horizontal="left" vertical="center" wrapText="1"/>
    </xf>
    <xf numFmtId="0" fontId="45" fillId="2" borderId="0" xfId="0" applyFont="1" applyFill="1" applyBorder="1"/>
    <xf numFmtId="0" fontId="45" fillId="0" borderId="25" xfId="0" applyFont="1" applyFill="1" applyBorder="1"/>
    <xf numFmtId="0" fontId="109" fillId="2" borderId="25" xfId="0" applyFont="1" applyFill="1" applyBorder="1" applyAlignment="1">
      <alignment vertical="top"/>
    </xf>
    <xf numFmtId="0" fontId="109" fillId="2" borderId="25" xfId="0" applyFont="1" applyFill="1" applyBorder="1" applyAlignment="1">
      <alignment horizontal="center"/>
    </xf>
    <xf numFmtId="0" fontId="45" fillId="2" borderId="6" xfId="0" applyFont="1" applyFill="1" applyBorder="1" applyAlignment="1">
      <alignment vertical="center"/>
    </xf>
    <xf numFmtId="1" fontId="45" fillId="2" borderId="6" xfId="0" applyNumberFormat="1" applyFont="1" applyFill="1" applyBorder="1" applyAlignment="1">
      <alignment vertical="center" wrapText="1"/>
    </xf>
    <xf numFmtId="0" fontId="45" fillId="2" borderId="6" xfId="0" applyFont="1" applyFill="1" applyBorder="1" applyAlignment="1">
      <alignment horizontal="right" vertical="center"/>
    </xf>
    <xf numFmtId="3" fontId="45" fillId="2" borderId="6" xfId="0" applyNumberFormat="1" applyFont="1" applyFill="1" applyBorder="1" applyAlignment="1">
      <alignment horizontal="right" vertical="center"/>
    </xf>
    <xf numFmtId="164" fontId="45" fillId="2" borderId="6" xfId="1" applyNumberFormat="1" applyFont="1" applyFill="1" applyBorder="1" applyAlignment="1">
      <alignment horizontal="right" vertical="center"/>
    </xf>
    <xf numFmtId="0" fontId="109" fillId="2" borderId="6" xfId="0" applyFont="1" applyFill="1" applyBorder="1" applyAlignment="1">
      <alignment vertical="center" wrapText="1"/>
    </xf>
    <xf numFmtId="0" fontId="109" fillId="2" borderId="30" xfId="0" applyFont="1" applyFill="1" applyBorder="1" applyAlignment="1">
      <alignment vertical="top" wrapText="1"/>
    </xf>
    <xf numFmtId="0" fontId="129" fillId="0" borderId="30" xfId="0" applyFont="1" applyFill="1" applyBorder="1"/>
    <xf numFmtId="0" fontId="109" fillId="2" borderId="25" xfId="0" applyFont="1" applyFill="1" applyBorder="1" applyAlignment="1">
      <alignment horizontal="center" vertical="center" wrapText="1"/>
    </xf>
    <xf numFmtId="164" fontId="45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textRotation="90" wrapText="1"/>
    </xf>
    <xf numFmtId="0" fontId="109" fillId="2" borderId="25" xfId="2" applyFont="1" applyFill="1" applyBorder="1" applyAlignment="1">
      <alignment horizontal="center" textRotation="90" wrapText="1"/>
    </xf>
    <xf numFmtId="0" fontId="107" fillId="0" borderId="0" xfId="2" quotePrefix="1" applyFont="1" applyFill="1" applyBorder="1" applyAlignment="1">
      <alignment horizontal="left"/>
    </xf>
    <xf numFmtId="0" fontId="107" fillId="0" borderId="0" xfId="2" applyFont="1" applyFill="1" applyBorder="1" applyAlignment="1">
      <alignment horizontal="left"/>
    </xf>
    <xf numFmtId="0" fontId="140" fillId="0" borderId="0" xfId="2" applyFont="1" applyFill="1" applyBorder="1" applyAlignment="1"/>
    <xf numFmtId="0" fontId="116" fillId="0" borderId="0" xfId="2" applyFont="1" applyFill="1" applyBorder="1" applyAlignment="1">
      <alignment wrapText="1"/>
    </xf>
    <xf numFmtId="165" fontId="116" fillId="0" borderId="0" xfId="2" applyNumberFormat="1" applyFont="1" applyFill="1" applyBorder="1"/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center"/>
    </xf>
    <xf numFmtId="165" fontId="45" fillId="2" borderId="31" xfId="20" applyNumberFormat="1" applyFont="1" applyFill="1" applyBorder="1" applyAlignment="1">
      <alignment horizontal="right" vertical="center"/>
    </xf>
    <xf numFmtId="0" fontId="9" fillId="0" borderId="0" xfId="1539" applyFont="1"/>
    <xf numFmtId="0" fontId="9" fillId="0" borderId="0" xfId="1539"/>
    <xf numFmtId="0" fontId="141" fillId="0" borderId="0" xfId="1539" applyFont="1"/>
    <xf numFmtId="0" fontId="92" fillId="0" borderId="0" xfId="0" applyFont="1" applyFill="1"/>
    <xf numFmtId="0" fontId="92" fillId="0" borderId="0" xfId="1539" applyFont="1"/>
    <xf numFmtId="0" fontId="142" fillId="0" borderId="0" xfId="1539" applyFont="1" applyAlignment="1">
      <alignment horizontal="left"/>
    </xf>
    <xf numFmtId="184" fontId="142" fillId="0" borderId="0" xfId="1539" applyNumberFormat="1" applyFont="1" applyAlignment="1">
      <alignment horizontal="left"/>
    </xf>
    <xf numFmtId="165" fontId="45" fillId="2" borderId="32" xfId="20" applyNumberFormat="1" applyFont="1" applyFill="1" applyBorder="1" applyAlignment="1">
      <alignment horizontal="right" vertical="center"/>
    </xf>
    <xf numFmtId="165" fontId="45" fillId="2" borderId="34" xfId="20" applyNumberFormat="1" applyFont="1" applyFill="1" applyBorder="1" applyAlignment="1">
      <alignment horizontal="right" vertical="center"/>
    </xf>
    <xf numFmtId="165" fontId="45" fillId="2" borderId="25" xfId="20" applyNumberFormat="1" applyFont="1" applyFill="1" applyBorder="1" applyAlignment="1">
      <alignment horizontal="right" vertical="center"/>
    </xf>
    <xf numFmtId="165" fontId="45" fillId="2" borderId="6" xfId="20" applyNumberFormat="1" applyFont="1" applyFill="1" applyBorder="1" applyAlignment="1">
      <alignment horizontal="right" vertical="center"/>
    </xf>
    <xf numFmtId="0" fontId="116" fillId="0" borderId="0" xfId="2" applyFont="1" applyFill="1" applyBorder="1"/>
    <xf numFmtId="165" fontId="45" fillId="2" borderId="26" xfId="20" applyNumberFormat="1" applyFont="1" applyFill="1" applyBorder="1" applyAlignment="1">
      <alignment horizontal="right" vertical="center"/>
    </xf>
    <xf numFmtId="165" fontId="122" fillId="0" borderId="0" xfId="0" applyNumberFormat="1" applyFont="1" applyFill="1"/>
    <xf numFmtId="165" fontId="45" fillId="2" borderId="27" xfId="2" applyNumberFormat="1" applyFont="1" applyFill="1" applyBorder="1" applyAlignment="1">
      <alignment horizontal="right" vertical="center"/>
    </xf>
    <xf numFmtId="165" fontId="45" fillId="2" borderId="2" xfId="2" applyNumberFormat="1" applyFont="1" applyFill="1" applyBorder="1" applyAlignment="1">
      <alignment horizontal="right" vertical="center"/>
    </xf>
    <xf numFmtId="165" fontId="45" fillId="2" borderId="34" xfId="2" applyNumberFormat="1" applyFont="1" applyFill="1" applyBorder="1" applyAlignment="1">
      <alignment horizontal="right" vertical="center"/>
    </xf>
    <xf numFmtId="165" fontId="45" fillId="2" borderId="29" xfId="20" applyNumberFormat="1" applyFont="1" applyFill="1" applyBorder="1" applyAlignment="1">
      <alignment horizontal="right" vertical="center"/>
    </xf>
    <xf numFmtId="165" fontId="45" fillId="2" borderId="27" xfId="20" applyNumberFormat="1" applyFont="1" applyFill="1" applyBorder="1" applyAlignment="1">
      <alignment horizontal="right" vertical="center"/>
    </xf>
    <xf numFmtId="164" fontId="45" fillId="2" borderId="6" xfId="1" applyNumberFormat="1" applyFont="1" applyFill="1" applyBorder="1" applyAlignment="1">
      <alignment vertical="center"/>
    </xf>
    <xf numFmtId="3" fontId="45" fillId="2" borderId="32" xfId="2" applyNumberFormat="1" applyFont="1" applyFill="1" applyBorder="1" applyAlignment="1">
      <alignment horizontal="right" vertical="center"/>
    </xf>
    <xf numFmtId="3" fontId="45" fillId="2" borderId="27" xfId="2" applyNumberFormat="1" applyFont="1" applyFill="1" applyBorder="1" applyAlignment="1">
      <alignment horizontal="right" vertical="center"/>
    </xf>
    <xf numFmtId="3" fontId="45" fillId="2" borderId="6" xfId="2" applyNumberFormat="1" applyFont="1" applyFill="1" applyBorder="1" applyAlignment="1">
      <alignment horizontal="right" vertical="center"/>
    </xf>
    <xf numFmtId="3" fontId="45" fillId="2" borderId="34" xfId="2" applyNumberFormat="1" applyFont="1" applyFill="1" applyBorder="1" applyAlignment="1">
      <alignment horizontal="right" vertical="center"/>
    </xf>
    <xf numFmtId="185" fontId="45" fillId="0" borderId="0" xfId="2" applyNumberFormat="1" applyFont="1" applyFill="1" applyBorder="1"/>
    <xf numFmtId="0" fontId="130" fillId="0" borderId="0" xfId="1535" applyFont="1" applyAlignment="1">
      <alignment horizontal="left" vertical="center" wrapText="1"/>
    </xf>
    <xf numFmtId="0" fontId="132" fillId="0" borderId="0" xfId="1535" applyFont="1" applyAlignment="1">
      <alignment horizontal="left" vertical="center" wrapText="1"/>
    </xf>
    <xf numFmtId="0" fontId="32" fillId="0" borderId="0" xfId="1535" applyFont="1" applyAlignment="1">
      <alignment horizontal="center"/>
    </xf>
    <xf numFmtId="49" fontId="32" fillId="0" borderId="0" xfId="1535" applyNumberFormat="1" applyFont="1" applyAlignment="1">
      <alignment horizontal="center" vertical="center"/>
    </xf>
    <xf numFmtId="49" fontId="33" fillId="0" borderId="0" xfId="1535" applyNumberFormat="1" applyFont="1" applyAlignment="1">
      <alignment horizontal="center" vertical="center"/>
    </xf>
    <xf numFmtId="0" fontId="97" fillId="0" borderId="0" xfId="0" applyFont="1" applyFill="1" applyAlignment="1">
      <alignment horizontal="justify" vertical="top" wrapText="1"/>
    </xf>
    <xf numFmtId="0" fontId="54" fillId="2" borderId="0" xfId="2" applyFont="1" applyFill="1" applyAlignment="1">
      <alignment horizontal="justify" wrapText="1"/>
    </xf>
    <xf numFmtId="3" fontId="92" fillId="0" borderId="0" xfId="2" applyNumberFormat="1" applyFont="1" applyFill="1" applyAlignment="1">
      <alignment horizontal="center"/>
    </xf>
    <xf numFmtId="0" fontId="107" fillId="0" borderId="25" xfId="2" applyFont="1" applyFill="1" applyBorder="1" applyAlignment="1">
      <alignment horizontal="left"/>
    </xf>
    <xf numFmtId="0" fontId="92" fillId="0" borderId="0" xfId="0" applyFont="1" applyBorder="1" applyAlignment="1">
      <alignment horizontal="right"/>
    </xf>
    <xf numFmtId="0" fontId="92" fillId="0" borderId="0" xfId="0" applyFont="1" applyAlignment="1">
      <alignment horizontal="right"/>
    </xf>
    <xf numFmtId="0" fontId="107" fillId="0" borderId="0" xfId="2" applyFont="1" applyFill="1" applyBorder="1" applyAlignment="1">
      <alignment horizontal="left"/>
    </xf>
    <xf numFmtId="0" fontId="54" fillId="2" borderId="0" xfId="2" applyFont="1" applyFill="1" applyAlignment="1">
      <alignment horizontal="justify" vertical="top" wrapText="1"/>
    </xf>
    <xf numFmtId="0" fontId="107" fillId="2" borderId="25" xfId="2" applyFont="1" applyFill="1" applyBorder="1" applyAlignment="1">
      <alignment horizontal="left" wrapText="1"/>
    </xf>
    <xf numFmtId="0" fontId="45" fillId="2" borderId="25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center" vertical="center" textRotation="90" wrapText="1"/>
    </xf>
    <xf numFmtId="0" fontId="109" fillId="2" borderId="0" xfId="0" applyFont="1" applyFill="1" applyBorder="1" applyAlignment="1">
      <alignment horizontal="center" vertical="center" textRotation="90" wrapText="1"/>
    </xf>
    <xf numFmtId="0" fontId="109" fillId="2" borderId="25" xfId="0" applyFont="1" applyFill="1" applyBorder="1" applyAlignment="1">
      <alignment horizontal="center" vertical="center" textRotation="90" wrapText="1"/>
    </xf>
    <xf numFmtId="0" fontId="45" fillId="2" borderId="26" xfId="0" applyFont="1" applyFill="1" applyBorder="1" applyAlignment="1">
      <alignment horizontal="left" vertical="top" wrapText="1"/>
    </xf>
    <xf numFmtId="0" fontId="45" fillId="2" borderId="0" xfId="0" applyFont="1" applyFill="1" applyBorder="1" applyAlignment="1">
      <alignment horizontal="left" vertical="top" wrapText="1"/>
    </xf>
    <xf numFmtId="0" fontId="45" fillId="2" borderId="25" xfId="0" applyFont="1" applyFill="1" applyBorder="1" applyAlignment="1">
      <alignment horizontal="left" vertical="top" wrapText="1"/>
    </xf>
    <xf numFmtId="0" fontId="45" fillId="2" borderId="6" xfId="0" applyFont="1" applyFill="1" applyBorder="1" applyAlignment="1">
      <alignment horizontal="left" vertical="center" wrapText="1"/>
    </xf>
    <xf numFmtId="0" fontId="103" fillId="0" borderId="0" xfId="0" applyFont="1" applyFill="1" applyAlignment="1">
      <alignment horizontal="justify" vertical="top" wrapText="1"/>
    </xf>
    <xf numFmtId="0" fontId="140" fillId="0" borderId="0" xfId="0" applyFont="1" applyFill="1" applyBorder="1" applyAlignment="1">
      <alignment horizontal="left"/>
    </xf>
    <xf numFmtId="1" fontId="93" fillId="0" borderId="0" xfId="0" applyNumberFormat="1" applyFont="1" applyFill="1" applyBorder="1" applyAlignment="1">
      <alignment horizontal="center" vertical="center"/>
    </xf>
    <xf numFmtId="0" fontId="93" fillId="0" borderId="0" xfId="0" applyFont="1" applyFill="1" applyBorder="1" applyAlignment="1">
      <alignment horizontal="center" vertical="center"/>
    </xf>
    <xf numFmtId="0" fontId="109" fillId="2" borderId="28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left" vertical="center"/>
    </xf>
    <xf numFmtId="0" fontId="109" fillId="2" borderId="31" xfId="0" applyFont="1" applyFill="1" applyBorder="1" applyAlignment="1">
      <alignment horizontal="left" vertical="center"/>
    </xf>
    <xf numFmtId="0" fontId="45" fillId="2" borderId="0" xfId="0" applyFont="1" applyFill="1" applyBorder="1" applyAlignment="1">
      <alignment horizontal="left" vertical="top"/>
    </xf>
    <xf numFmtId="0" fontId="45" fillId="2" borderId="25" xfId="0" applyFont="1" applyFill="1" applyBorder="1" applyAlignment="1">
      <alignment horizontal="left" vertical="top"/>
    </xf>
    <xf numFmtId="0" fontId="45" fillId="2" borderId="26" xfId="0" applyFont="1" applyFill="1" applyBorder="1" applyAlignment="1">
      <alignment horizontal="left" vertical="top"/>
    </xf>
    <xf numFmtId="0" fontId="109" fillId="2" borderId="27" xfId="2" applyFont="1" applyFill="1" applyBorder="1" applyAlignment="1">
      <alignment horizontal="left" vertical="top" wrapText="1"/>
    </xf>
    <xf numFmtId="0" fontId="109" fillId="2" borderId="6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 wrapText="1"/>
    </xf>
    <xf numFmtId="1" fontId="93" fillId="0" borderId="0" xfId="2" applyNumberFormat="1" applyFont="1" applyFill="1" applyBorder="1" applyAlignment="1">
      <alignment horizontal="center" vertical="center" wrapText="1"/>
    </xf>
    <xf numFmtId="0" fontId="93" fillId="0" borderId="0" xfId="2" applyFont="1" applyFill="1" applyBorder="1" applyAlignment="1">
      <alignment horizontal="center" vertical="center" wrapText="1"/>
    </xf>
    <xf numFmtId="0" fontId="140" fillId="0" borderId="0" xfId="2" applyFont="1" applyFill="1" applyBorder="1" applyAlignment="1">
      <alignment horizontal="left"/>
    </xf>
    <xf numFmtId="0" fontId="109" fillId="2" borderId="34" xfId="2" applyFont="1" applyFill="1" applyBorder="1" applyAlignment="1">
      <alignment horizontal="left" vertical="top" wrapText="1"/>
    </xf>
    <xf numFmtId="0" fontId="109" fillId="2" borderId="0" xfId="2" applyFont="1" applyFill="1" applyBorder="1" applyAlignment="1">
      <alignment horizontal="left" vertical="top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3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27" xfId="2" applyFont="1" applyFill="1" applyBorder="1" applyAlignment="1">
      <alignment horizontal="left" vertical="center" wrapText="1"/>
    </xf>
    <xf numFmtId="0" fontId="109" fillId="2" borderId="2" xfId="2" applyFont="1" applyFill="1" applyBorder="1" applyAlignment="1">
      <alignment horizontal="left" vertical="center" wrapText="1"/>
    </xf>
    <xf numFmtId="0" fontId="109" fillId="2" borderId="34" xfId="2" applyFont="1" applyFill="1" applyBorder="1" applyAlignment="1">
      <alignment horizontal="left" vertical="center" wrapText="1"/>
    </xf>
    <xf numFmtId="0" fontId="109" fillId="2" borderId="6" xfId="2" applyFont="1" applyFill="1" applyBorder="1" applyAlignment="1">
      <alignment horizontal="left" vertical="center" wrapText="1"/>
    </xf>
    <xf numFmtId="0" fontId="109" fillId="2" borderId="29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/>
    </xf>
    <xf numFmtId="0" fontId="117" fillId="0" borderId="0" xfId="2" applyFont="1" applyFill="1" applyBorder="1" applyAlignment="1">
      <alignment horizontal="right" vertical="center" wrapText="1"/>
    </xf>
    <xf numFmtId="1" fontId="45" fillId="0" borderId="0" xfId="2" applyNumberFormat="1" applyFont="1" applyFill="1" applyBorder="1" applyAlignment="1">
      <alignment horizontal="center" vertical="center"/>
    </xf>
    <xf numFmtId="1" fontId="93" fillId="0" borderId="25" xfId="2" applyNumberFormat="1" applyFont="1" applyFill="1" applyBorder="1" applyAlignment="1">
      <alignment horizontal="center" wrapText="1"/>
    </xf>
    <xf numFmtId="0" fontId="93" fillId="0" borderId="25" xfId="2" applyFont="1" applyFill="1" applyBorder="1" applyAlignment="1">
      <alignment horizontal="center" wrapText="1"/>
    </xf>
    <xf numFmtId="1" fontId="109" fillId="2" borderId="26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0" fontId="127" fillId="0" borderId="28" xfId="0" applyFont="1" applyFill="1" applyBorder="1" applyAlignment="1">
      <alignment horizontal="left"/>
    </xf>
    <xf numFmtId="0" fontId="127" fillId="0" borderId="26" xfId="0" applyFont="1" applyFill="1" applyBorder="1" applyAlignment="1">
      <alignment horizontal="left"/>
    </xf>
    <xf numFmtId="0" fontId="127" fillId="0" borderId="31" xfId="0" applyFont="1" applyFill="1" applyBorder="1" applyAlignment="1">
      <alignment horizontal="left"/>
    </xf>
    <xf numFmtId="0" fontId="140" fillId="0" borderId="0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/>
    </xf>
    <xf numFmtId="0" fontId="109" fillId="2" borderId="27" xfId="0" applyFont="1" applyFill="1" applyBorder="1" applyAlignment="1">
      <alignment horizontal="left" vertical="center"/>
    </xf>
    <xf numFmtId="0" fontId="109" fillId="2" borderId="34" xfId="0" applyFont="1" applyFill="1" applyBorder="1" applyAlignment="1">
      <alignment horizontal="lef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right" wrapText="1"/>
    </xf>
    <xf numFmtId="0" fontId="105" fillId="0" borderId="0" xfId="0" applyFont="1" applyFill="1" applyBorder="1" applyAlignment="1">
      <alignment horizontal="left"/>
    </xf>
    <xf numFmtId="1" fontId="105" fillId="0" borderId="0" xfId="0" applyNumberFormat="1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center"/>
    </xf>
    <xf numFmtId="0" fontId="45" fillId="2" borderId="26" xfId="0" applyFont="1" applyFill="1" applyBorder="1" applyAlignment="1">
      <alignment vertical="top" wrapText="1"/>
    </xf>
    <xf numFmtId="0" fontId="45" fillId="2" borderId="0" xfId="0" applyFont="1" applyFill="1" applyBorder="1" applyAlignment="1">
      <alignment vertical="top" wrapText="1"/>
    </xf>
    <xf numFmtId="0" fontId="45" fillId="2" borderId="25" xfId="0" applyFont="1" applyFill="1" applyBorder="1" applyAlignment="1">
      <alignment vertical="top" wrapText="1"/>
    </xf>
    <xf numFmtId="1" fontId="45" fillId="2" borderId="26" xfId="0" applyNumberFormat="1" applyFont="1" applyFill="1" applyBorder="1" applyAlignment="1">
      <alignment vertical="top" wrapText="1"/>
    </xf>
    <xf numFmtId="0" fontId="105" fillId="0" borderId="0" xfId="0" applyFont="1" applyFill="1" applyBorder="1" applyAlignment="1">
      <alignment horizontal="left" wrapText="1"/>
    </xf>
    <xf numFmtId="1" fontId="112" fillId="0" borderId="25" xfId="0" applyNumberFormat="1" applyFont="1" applyFill="1" applyBorder="1" applyAlignment="1">
      <alignment horizontal="left" vertical="center"/>
    </xf>
    <xf numFmtId="0" fontId="109" fillId="2" borderId="3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right" wrapText="1"/>
    </xf>
    <xf numFmtId="1" fontId="109" fillId="2" borderId="28" xfId="0" applyNumberFormat="1" applyFont="1" applyFill="1" applyBorder="1" applyAlignment="1">
      <alignment horizontal="left" vertical="top"/>
    </xf>
    <xf numFmtId="1" fontId="109" fillId="2" borderId="26" xfId="0" applyNumberFormat="1" applyFont="1" applyFill="1" applyBorder="1" applyAlignment="1">
      <alignment horizontal="left" vertical="top"/>
    </xf>
    <xf numFmtId="1" fontId="109" fillId="2" borderId="29" xfId="0" applyNumberFormat="1" applyFont="1" applyFill="1" applyBorder="1" applyAlignment="1">
      <alignment horizontal="left" vertical="top"/>
    </xf>
    <xf numFmtId="1" fontId="109" fillId="2" borderId="25" xfId="0" applyNumberFormat="1" applyFont="1" applyFill="1" applyBorder="1" applyAlignment="1">
      <alignment horizontal="left" vertical="top"/>
    </xf>
    <xf numFmtId="0" fontId="109" fillId="2" borderId="28" xfId="0" applyFont="1" applyFill="1" applyBorder="1" applyAlignment="1">
      <alignment horizontal="left" vertical="top" wrapText="1"/>
    </xf>
    <xf numFmtId="0" fontId="109" fillId="2" borderId="29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5" xfId="0" applyFont="1" applyFill="1" applyBorder="1" applyAlignment="1">
      <alignment horizontal="left" vertical="top" wrapText="1"/>
    </xf>
    <xf numFmtId="0" fontId="109" fillId="2" borderId="31" xfId="0" applyFont="1" applyFill="1" applyBorder="1" applyAlignment="1">
      <alignment horizontal="left" vertical="top" wrapText="1"/>
    </xf>
    <xf numFmtId="0" fontId="109" fillId="2" borderId="32" xfId="0" applyFont="1" applyFill="1" applyBorder="1" applyAlignment="1">
      <alignment horizontal="left" vertical="top" wrapText="1"/>
    </xf>
    <xf numFmtId="1" fontId="45" fillId="2" borderId="26" xfId="0" applyNumberFormat="1" applyFont="1" applyFill="1" applyBorder="1" applyAlignment="1">
      <alignment horizontal="left" vertical="top" wrapText="1"/>
    </xf>
    <xf numFmtId="1" fontId="45" fillId="2" borderId="0" xfId="0" applyNumberFormat="1" applyFont="1" applyFill="1" applyBorder="1" applyAlignment="1">
      <alignment horizontal="left" vertical="top" wrapText="1"/>
    </xf>
    <xf numFmtId="1" fontId="45" fillId="2" borderId="25" xfId="0" applyNumberFormat="1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horizontal="justify" vertical="top" wrapText="1"/>
    </xf>
    <xf numFmtId="0" fontId="140" fillId="0" borderId="0" xfId="0" applyFont="1" applyFill="1" applyBorder="1" applyAlignment="1">
      <alignment horizontal="left" wrapText="1"/>
    </xf>
    <xf numFmtId="0" fontId="109" fillId="2" borderId="27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 wrapText="1"/>
    </xf>
    <xf numFmtId="0" fontId="109" fillId="2" borderId="34" xfId="0" applyFont="1" applyFill="1" applyBorder="1" applyAlignment="1">
      <alignment horizontal="left" vertical="center" wrapText="1"/>
    </xf>
    <xf numFmtId="0" fontId="112" fillId="0" borderId="0" xfId="0" applyFont="1" applyFill="1" applyBorder="1" applyAlignment="1">
      <alignment horizontal="left" vertical="center"/>
    </xf>
    <xf numFmtId="0" fontId="109" fillId="2" borderId="33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0" fontId="107" fillId="2" borderId="25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top" wrapText="1"/>
    </xf>
    <xf numFmtId="0" fontId="105" fillId="0" borderId="0" xfId="0" applyFont="1" applyFill="1" applyBorder="1" applyAlignment="1">
      <alignment horizontal="center" vertical="top"/>
    </xf>
    <xf numFmtId="0" fontId="105" fillId="0" borderId="0" xfId="0" applyFont="1" applyFill="1" applyBorder="1" applyAlignment="1">
      <alignment horizontal="center" vertical="top" wrapText="1"/>
    </xf>
    <xf numFmtId="0" fontId="45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left" vertical="top" wrapText="1"/>
    </xf>
    <xf numFmtId="1" fontId="105" fillId="0" borderId="0" xfId="0" applyNumberFormat="1" applyFont="1" applyFill="1" applyBorder="1" applyAlignment="1">
      <alignment horizontal="center" vertical="top" wrapText="1"/>
    </xf>
    <xf numFmtId="1" fontId="105" fillId="0" borderId="0" xfId="0" applyNumberFormat="1" applyFont="1" applyFill="1" applyBorder="1" applyAlignment="1">
      <alignment horizontal="center" vertical="top"/>
    </xf>
    <xf numFmtId="0" fontId="109" fillId="2" borderId="26" xfId="0" applyFont="1" applyFill="1" applyBorder="1" applyAlignment="1">
      <alignment horizontal="right" wrapText="1"/>
    </xf>
    <xf numFmtId="0" fontId="109" fillId="2" borderId="31" xfId="0" applyFont="1" applyFill="1" applyBorder="1" applyAlignment="1">
      <alignment horizontal="right" wrapText="1"/>
    </xf>
    <xf numFmtId="0" fontId="105" fillId="0" borderId="0" xfId="0" applyFont="1" applyAlignment="1">
      <alignment horizontal="left" vertical="center" readingOrder="1"/>
    </xf>
    <xf numFmtId="1" fontId="112" fillId="0" borderId="0" xfId="2" applyNumberFormat="1" applyFont="1" applyFill="1" applyBorder="1" applyAlignment="1">
      <alignment horizontal="left" vertical="top" wrapText="1"/>
    </xf>
    <xf numFmtId="0" fontId="112" fillId="0" borderId="0" xfId="2" applyFont="1" applyFill="1" applyBorder="1" applyAlignment="1">
      <alignment horizontal="left" vertical="top" wrapText="1"/>
    </xf>
    <xf numFmtId="1" fontId="112" fillId="0" borderId="0" xfId="0" applyNumberFormat="1" applyFont="1" applyFill="1" applyBorder="1" applyAlignment="1">
      <alignment horizontal="left" vertical="center"/>
    </xf>
    <xf numFmtId="0" fontId="109" fillId="2" borderId="0" xfId="0" applyFont="1" applyFill="1" applyBorder="1" applyAlignment="1">
      <alignment horizontal="left" vertical="center"/>
    </xf>
    <xf numFmtId="0" fontId="109" fillId="2" borderId="25" xfId="0" applyFont="1" applyFill="1" applyBorder="1" applyAlignment="1">
      <alignment horizontal="left" vertical="center" wrapText="1"/>
    </xf>
    <xf numFmtId="0" fontId="109" fillId="2" borderId="28" xfId="0" applyFont="1" applyFill="1" applyBorder="1" applyAlignment="1">
      <alignment horizontal="left" vertical="center" wrapText="1"/>
    </xf>
    <xf numFmtId="0" fontId="109" fillId="2" borderId="26" xfId="0" applyFont="1" applyFill="1" applyBorder="1" applyAlignment="1">
      <alignment horizontal="left" vertical="center" wrapText="1"/>
    </xf>
    <xf numFmtId="0" fontId="109" fillId="2" borderId="31" xfId="0" applyFont="1" applyFill="1" applyBorder="1" applyAlignment="1">
      <alignment horizontal="left" vertical="center" wrapText="1"/>
    </xf>
    <xf numFmtId="0" fontId="109" fillId="2" borderId="0" xfId="0" applyFont="1" applyFill="1" applyBorder="1" applyAlignment="1">
      <alignment horizontal="left" vertical="center" wrapText="1"/>
    </xf>
    <xf numFmtId="1" fontId="109" fillId="2" borderId="6" xfId="0" applyNumberFormat="1" applyFont="1" applyFill="1" applyBorder="1" applyAlignment="1">
      <alignment horizontal="left" vertical="center"/>
    </xf>
    <xf numFmtId="0" fontId="105" fillId="0" borderId="0" xfId="2" applyFont="1" applyFill="1" applyAlignment="1">
      <alignment horizontal="left"/>
    </xf>
    <xf numFmtId="0" fontId="45" fillId="0" borderId="0" xfId="2" applyFont="1" applyFill="1" applyBorder="1" applyAlignment="1">
      <alignment horizontal="left"/>
    </xf>
    <xf numFmtId="0" fontId="45" fillId="0" borderId="0" xfId="2" applyFont="1" applyFill="1" applyBorder="1" applyAlignment="1">
      <alignment horizontal="left" vertical="top" wrapText="1"/>
    </xf>
  </cellXfs>
  <cellStyles count="1540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2 3" xfId="1539" xr:uid="{EC41200C-39F2-41F2-929E-0094D727D8BB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19 2" xfId="1537" xr:uid="{00000000-0005-0000-0000-0000CE010000}"/>
    <cellStyle name="Normální 19 3" xfId="1538" xr:uid="{FC2DA9EE-F984-412E-A44C-5D4015995987}"/>
    <cellStyle name="Normální 2" xfId="2" xr:uid="{00000000-0005-0000-0000-0000CF010000}"/>
    <cellStyle name="Normální 2 2" xfId="14" xr:uid="{00000000-0005-0000-0000-0000D0010000}"/>
    <cellStyle name="Normální 2 2 2" xfId="15" xr:uid="{00000000-0005-0000-0000-0000D1010000}"/>
    <cellStyle name="Normální 2 2 3" xfId="529" xr:uid="{00000000-0005-0000-0000-0000D2010000}"/>
    <cellStyle name="Normální 2 2 4" xfId="530" xr:uid="{00000000-0005-0000-0000-0000D3010000}"/>
    <cellStyle name="Normální 2 3" xfId="20" xr:uid="{00000000-0005-0000-0000-0000D4010000}"/>
    <cellStyle name="normální 2 4" xfId="531" xr:uid="{00000000-0005-0000-0000-0000D5010000}"/>
    <cellStyle name="Normální 2 5" xfId="532" xr:uid="{00000000-0005-0000-0000-0000D6010000}"/>
    <cellStyle name="Normální 2 6" xfId="533" xr:uid="{00000000-0005-0000-0000-0000D7010000}"/>
    <cellStyle name="Normální 2 7" xfId="1535" xr:uid="{00000000-0005-0000-0000-0000D8010000}"/>
    <cellStyle name="normální 2_120301 Výkazy PDS 11" xfId="534" xr:uid="{00000000-0005-0000-0000-0000D9010000}"/>
    <cellStyle name="Normální 3" xfId="5" xr:uid="{00000000-0005-0000-0000-0000DA010000}"/>
    <cellStyle name="Normální 3 2" xfId="535" xr:uid="{00000000-0005-0000-0000-0000DB010000}"/>
    <cellStyle name="Normální 3 2 2" xfId="536" xr:uid="{00000000-0005-0000-0000-0000DC010000}"/>
    <cellStyle name="normální 3 3" xfId="537" xr:uid="{00000000-0005-0000-0000-0000DD010000}"/>
    <cellStyle name="Normální 3 4" xfId="538" xr:uid="{00000000-0005-0000-0000-0000DE010000}"/>
    <cellStyle name="Normální 3 5" xfId="539" xr:uid="{00000000-0005-0000-0000-0000DF010000}"/>
    <cellStyle name="Normální 4" xfId="6" xr:uid="{00000000-0005-0000-0000-0000E0010000}"/>
    <cellStyle name="Normální 4 2" xfId="75" xr:uid="{00000000-0005-0000-0000-0000E1010000}"/>
    <cellStyle name="Normální 4 2 2" xfId="540" xr:uid="{00000000-0005-0000-0000-0000E2010000}"/>
    <cellStyle name="Normální 4 2 3" xfId="541" xr:uid="{00000000-0005-0000-0000-0000E3010000}"/>
    <cellStyle name="Normální 5" xfId="16" xr:uid="{00000000-0005-0000-0000-0000E4010000}"/>
    <cellStyle name="Normální 5 2" xfId="17" xr:uid="{00000000-0005-0000-0000-0000E5010000}"/>
    <cellStyle name="Normální 5 2 2" xfId="76" xr:uid="{00000000-0005-0000-0000-0000E6010000}"/>
    <cellStyle name="Normální 5 3" xfId="19" xr:uid="{00000000-0005-0000-0000-0000E7010000}"/>
    <cellStyle name="Normální 5 4" xfId="77" xr:uid="{00000000-0005-0000-0000-0000E8010000}"/>
    <cellStyle name="Normální 6" xfId="18" xr:uid="{00000000-0005-0000-0000-0000E9010000}"/>
    <cellStyle name="Normální 6 2" xfId="78" xr:uid="{00000000-0005-0000-0000-0000EA010000}"/>
    <cellStyle name="Normální 6 3" xfId="542" xr:uid="{00000000-0005-0000-0000-0000EB010000}"/>
    <cellStyle name="Normální 7" xfId="21" xr:uid="{00000000-0005-0000-0000-0000EC010000}"/>
    <cellStyle name="Normální 7 2" xfId="57" xr:uid="{00000000-0005-0000-0000-0000ED010000}"/>
    <cellStyle name="Normální 7 3" xfId="79" xr:uid="{00000000-0005-0000-0000-0000EE010000}"/>
    <cellStyle name="Normální 8" xfId="22" xr:uid="{00000000-0005-0000-0000-0000EF010000}"/>
    <cellStyle name="Normální 8 2" xfId="80" xr:uid="{00000000-0005-0000-0000-0000F0010000}"/>
    <cellStyle name="Normální 9" xfId="23" xr:uid="{00000000-0005-0000-0000-0000F1010000}"/>
    <cellStyle name="Normální 9 2" xfId="81" xr:uid="{00000000-0005-0000-0000-0000F2010000}"/>
    <cellStyle name="Normální 9 3" xfId="543" xr:uid="{00000000-0005-0000-0000-0000F3010000}"/>
    <cellStyle name="Normální 91" xfId="544" xr:uid="{00000000-0005-0000-0000-0000F4010000}"/>
    <cellStyle name="O…‹aO‚e [0.00]_Region Orders (2)" xfId="545" xr:uid="{00000000-0005-0000-0000-0000F5010000}"/>
    <cellStyle name="O…‹aO‚e_Region Orders (2)" xfId="546" xr:uid="{00000000-0005-0000-0000-0000F6010000}"/>
    <cellStyle name="per.style" xfId="547" xr:uid="{00000000-0005-0000-0000-0000F7010000}"/>
    <cellStyle name="per.style 2" xfId="548" xr:uid="{00000000-0005-0000-0000-0000F8010000}"/>
    <cellStyle name="per.style 3" xfId="549" xr:uid="{00000000-0005-0000-0000-0000F9010000}"/>
    <cellStyle name="per.style_110310_Výkazy CEPS 10_13062011" xfId="550" xr:uid="{00000000-0005-0000-0000-0000FA010000}"/>
    <cellStyle name="Percent [2]" xfId="551" xr:uid="{00000000-0005-0000-0000-0000FB010000}"/>
    <cellStyle name="Percent [2] 2" xfId="552" xr:uid="{00000000-0005-0000-0000-0000FC010000}"/>
    <cellStyle name="Percent [2] 3" xfId="553" xr:uid="{00000000-0005-0000-0000-0000FD010000}"/>
    <cellStyle name="Pevný" xfId="82" xr:uid="{00000000-0005-0000-0000-0000FE010000}"/>
    <cellStyle name="PEVNÝ 2" xfId="554" xr:uid="{00000000-0005-0000-0000-0000FF010000}"/>
    <cellStyle name="PEVNÝ 2 2" xfId="555" xr:uid="{00000000-0005-0000-0000-000000020000}"/>
    <cellStyle name="PEVNÝ 2 3" xfId="556" xr:uid="{00000000-0005-0000-0000-000001020000}"/>
    <cellStyle name="Poznámka 2" xfId="557" xr:uid="{00000000-0005-0000-0000-000002020000}"/>
    <cellStyle name="Poznámka 2 10" xfId="558" xr:uid="{00000000-0005-0000-0000-000003020000}"/>
    <cellStyle name="Poznámka 2 11" xfId="559" xr:uid="{00000000-0005-0000-0000-000004020000}"/>
    <cellStyle name="Poznámka 2 12" xfId="560" xr:uid="{00000000-0005-0000-0000-000005020000}"/>
    <cellStyle name="Poznámka 2 2" xfId="561" xr:uid="{00000000-0005-0000-0000-000006020000}"/>
    <cellStyle name="Poznámka 2 2 10" xfId="562" xr:uid="{00000000-0005-0000-0000-000007020000}"/>
    <cellStyle name="Poznámka 2 2 2" xfId="563" xr:uid="{00000000-0005-0000-0000-000008020000}"/>
    <cellStyle name="Poznámka 2 2 3" xfId="564" xr:uid="{00000000-0005-0000-0000-000009020000}"/>
    <cellStyle name="Poznámka 2 2 4" xfId="565" xr:uid="{00000000-0005-0000-0000-00000A020000}"/>
    <cellStyle name="Poznámka 2 2 5" xfId="566" xr:uid="{00000000-0005-0000-0000-00000B020000}"/>
    <cellStyle name="Poznámka 2 2 6" xfId="567" xr:uid="{00000000-0005-0000-0000-00000C020000}"/>
    <cellStyle name="Poznámka 2 2 7" xfId="568" xr:uid="{00000000-0005-0000-0000-00000D020000}"/>
    <cellStyle name="Poznámka 2 2 8" xfId="569" xr:uid="{00000000-0005-0000-0000-00000E020000}"/>
    <cellStyle name="Poznámka 2 2 9" xfId="570" xr:uid="{00000000-0005-0000-0000-00000F020000}"/>
    <cellStyle name="Poznámka 2 3" xfId="571" xr:uid="{00000000-0005-0000-0000-000010020000}"/>
    <cellStyle name="Poznámka 2 3 10" xfId="572" xr:uid="{00000000-0005-0000-0000-000011020000}"/>
    <cellStyle name="Poznámka 2 3 2" xfId="573" xr:uid="{00000000-0005-0000-0000-000012020000}"/>
    <cellStyle name="Poznámka 2 3 3" xfId="574" xr:uid="{00000000-0005-0000-0000-000013020000}"/>
    <cellStyle name="Poznámka 2 3 4" xfId="575" xr:uid="{00000000-0005-0000-0000-000014020000}"/>
    <cellStyle name="Poznámka 2 3 5" xfId="576" xr:uid="{00000000-0005-0000-0000-000015020000}"/>
    <cellStyle name="Poznámka 2 3 6" xfId="577" xr:uid="{00000000-0005-0000-0000-000016020000}"/>
    <cellStyle name="Poznámka 2 3 7" xfId="578" xr:uid="{00000000-0005-0000-0000-000017020000}"/>
    <cellStyle name="Poznámka 2 3 8" xfId="579" xr:uid="{00000000-0005-0000-0000-000018020000}"/>
    <cellStyle name="Poznámka 2 3 9" xfId="580" xr:uid="{00000000-0005-0000-0000-000019020000}"/>
    <cellStyle name="Poznámka 2 4" xfId="581" xr:uid="{00000000-0005-0000-0000-00001A020000}"/>
    <cellStyle name="Poznámka 2 5" xfId="582" xr:uid="{00000000-0005-0000-0000-00001B020000}"/>
    <cellStyle name="Poznámka 2 6" xfId="583" xr:uid="{00000000-0005-0000-0000-00001C020000}"/>
    <cellStyle name="Poznámka 2 7" xfId="584" xr:uid="{00000000-0005-0000-0000-00001D020000}"/>
    <cellStyle name="Poznámka 2 8" xfId="585" xr:uid="{00000000-0005-0000-0000-00001E020000}"/>
    <cellStyle name="Poznámka 2 9" xfId="586" xr:uid="{00000000-0005-0000-0000-00001F020000}"/>
    <cellStyle name="pricing" xfId="587" xr:uid="{00000000-0005-0000-0000-000020020000}"/>
    <cellStyle name="pricing 2" xfId="588" xr:uid="{00000000-0005-0000-0000-000021020000}"/>
    <cellStyle name="procent 2" xfId="589" xr:uid="{00000000-0005-0000-0000-000022020000}"/>
    <cellStyle name="procent 2 2" xfId="590" xr:uid="{00000000-0005-0000-0000-000023020000}"/>
    <cellStyle name="Procenta" xfId="1" builtinId="5"/>
    <cellStyle name="Procenta 2" xfId="7" xr:uid="{00000000-0005-0000-0000-000025020000}"/>
    <cellStyle name="Procenta 2 2" xfId="3" xr:uid="{00000000-0005-0000-0000-000026020000}"/>
    <cellStyle name="Procenta 2 3" xfId="83" xr:uid="{00000000-0005-0000-0000-000027020000}"/>
    <cellStyle name="Procenta 2 4" xfId="591" xr:uid="{00000000-0005-0000-0000-000028020000}"/>
    <cellStyle name="Procenta 2 5" xfId="592" xr:uid="{00000000-0005-0000-0000-000029020000}"/>
    <cellStyle name="Procenta 3" xfId="84" xr:uid="{00000000-0005-0000-0000-00002A020000}"/>
    <cellStyle name="Procenta 3 2" xfId="85" xr:uid="{00000000-0005-0000-0000-00002B020000}"/>
    <cellStyle name="Procenta 4" xfId="593" xr:uid="{00000000-0005-0000-0000-00002C020000}"/>
    <cellStyle name="Propojená buňka 2" xfId="594" xr:uid="{00000000-0005-0000-0000-00002D020000}"/>
    <cellStyle name="PSChar" xfId="595" xr:uid="{00000000-0005-0000-0000-00002E020000}"/>
    <cellStyle name="PSChar 2" xfId="596" xr:uid="{00000000-0005-0000-0000-00002F020000}"/>
    <cellStyle name="PSChar 3" xfId="597" xr:uid="{00000000-0005-0000-0000-000030020000}"/>
    <cellStyle name="RevList" xfId="598" xr:uid="{00000000-0005-0000-0000-000031020000}"/>
    <cellStyle name="RevList 2" xfId="599" xr:uid="{00000000-0005-0000-0000-000032020000}"/>
    <cellStyle name="RevList 3" xfId="600" xr:uid="{00000000-0005-0000-0000-000033020000}"/>
    <cellStyle name="RevList_110310_Výkazy CEPS 10_13062011" xfId="601" xr:uid="{00000000-0005-0000-0000-000034020000}"/>
    <cellStyle name="RowLevel_1_BE (2)" xfId="602" xr:uid="{00000000-0005-0000-0000-000035020000}"/>
    <cellStyle name="SAPBEXaggData" xfId="8" xr:uid="{00000000-0005-0000-0000-000036020000}"/>
    <cellStyle name="SAPBEXaggData 10" xfId="603" xr:uid="{00000000-0005-0000-0000-000037020000}"/>
    <cellStyle name="SAPBEXaggData 11" xfId="604" xr:uid="{00000000-0005-0000-0000-000038020000}"/>
    <cellStyle name="SAPBEXaggData 2" xfId="605" xr:uid="{00000000-0005-0000-0000-000039020000}"/>
    <cellStyle name="SAPBEXaggData 2 10" xfId="606" xr:uid="{00000000-0005-0000-0000-00003A020000}"/>
    <cellStyle name="SAPBEXaggData 2 11" xfId="607" xr:uid="{00000000-0005-0000-0000-00003B020000}"/>
    <cellStyle name="SAPBEXaggData 2 2" xfId="608" xr:uid="{00000000-0005-0000-0000-00003C020000}"/>
    <cellStyle name="SAPBEXaggData 2 3" xfId="609" xr:uid="{00000000-0005-0000-0000-00003D020000}"/>
    <cellStyle name="SAPBEXaggData 2 4" xfId="610" xr:uid="{00000000-0005-0000-0000-00003E020000}"/>
    <cellStyle name="SAPBEXaggData 2 5" xfId="611" xr:uid="{00000000-0005-0000-0000-00003F020000}"/>
    <cellStyle name="SAPBEXaggData 2 6" xfId="612" xr:uid="{00000000-0005-0000-0000-000040020000}"/>
    <cellStyle name="SAPBEXaggData 2 7" xfId="613" xr:uid="{00000000-0005-0000-0000-000041020000}"/>
    <cellStyle name="SAPBEXaggData 2 8" xfId="614" xr:uid="{00000000-0005-0000-0000-000042020000}"/>
    <cellStyle name="SAPBEXaggData 2 9" xfId="615" xr:uid="{00000000-0005-0000-0000-000043020000}"/>
    <cellStyle name="SAPBEXaggData 3" xfId="616" xr:uid="{00000000-0005-0000-0000-000044020000}"/>
    <cellStyle name="SAPBEXaggData 4" xfId="617" xr:uid="{00000000-0005-0000-0000-000045020000}"/>
    <cellStyle name="SAPBEXaggData 5" xfId="618" xr:uid="{00000000-0005-0000-0000-000046020000}"/>
    <cellStyle name="SAPBEXaggData 6" xfId="619" xr:uid="{00000000-0005-0000-0000-000047020000}"/>
    <cellStyle name="SAPBEXaggData 7" xfId="620" xr:uid="{00000000-0005-0000-0000-000048020000}"/>
    <cellStyle name="SAPBEXaggData 8" xfId="621" xr:uid="{00000000-0005-0000-0000-000049020000}"/>
    <cellStyle name="SAPBEXaggData 9" xfId="622" xr:uid="{00000000-0005-0000-0000-00004A020000}"/>
    <cellStyle name="SAPBEXaggDataEmph" xfId="24" xr:uid="{00000000-0005-0000-0000-00004B020000}"/>
    <cellStyle name="SAPBEXaggDataEmph 10" xfId="623" xr:uid="{00000000-0005-0000-0000-00004C020000}"/>
    <cellStyle name="SAPBEXaggDataEmph 11" xfId="624" xr:uid="{00000000-0005-0000-0000-00004D020000}"/>
    <cellStyle name="SAPBEXaggDataEmph 12" xfId="625" xr:uid="{00000000-0005-0000-0000-00004E020000}"/>
    <cellStyle name="SAPBEXaggDataEmph 2" xfId="626" xr:uid="{00000000-0005-0000-0000-00004F020000}"/>
    <cellStyle name="SAPBEXaggDataEmph 2 10" xfId="627" xr:uid="{00000000-0005-0000-0000-000050020000}"/>
    <cellStyle name="SAPBEXaggDataEmph 2 2" xfId="628" xr:uid="{00000000-0005-0000-0000-000051020000}"/>
    <cellStyle name="SAPBEXaggDataEmph 2 3" xfId="629" xr:uid="{00000000-0005-0000-0000-000052020000}"/>
    <cellStyle name="SAPBEXaggDataEmph 2 4" xfId="630" xr:uid="{00000000-0005-0000-0000-000053020000}"/>
    <cellStyle name="SAPBEXaggDataEmph 2 5" xfId="631" xr:uid="{00000000-0005-0000-0000-000054020000}"/>
    <cellStyle name="SAPBEXaggDataEmph 2 6" xfId="632" xr:uid="{00000000-0005-0000-0000-000055020000}"/>
    <cellStyle name="SAPBEXaggDataEmph 2 7" xfId="633" xr:uid="{00000000-0005-0000-0000-000056020000}"/>
    <cellStyle name="SAPBEXaggDataEmph 2 8" xfId="634" xr:uid="{00000000-0005-0000-0000-000057020000}"/>
    <cellStyle name="SAPBEXaggDataEmph 2 9" xfId="635" xr:uid="{00000000-0005-0000-0000-000058020000}"/>
    <cellStyle name="SAPBEXaggDataEmph 3" xfId="636" xr:uid="{00000000-0005-0000-0000-000059020000}"/>
    <cellStyle name="SAPBEXaggDataEmph 4" xfId="637" xr:uid="{00000000-0005-0000-0000-00005A020000}"/>
    <cellStyle name="SAPBEXaggDataEmph 5" xfId="638" xr:uid="{00000000-0005-0000-0000-00005B020000}"/>
    <cellStyle name="SAPBEXaggDataEmph 6" xfId="639" xr:uid="{00000000-0005-0000-0000-00005C020000}"/>
    <cellStyle name="SAPBEXaggDataEmph 7" xfId="640" xr:uid="{00000000-0005-0000-0000-00005D020000}"/>
    <cellStyle name="SAPBEXaggDataEmph 8" xfId="641" xr:uid="{00000000-0005-0000-0000-00005E020000}"/>
    <cellStyle name="SAPBEXaggDataEmph 9" xfId="642" xr:uid="{00000000-0005-0000-0000-00005F020000}"/>
    <cellStyle name="SAPBEXaggItem" xfId="9" xr:uid="{00000000-0005-0000-0000-000060020000}"/>
    <cellStyle name="SAPBEXaggItem 10" xfId="643" xr:uid="{00000000-0005-0000-0000-000061020000}"/>
    <cellStyle name="SAPBEXaggItem 11" xfId="644" xr:uid="{00000000-0005-0000-0000-000062020000}"/>
    <cellStyle name="SAPBEXaggItem 2" xfId="645" xr:uid="{00000000-0005-0000-0000-000063020000}"/>
    <cellStyle name="SAPBEXaggItem 2 10" xfId="646" xr:uid="{00000000-0005-0000-0000-000064020000}"/>
    <cellStyle name="SAPBEXaggItem 2 11" xfId="647" xr:uid="{00000000-0005-0000-0000-000065020000}"/>
    <cellStyle name="SAPBEXaggItem 2 2" xfId="648" xr:uid="{00000000-0005-0000-0000-000066020000}"/>
    <cellStyle name="SAPBEXaggItem 2 3" xfId="649" xr:uid="{00000000-0005-0000-0000-000067020000}"/>
    <cellStyle name="SAPBEXaggItem 2 4" xfId="650" xr:uid="{00000000-0005-0000-0000-000068020000}"/>
    <cellStyle name="SAPBEXaggItem 2 5" xfId="651" xr:uid="{00000000-0005-0000-0000-000069020000}"/>
    <cellStyle name="SAPBEXaggItem 2 6" xfId="652" xr:uid="{00000000-0005-0000-0000-00006A020000}"/>
    <cellStyle name="SAPBEXaggItem 2 7" xfId="653" xr:uid="{00000000-0005-0000-0000-00006B020000}"/>
    <cellStyle name="SAPBEXaggItem 2 8" xfId="654" xr:uid="{00000000-0005-0000-0000-00006C020000}"/>
    <cellStyle name="SAPBEXaggItem 2 9" xfId="655" xr:uid="{00000000-0005-0000-0000-00006D020000}"/>
    <cellStyle name="SAPBEXaggItem 3" xfId="656" xr:uid="{00000000-0005-0000-0000-00006E020000}"/>
    <cellStyle name="SAPBEXaggItem 4" xfId="657" xr:uid="{00000000-0005-0000-0000-00006F020000}"/>
    <cellStyle name="SAPBEXaggItem 5" xfId="658" xr:uid="{00000000-0005-0000-0000-000070020000}"/>
    <cellStyle name="SAPBEXaggItem 6" xfId="659" xr:uid="{00000000-0005-0000-0000-000071020000}"/>
    <cellStyle name="SAPBEXaggItem 7" xfId="660" xr:uid="{00000000-0005-0000-0000-000072020000}"/>
    <cellStyle name="SAPBEXaggItem 8" xfId="661" xr:uid="{00000000-0005-0000-0000-000073020000}"/>
    <cellStyle name="SAPBEXaggItem 9" xfId="662" xr:uid="{00000000-0005-0000-0000-000074020000}"/>
    <cellStyle name="SAPBEXaggItemX" xfId="25" xr:uid="{00000000-0005-0000-0000-000075020000}"/>
    <cellStyle name="SAPBEXaggItemX 10" xfId="663" xr:uid="{00000000-0005-0000-0000-000076020000}"/>
    <cellStyle name="SAPBEXaggItemX 11" xfId="664" xr:uid="{00000000-0005-0000-0000-000077020000}"/>
    <cellStyle name="SAPBEXaggItemX 12" xfId="665" xr:uid="{00000000-0005-0000-0000-000078020000}"/>
    <cellStyle name="SAPBEXaggItemX 2" xfId="666" xr:uid="{00000000-0005-0000-0000-000079020000}"/>
    <cellStyle name="SAPBEXaggItemX 2 10" xfId="667" xr:uid="{00000000-0005-0000-0000-00007A020000}"/>
    <cellStyle name="SAPBEXaggItemX 2 2" xfId="668" xr:uid="{00000000-0005-0000-0000-00007B020000}"/>
    <cellStyle name="SAPBEXaggItemX 2 3" xfId="669" xr:uid="{00000000-0005-0000-0000-00007C020000}"/>
    <cellStyle name="SAPBEXaggItemX 2 4" xfId="670" xr:uid="{00000000-0005-0000-0000-00007D020000}"/>
    <cellStyle name="SAPBEXaggItemX 2 5" xfId="671" xr:uid="{00000000-0005-0000-0000-00007E020000}"/>
    <cellStyle name="SAPBEXaggItemX 2 6" xfId="672" xr:uid="{00000000-0005-0000-0000-00007F020000}"/>
    <cellStyle name="SAPBEXaggItemX 2 7" xfId="673" xr:uid="{00000000-0005-0000-0000-000080020000}"/>
    <cellStyle name="SAPBEXaggItemX 2 8" xfId="674" xr:uid="{00000000-0005-0000-0000-000081020000}"/>
    <cellStyle name="SAPBEXaggItemX 2 9" xfId="675" xr:uid="{00000000-0005-0000-0000-000082020000}"/>
    <cellStyle name="SAPBEXaggItemX 3" xfId="676" xr:uid="{00000000-0005-0000-0000-000083020000}"/>
    <cellStyle name="SAPBEXaggItemX 4" xfId="677" xr:uid="{00000000-0005-0000-0000-000084020000}"/>
    <cellStyle name="SAPBEXaggItemX 5" xfId="678" xr:uid="{00000000-0005-0000-0000-000085020000}"/>
    <cellStyle name="SAPBEXaggItemX 6" xfId="679" xr:uid="{00000000-0005-0000-0000-000086020000}"/>
    <cellStyle name="SAPBEXaggItemX 7" xfId="680" xr:uid="{00000000-0005-0000-0000-000087020000}"/>
    <cellStyle name="SAPBEXaggItemX 8" xfId="681" xr:uid="{00000000-0005-0000-0000-000088020000}"/>
    <cellStyle name="SAPBEXaggItemX 9" xfId="682" xr:uid="{00000000-0005-0000-0000-000089020000}"/>
    <cellStyle name="SAPBEXexcBad7" xfId="26" xr:uid="{00000000-0005-0000-0000-00008A020000}"/>
    <cellStyle name="SAPBEXexcBad7 10" xfId="683" xr:uid="{00000000-0005-0000-0000-00008B020000}"/>
    <cellStyle name="SAPBEXexcBad7 11" xfId="684" xr:uid="{00000000-0005-0000-0000-00008C020000}"/>
    <cellStyle name="SAPBEXexcBad7 12" xfId="685" xr:uid="{00000000-0005-0000-0000-00008D020000}"/>
    <cellStyle name="SAPBEXexcBad7 2" xfId="686" xr:uid="{00000000-0005-0000-0000-00008E020000}"/>
    <cellStyle name="SAPBEXexcBad7 2 10" xfId="687" xr:uid="{00000000-0005-0000-0000-00008F020000}"/>
    <cellStyle name="SAPBEXexcBad7 2 2" xfId="688" xr:uid="{00000000-0005-0000-0000-000090020000}"/>
    <cellStyle name="SAPBEXexcBad7 2 3" xfId="689" xr:uid="{00000000-0005-0000-0000-000091020000}"/>
    <cellStyle name="SAPBEXexcBad7 2 4" xfId="690" xr:uid="{00000000-0005-0000-0000-000092020000}"/>
    <cellStyle name="SAPBEXexcBad7 2 5" xfId="691" xr:uid="{00000000-0005-0000-0000-000093020000}"/>
    <cellStyle name="SAPBEXexcBad7 2 6" xfId="692" xr:uid="{00000000-0005-0000-0000-000094020000}"/>
    <cellStyle name="SAPBEXexcBad7 2 7" xfId="693" xr:uid="{00000000-0005-0000-0000-000095020000}"/>
    <cellStyle name="SAPBEXexcBad7 2 8" xfId="694" xr:uid="{00000000-0005-0000-0000-000096020000}"/>
    <cellStyle name="SAPBEXexcBad7 2 9" xfId="695" xr:uid="{00000000-0005-0000-0000-000097020000}"/>
    <cellStyle name="SAPBEXexcBad7 3" xfId="696" xr:uid="{00000000-0005-0000-0000-000098020000}"/>
    <cellStyle name="SAPBEXexcBad7 4" xfId="697" xr:uid="{00000000-0005-0000-0000-000099020000}"/>
    <cellStyle name="SAPBEXexcBad7 5" xfId="698" xr:uid="{00000000-0005-0000-0000-00009A020000}"/>
    <cellStyle name="SAPBEXexcBad7 6" xfId="699" xr:uid="{00000000-0005-0000-0000-00009B020000}"/>
    <cellStyle name="SAPBEXexcBad7 7" xfId="700" xr:uid="{00000000-0005-0000-0000-00009C020000}"/>
    <cellStyle name="SAPBEXexcBad7 8" xfId="701" xr:uid="{00000000-0005-0000-0000-00009D020000}"/>
    <cellStyle name="SAPBEXexcBad7 9" xfId="702" xr:uid="{00000000-0005-0000-0000-00009E020000}"/>
    <cellStyle name="SAPBEXexcBad8" xfId="27" xr:uid="{00000000-0005-0000-0000-00009F020000}"/>
    <cellStyle name="SAPBEXexcBad8 10" xfId="703" xr:uid="{00000000-0005-0000-0000-0000A0020000}"/>
    <cellStyle name="SAPBEXexcBad8 11" xfId="704" xr:uid="{00000000-0005-0000-0000-0000A1020000}"/>
    <cellStyle name="SAPBEXexcBad8 12" xfId="705" xr:uid="{00000000-0005-0000-0000-0000A2020000}"/>
    <cellStyle name="SAPBEXexcBad8 2" xfId="706" xr:uid="{00000000-0005-0000-0000-0000A3020000}"/>
    <cellStyle name="SAPBEXexcBad8 2 10" xfId="707" xr:uid="{00000000-0005-0000-0000-0000A4020000}"/>
    <cellStyle name="SAPBEXexcBad8 2 2" xfId="708" xr:uid="{00000000-0005-0000-0000-0000A5020000}"/>
    <cellStyle name="SAPBEXexcBad8 2 3" xfId="709" xr:uid="{00000000-0005-0000-0000-0000A6020000}"/>
    <cellStyle name="SAPBEXexcBad8 2 4" xfId="710" xr:uid="{00000000-0005-0000-0000-0000A7020000}"/>
    <cellStyle name="SAPBEXexcBad8 2 5" xfId="711" xr:uid="{00000000-0005-0000-0000-0000A8020000}"/>
    <cellStyle name="SAPBEXexcBad8 2 6" xfId="712" xr:uid="{00000000-0005-0000-0000-0000A9020000}"/>
    <cellStyle name="SAPBEXexcBad8 2 7" xfId="713" xr:uid="{00000000-0005-0000-0000-0000AA020000}"/>
    <cellStyle name="SAPBEXexcBad8 2 8" xfId="714" xr:uid="{00000000-0005-0000-0000-0000AB020000}"/>
    <cellStyle name="SAPBEXexcBad8 2 9" xfId="715" xr:uid="{00000000-0005-0000-0000-0000AC020000}"/>
    <cellStyle name="SAPBEXexcBad8 3" xfId="716" xr:uid="{00000000-0005-0000-0000-0000AD020000}"/>
    <cellStyle name="SAPBEXexcBad8 4" xfId="717" xr:uid="{00000000-0005-0000-0000-0000AE020000}"/>
    <cellStyle name="SAPBEXexcBad8 5" xfId="718" xr:uid="{00000000-0005-0000-0000-0000AF020000}"/>
    <cellStyle name="SAPBEXexcBad8 6" xfId="719" xr:uid="{00000000-0005-0000-0000-0000B0020000}"/>
    <cellStyle name="SAPBEXexcBad8 7" xfId="720" xr:uid="{00000000-0005-0000-0000-0000B1020000}"/>
    <cellStyle name="SAPBEXexcBad8 8" xfId="721" xr:uid="{00000000-0005-0000-0000-0000B2020000}"/>
    <cellStyle name="SAPBEXexcBad8 9" xfId="722" xr:uid="{00000000-0005-0000-0000-0000B3020000}"/>
    <cellStyle name="SAPBEXexcBad9" xfId="28" xr:uid="{00000000-0005-0000-0000-0000B4020000}"/>
    <cellStyle name="SAPBEXexcBad9 10" xfId="723" xr:uid="{00000000-0005-0000-0000-0000B5020000}"/>
    <cellStyle name="SAPBEXexcBad9 11" xfId="724" xr:uid="{00000000-0005-0000-0000-0000B6020000}"/>
    <cellStyle name="SAPBEXexcBad9 12" xfId="725" xr:uid="{00000000-0005-0000-0000-0000B7020000}"/>
    <cellStyle name="SAPBEXexcBad9 2" xfId="726" xr:uid="{00000000-0005-0000-0000-0000B8020000}"/>
    <cellStyle name="SAPBEXexcBad9 2 10" xfId="727" xr:uid="{00000000-0005-0000-0000-0000B9020000}"/>
    <cellStyle name="SAPBEXexcBad9 2 2" xfId="728" xr:uid="{00000000-0005-0000-0000-0000BA020000}"/>
    <cellStyle name="SAPBEXexcBad9 2 3" xfId="729" xr:uid="{00000000-0005-0000-0000-0000BB020000}"/>
    <cellStyle name="SAPBEXexcBad9 2 4" xfId="730" xr:uid="{00000000-0005-0000-0000-0000BC020000}"/>
    <cellStyle name="SAPBEXexcBad9 2 5" xfId="731" xr:uid="{00000000-0005-0000-0000-0000BD020000}"/>
    <cellStyle name="SAPBEXexcBad9 2 6" xfId="732" xr:uid="{00000000-0005-0000-0000-0000BE020000}"/>
    <cellStyle name="SAPBEXexcBad9 2 7" xfId="733" xr:uid="{00000000-0005-0000-0000-0000BF020000}"/>
    <cellStyle name="SAPBEXexcBad9 2 8" xfId="734" xr:uid="{00000000-0005-0000-0000-0000C0020000}"/>
    <cellStyle name="SAPBEXexcBad9 2 9" xfId="735" xr:uid="{00000000-0005-0000-0000-0000C1020000}"/>
    <cellStyle name="SAPBEXexcBad9 3" xfId="736" xr:uid="{00000000-0005-0000-0000-0000C2020000}"/>
    <cellStyle name="SAPBEXexcBad9 4" xfId="737" xr:uid="{00000000-0005-0000-0000-0000C3020000}"/>
    <cellStyle name="SAPBEXexcBad9 5" xfId="738" xr:uid="{00000000-0005-0000-0000-0000C4020000}"/>
    <cellStyle name="SAPBEXexcBad9 6" xfId="739" xr:uid="{00000000-0005-0000-0000-0000C5020000}"/>
    <cellStyle name="SAPBEXexcBad9 7" xfId="740" xr:uid="{00000000-0005-0000-0000-0000C6020000}"/>
    <cellStyle name="SAPBEXexcBad9 8" xfId="741" xr:uid="{00000000-0005-0000-0000-0000C7020000}"/>
    <cellStyle name="SAPBEXexcBad9 9" xfId="742" xr:uid="{00000000-0005-0000-0000-0000C8020000}"/>
    <cellStyle name="SAPBEXexcCritical4" xfId="29" xr:uid="{00000000-0005-0000-0000-0000C9020000}"/>
    <cellStyle name="SAPBEXexcCritical4 10" xfId="743" xr:uid="{00000000-0005-0000-0000-0000CA020000}"/>
    <cellStyle name="SAPBEXexcCritical4 11" xfId="744" xr:uid="{00000000-0005-0000-0000-0000CB020000}"/>
    <cellStyle name="SAPBEXexcCritical4 12" xfId="745" xr:uid="{00000000-0005-0000-0000-0000CC020000}"/>
    <cellStyle name="SAPBEXexcCritical4 2" xfId="746" xr:uid="{00000000-0005-0000-0000-0000CD020000}"/>
    <cellStyle name="SAPBEXexcCritical4 2 10" xfId="747" xr:uid="{00000000-0005-0000-0000-0000CE020000}"/>
    <cellStyle name="SAPBEXexcCritical4 2 2" xfId="748" xr:uid="{00000000-0005-0000-0000-0000CF020000}"/>
    <cellStyle name="SAPBEXexcCritical4 2 3" xfId="749" xr:uid="{00000000-0005-0000-0000-0000D0020000}"/>
    <cellStyle name="SAPBEXexcCritical4 2 4" xfId="750" xr:uid="{00000000-0005-0000-0000-0000D1020000}"/>
    <cellStyle name="SAPBEXexcCritical4 2 5" xfId="751" xr:uid="{00000000-0005-0000-0000-0000D2020000}"/>
    <cellStyle name="SAPBEXexcCritical4 2 6" xfId="752" xr:uid="{00000000-0005-0000-0000-0000D3020000}"/>
    <cellStyle name="SAPBEXexcCritical4 2 7" xfId="753" xr:uid="{00000000-0005-0000-0000-0000D4020000}"/>
    <cellStyle name="SAPBEXexcCritical4 2 8" xfId="754" xr:uid="{00000000-0005-0000-0000-0000D5020000}"/>
    <cellStyle name="SAPBEXexcCritical4 2 9" xfId="755" xr:uid="{00000000-0005-0000-0000-0000D6020000}"/>
    <cellStyle name="SAPBEXexcCritical4 3" xfId="756" xr:uid="{00000000-0005-0000-0000-0000D7020000}"/>
    <cellStyle name="SAPBEXexcCritical4 4" xfId="757" xr:uid="{00000000-0005-0000-0000-0000D8020000}"/>
    <cellStyle name="SAPBEXexcCritical4 5" xfId="758" xr:uid="{00000000-0005-0000-0000-0000D9020000}"/>
    <cellStyle name="SAPBEXexcCritical4 6" xfId="759" xr:uid="{00000000-0005-0000-0000-0000DA020000}"/>
    <cellStyle name="SAPBEXexcCritical4 7" xfId="760" xr:uid="{00000000-0005-0000-0000-0000DB020000}"/>
    <cellStyle name="SAPBEXexcCritical4 8" xfId="761" xr:uid="{00000000-0005-0000-0000-0000DC020000}"/>
    <cellStyle name="SAPBEXexcCritical4 9" xfId="762" xr:uid="{00000000-0005-0000-0000-0000DD020000}"/>
    <cellStyle name="SAPBEXexcCritical5" xfId="30" xr:uid="{00000000-0005-0000-0000-0000DE020000}"/>
    <cellStyle name="SAPBEXexcCritical5 10" xfId="763" xr:uid="{00000000-0005-0000-0000-0000DF020000}"/>
    <cellStyle name="SAPBEXexcCritical5 11" xfId="764" xr:uid="{00000000-0005-0000-0000-0000E0020000}"/>
    <cellStyle name="SAPBEXexcCritical5 12" xfId="765" xr:uid="{00000000-0005-0000-0000-0000E1020000}"/>
    <cellStyle name="SAPBEXexcCritical5 2" xfId="766" xr:uid="{00000000-0005-0000-0000-0000E2020000}"/>
    <cellStyle name="SAPBEXexcCritical5 2 10" xfId="767" xr:uid="{00000000-0005-0000-0000-0000E3020000}"/>
    <cellStyle name="SAPBEXexcCritical5 2 2" xfId="768" xr:uid="{00000000-0005-0000-0000-0000E4020000}"/>
    <cellStyle name="SAPBEXexcCritical5 2 3" xfId="769" xr:uid="{00000000-0005-0000-0000-0000E5020000}"/>
    <cellStyle name="SAPBEXexcCritical5 2 4" xfId="770" xr:uid="{00000000-0005-0000-0000-0000E6020000}"/>
    <cellStyle name="SAPBEXexcCritical5 2 5" xfId="771" xr:uid="{00000000-0005-0000-0000-0000E7020000}"/>
    <cellStyle name="SAPBEXexcCritical5 2 6" xfId="772" xr:uid="{00000000-0005-0000-0000-0000E8020000}"/>
    <cellStyle name="SAPBEXexcCritical5 2 7" xfId="773" xr:uid="{00000000-0005-0000-0000-0000E9020000}"/>
    <cellStyle name="SAPBEXexcCritical5 2 8" xfId="774" xr:uid="{00000000-0005-0000-0000-0000EA020000}"/>
    <cellStyle name="SAPBEXexcCritical5 2 9" xfId="775" xr:uid="{00000000-0005-0000-0000-0000EB020000}"/>
    <cellStyle name="SAPBEXexcCritical5 3" xfId="776" xr:uid="{00000000-0005-0000-0000-0000EC020000}"/>
    <cellStyle name="SAPBEXexcCritical5 4" xfId="777" xr:uid="{00000000-0005-0000-0000-0000ED020000}"/>
    <cellStyle name="SAPBEXexcCritical5 5" xfId="778" xr:uid="{00000000-0005-0000-0000-0000EE020000}"/>
    <cellStyle name="SAPBEXexcCritical5 6" xfId="779" xr:uid="{00000000-0005-0000-0000-0000EF020000}"/>
    <cellStyle name="SAPBEXexcCritical5 7" xfId="780" xr:uid="{00000000-0005-0000-0000-0000F0020000}"/>
    <cellStyle name="SAPBEXexcCritical5 8" xfId="781" xr:uid="{00000000-0005-0000-0000-0000F1020000}"/>
    <cellStyle name="SAPBEXexcCritical5 9" xfId="782" xr:uid="{00000000-0005-0000-0000-0000F2020000}"/>
    <cellStyle name="SAPBEXexcCritical6" xfId="31" xr:uid="{00000000-0005-0000-0000-0000F3020000}"/>
    <cellStyle name="SAPBEXexcCritical6 10" xfId="783" xr:uid="{00000000-0005-0000-0000-0000F4020000}"/>
    <cellStyle name="SAPBEXexcCritical6 11" xfId="784" xr:uid="{00000000-0005-0000-0000-0000F5020000}"/>
    <cellStyle name="SAPBEXexcCritical6 12" xfId="785" xr:uid="{00000000-0005-0000-0000-0000F6020000}"/>
    <cellStyle name="SAPBEXexcCritical6 2" xfId="786" xr:uid="{00000000-0005-0000-0000-0000F7020000}"/>
    <cellStyle name="SAPBEXexcCritical6 2 10" xfId="787" xr:uid="{00000000-0005-0000-0000-0000F8020000}"/>
    <cellStyle name="SAPBEXexcCritical6 2 2" xfId="788" xr:uid="{00000000-0005-0000-0000-0000F9020000}"/>
    <cellStyle name="SAPBEXexcCritical6 2 3" xfId="789" xr:uid="{00000000-0005-0000-0000-0000FA020000}"/>
    <cellStyle name="SAPBEXexcCritical6 2 4" xfId="790" xr:uid="{00000000-0005-0000-0000-0000FB020000}"/>
    <cellStyle name="SAPBEXexcCritical6 2 5" xfId="791" xr:uid="{00000000-0005-0000-0000-0000FC020000}"/>
    <cellStyle name="SAPBEXexcCritical6 2 6" xfId="792" xr:uid="{00000000-0005-0000-0000-0000FD020000}"/>
    <cellStyle name="SAPBEXexcCritical6 2 7" xfId="793" xr:uid="{00000000-0005-0000-0000-0000FE020000}"/>
    <cellStyle name="SAPBEXexcCritical6 2 8" xfId="794" xr:uid="{00000000-0005-0000-0000-0000FF020000}"/>
    <cellStyle name="SAPBEXexcCritical6 2 9" xfId="795" xr:uid="{00000000-0005-0000-0000-000000030000}"/>
    <cellStyle name="SAPBEXexcCritical6 3" xfId="796" xr:uid="{00000000-0005-0000-0000-000001030000}"/>
    <cellStyle name="SAPBEXexcCritical6 4" xfId="797" xr:uid="{00000000-0005-0000-0000-000002030000}"/>
    <cellStyle name="SAPBEXexcCritical6 5" xfId="798" xr:uid="{00000000-0005-0000-0000-000003030000}"/>
    <cellStyle name="SAPBEXexcCritical6 6" xfId="799" xr:uid="{00000000-0005-0000-0000-000004030000}"/>
    <cellStyle name="SAPBEXexcCritical6 7" xfId="800" xr:uid="{00000000-0005-0000-0000-000005030000}"/>
    <cellStyle name="SAPBEXexcCritical6 8" xfId="801" xr:uid="{00000000-0005-0000-0000-000006030000}"/>
    <cellStyle name="SAPBEXexcCritical6 9" xfId="802" xr:uid="{00000000-0005-0000-0000-000007030000}"/>
    <cellStyle name="SAPBEXexcGood1" xfId="32" xr:uid="{00000000-0005-0000-0000-000008030000}"/>
    <cellStyle name="SAPBEXexcGood1 10" xfId="803" xr:uid="{00000000-0005-0000-0000-000009030000}"/>
    <cellStyle name="SAPBEXexcGood1 11" xfId="804" xr:uid="{00000000-0005-0000-0000-00000A030000}"/>
    <cellStyle name="SAPBEXexcGood1 12" xfId="805" xr:uid="{00000000-0005-0000-0000-00000B030000}"/>
    <cellStyle name="SAPBEXexcGood1 2" xfId="806" xr:uid="{00000000-0005-0000-0000-00000C030000}"/>
    <cellStyle name="SAPBEXexcGood1 2 10" xfId="807" xr:uid="{00000000-0005-0000-0000-00000D030000}"/>
    <cellStyle name="SAPBEXexcGood1 2 2" xfId="808" xr:uid="{00000000-0005-0000-0000-00000E030000}"/>
    <cellStyle name="SAPBEXexcGood1 2 3" xfId="809" xr:uid="{00000000-0005-0000-0000-00000F030000}"/>
    <cellStyle name="SAPBEXexcGood1 2 4" xfId="810" xr:uid="{00000000-0005-0000-0000-000010030000}"/>
    <cellStyle name="SAPBEXexcGood1 2 5" xfId="811" xr:uid="{00000000-0005-0000-0000-000011030000}"/>
    <cellStyle name="SAPBEXexcGood1 2 6" xfId="812" xr:uid="{00000000-0005-0000-0000-000012030000}"/>
    <cellStyle name="SAPBEXexcGood1 2 7" xfId="813" xr:uid="{00000000-0005-0000-0000-000013030000}"/>
    <cellStyle name="SAPBEXexcGood1 2 8" xfId="814" xr:uid="{00000000-0005-0000-0000-000014030000}"/>
    <cellStyle name="SAPBEXexcGood1 2 9" xfId="815" xr:uid="{00000000-0005-0000-0000-000015030000}"/>
    <cellStyle name="SAPBEXexcGood1 3" xfId="816" xr:uid="{00000000-0005-0000-0000-000016030000}"/>
    <cellStyle name="SAPBEXexcGood1 4" xfId="817" xr:uid="{00000000-0005-0000-0000-000017030000}"/>
    <cellStyle name="SAPBEXexcGood1 5" xfId="818" xr:uid="{00000000-0005-0000-0000-000018030000}"/>
    <cellStyle name="SAPBEXexcGood1 6" xfId="819" xr:uid="{00000000-0005-0000-0000-000019030000}"/>
    <cellStyle name="SAPBEXexcGood1 7" xfId="820" xr:uid="{00000000-0005-0000-0000-00001A030000}"/>
    <cellStyle name="SAPBEXexcGood1 8" xfId="821" xr:uid="{00000000-0005-0000-0000-00001B030000}"/>
    <cellStyle name="SAPBEXexcGood1 9" xfId="822" xr:uid="{00000000-0005-0000-0000-00001C030000}"/>
    <cellStyle name="SAPBEXexcGood2" xfId="33" xr:uid="{00000000-0005-0000-0000-00001D030000}"/>
    <cellStyle name="SAPBEXexcGood2 10" xfId="823" xr:uid="{00000000-0005-0000-0000-00001E030000}"/>
    <cellStyle name="SAPBEXexcGood2 11" xfId="824" xr:uid="{00000000-0005-0000-0000-00001F030000}"/>
    <cellStyle name="SAPBEXexcGood2 12" xfId="825" xr:uid="{00000000-0005-0000-0000-000020030000}"/>
    <cellStyle name="SAPBEXexcGood2 2" xfId="826" xr:uid="{00000000-0005-0000-0000-000021030000}"/>
    <cellStyle name="SAPBEXexcGood2 2 10" xfId="827" xr:uid="{00000000-0005-0000-0000-000022030000}"/>
    <cellStyle name="SAPBEXexcGood2 2 2" xfId="828" xr:uid="{00000000-0005-0000-0000-000023030000}"/>
    <cellStyle name="SAPBEXexcGood2 2 3" xfId="829" xr:uid="{00000000-0005-0000-0000-000024030000}"/>
    <cellStyle name="SAPBEXexcGood2 2 4" xfId="830" xr:uid="{00000000-0005-0000-0000-000025030000}"/>
    <cellStyle name="SAPBEXexcGood2 2 5" xfId="831" xr:uid="{00000000-0005-0000-0000-000026030000}"/>
    <cellStyle name="SAPBEXexcGood2 2 6" xfId="832" xr:uid="{00000000-0005-0000-0000-000027030000}"/>
    <cellStyle name="SAPBEXexcGood2 2 7" xfId="833" xr:uid="{00000000-0005-0000-0000-000028030000}"/>
    <cellStyle name="SAPBEXexcGood2 2 8" xfId="834" xr:uid="{00000000-0005-0000-0000-000029030000}"/>
    <cellStyle name="SAPBEXexcGood2 2 9" xfId="835" xr:uid="{00000000-0005-0000-0000-00002A030000}"/>
    <cellStyle name="SAPBEXexcGood2 3" xfId="836" xr:uid="{00000000-0005-0000-0000-00002B030000}"/>
    <cellStyle name="SAPBEXexcGood2 4" xfId="837" xr:uid="{00000000-0005-0000-0000-00002C030000}"/>
    <cellStyle name="SAPBEXexcGood2 5" xfId="838" xr:uid="{00000000-0005-0000-0000-00002D030000}"/>
    <cellStyle name="SAPBEXexcGood2 6" xfId="839" xr:uid="{00000000-0005-0000-0000-00002E030000}"/>
    <cellStyle name="SAPBEXexcGood2 7" xfId="840" xr:uid="{00000000-0005-0000-0000-00002F030000}"/>
    <cellStyle name="SAPBEXexcGood2 8" xfId="841" xr:uid="{00000000-0005-0000-0000-000030030000}"/>
    <cellStyle name="SAPBEXexcGood2 9" xfId="842" xr:uid="{00000000-0005-0000-0000-000031030000}"/>
    <cellStyle name="SAPBEXexcGood3" xfId="34" xr:uid="{00000000-0005-0000-0000-000032030000}"/>
    <cellStyle name="SAPBEXexcGood3 10" xfId="843" xr:uid="{00000000-0005-0000-0000-000033030000}"/>
    <cellStyle name="SAPBEXexcGood3 11" xfId="844" xr:uid="{00000000-0005-0000-0000-000034030000}"/>
    <cellStyle name="SAPBEXexcGood3 12" xfId="845" xr:uid="{00000000-0005-0000-0000-000035030000}"/>
    <cellStyle name="SAPBEXexcGood3 2" xfId="846" xr:uid="{00000000-0005-0000-0000-000036030000}"/>
    <cellStyle name="SAPBEXexcGood3 2 10" xfId="847" xr:uid="{00000000-0005-0000-0000-000037030000}"/>
    <cellStyle name="SAPBEXexcGood3 2 2" xfId="848" xr:uid="{00000000-0005-0000-0000-000038030000}"/>
    <cellStyle name="SAPBEXexcGood3 2 3" xfId="849" xr:uid="{00000000-0005-0000-0000-000039030000}"/>
    <cellStyle name="SAPBEXexcGood3 2 4" xfId="850" xr:uid="{00000000-0005-0000-0000-00003A030000}"/>
    <cellStyle name="SAPBEXexcGood3 2 5" xfId="851" xr:uid="{00000000-0005-0000-0000-00003B030000}"/>
    <cellStyle name="SAPBEXexcGood3 2 6" xfId="852" xr:uid="{00000000-0005-0000-0000-00003C030000}"/>
    <cellStyle name="SAPBEXexcGood3 2 7" xfId="853" xr:uid="{00000000-0005-0000-0000-00003D030000}"/>
    <cellStyle name="SAPBEXexcGood3 2 8" xfId="854" xr:uid="{00000000-0005-0000-0000-00003E030000}"/>
    <cellStyle name="SAPBEXexcGood3 2 9" xfId="855" xr:uid="{00000000-0005-0000-0000-00003F030000}"/>
    <cellStyle name="SAPBEXexcGood3 3" xfId="856" xr:uid="{00000000-0005-0000-0000-000040030000}"/>
    <cellStyle name="SAPBEXexcGood3 4" xfId="857" xr:uid="{00000000-0005-0000-0000-000041030000}"/>
    <cellStyle name="SAPBEXexcGood3 5" xfId="858" xr:uid="{00000000-0005-0000-0000-000042030000}"/>
    <cellStyle name="SAPBEXexcGood3 6" xfId="859" xr:uid="{00000000-0005-0000-0000-000043030000}"/>
    <cellStyle name="SAPBEXexcGood3 7" xfId="860" xr:uid="{00000000-0005-0000-0000-000044030000}"/>
    <cellStyle name="SAPBEXexcGood3 8" xfId="861" xr:uid="{00000000-0005-0000-0000-000045030000}"/>
    <cellStyle name="SAPBEXexcGood3 9" xfId="862" xr:uid="{00000000-0005-0000-0000-000046030000}"/>
    <cellStyle name="SAPBEXfilterDrill" xfId="35" xr:uid="{00000000-0005-0000-0000-000047030000}"/>
    <cellStyle name="SAPBEXfilterDrill 10" xfId="863" xr:uid="{00000000-0005-0000-0000-000048030000}"/>
    <cellStyle name="SAPBEXfilterDrill 11" xfId="864" xr:uid="{00000000-0005-0000-0000-000049030000}"/>
    <cellStyle name="SAPBEXfilterDrill 12" xfId="865" xr:uid="{00000000-0005-0000-0000-00004A030000}"/>
    <cellStyle name="SAPBEXfilterDrill 2" xfId="866" xr:uid="{00000000-0005-0000-0000-00004B030000}"/>
    <cellStyle name="SAPBEXfilterDrill 2 10" xfId="867" xr:uid="{00000000-0005-0000-0000-00004C030000}"/>
    <cellStyle name="SAPBEXfilterDrill 2 2" xfId="868" xr:uid="{00000000-0005-0000-0000-00004D030000}"/>
    <cellStyle name="SAPBEXfilterDrill 2 3" xfId="869" xr:uid="{00000000-0005-0000-0000-00004E030000}"/>
    <cellStyle name="SAPBEXfilterDrill 2 4" xfId="870" xr:uid="{00000000-0005-0000-0000-00004F030000}"/>
    <cellStyle name="SAPBEXfilterDrill 2 5" xfId="871" xr:uid="{00000000-0005-0000-0000-000050030000}"/>
    <cellStyle name="SAPBEXfilterDrill 2 6" xfId="872" xr:uid="{00000000-0005-0000-0000-000051030000}"/>
    <cellStyle name="SAPBEXfilterDrill 2 7" xfId="873" xr:uid="{00000000-0005-0000-0000-000052030000}"/>
    <cellStyle name="SAPBEXfilterDrill 2 8" xfId="874" xr:uid="{00000000-0005-0000-0000-000053030000}"/>
    <cellStyle name="SAPBEXfilterDrill 2 9" xfId="875" xr:uid="{00000000-0005-0000-0000-000054030000}"/>
    <cellStyle name="SAPBEXfilterDrill 3" xfId="876" xr:uid="{00000000-0005-0000-0000-000055030000}"/>
    <cellStyle name="SAPBEXfilterDrill 4" xfId="877" xr:uid="{00000000-0005-0000-0000-000056030000}"/>
    <cellStyle name="SAPBEXfilterDrill 5" xfId="878" xr:uid="{00000000-0005-0000-0000-000057030000}"/>
    <cellStyle name="SAPBEXfilterDrill 6" xfId="879" xr:uid="{00000000-0005-0000-0000-000058030000}"/>
    <cellStyle name="SAPBEXfilterDrill 7" xfId="880" xr:uid="{00000000-0005-0000-0000-000059030000}"/>
    <cellStyle name="SAPBEXfilterDrill 8" xfId="881" xr:uid="{00000000-0005-0000-0000-00005A030000}"/>
    <cellStyle name="SAPBEXfilterDrill 9" xfId="882" xr:uid="{00000000-0005-0000-0000-00005B030000}"/>
    <cellStyle name="SAPBEXfilterItem" xfId="36" xr:uid="{00000000-0005-0000-0000-00005C030000}"/>
    <cellStyle name="SAPBEXfilterItem 10" xfId="883" xr:uid="{00000000-0005-0000-0000-00005D030000}"/>
    <cellStyle name="SAPBEXfilterItem 11" xfId="884" xr:uid="{00000000-0005-0000-0000-00005E030000}"/>
    <cellStyle name="SAPBEXfilterItem 12" xfId="885" xr:uid="{00000000-0005-0000-0000-00005F030000}"/>
    <cellStyle name="SAPBEXfilterItem 2" xfId="886" xr:uid="{00000000-0005-0000-0000-000060030000}"/>
    <cellStyle name="SAPBEXfilterItem 2 10" xfId="887" xr:uid="{00000000-0005-0000-0000-000061030000}"/>
    <cellStyle name="SAPBEXfilterItem 2 2" xfId="888" xr:uid="{00000000-0005-0000-0000-000062030000}"/>
    <cellStyle name="SAPBEXfilterItem 2 3" xfId="889" xr:uid="{00000000-0005-0000-0000-000063030000}"/>
    <cellStyle name="SAPBEXfilterItem 2 4" xfId="890" xr:uid="{00000000-0005-0000-0000-000064030000}"/>
    <cellStyle name="SAPBEXfilterItem 2 5" xfId="891" xr:uid="{00000000-0005-0000-0000-000065030000}"/>
    <cellStyle name="SAPBEXfilterItem 2 6" xfId="892" xr:uid="{00000000-0005-0000-0000-000066030000}"/>
    <cellStyle name="SAPBEXfilterItem 2 7" xfId="893" xr:uid="{00000000-0005-0000-0000-000067030000}"/>
    <cellStyle name="SAPBEXfilterItem 2 8" xfId="894" xr:uid="{00000000-0005-0000-0000-000068030000}"/>
    <cellStyle name="SAPBEXfilterItem 2 9" xfId="895" xr:uid="{00000000-0005-0000-0000-000069030000}"/>
    <cellStyle name="SAPBEXfilterItem 3" xfId="896" xr:uid="{00000000-0005-0000-0000-00006A030000}"/>
    <cellStyle name="SAPBEXfilterItem 4" xfId="897" xr:uid="{00000000-0005-0000-0000-00006B030000}"/>
    <cellStyle name="SAPBEXfilterItem 5" xfId="898" xr:uid="{00000000-0005-0000-0000-00006C030000}"/>
    <cellStyle name="SAPBEXfilterItem 6" xfId="899" xr:uid="{00000000-0005-0000-0000-00006D030000}"/>
    <cellStyle name="SAPBEXfilterItem 7" xfId="900" xr:uid="{00000000-0005-0000-0000-00006E030000}"/>
    <cellStyle name="SAPBEXfilterItem 8" xfId="901" xr:uid="{00000000-0005-0000-0000-00006F030000}"/>
    <cellStyle name="SAPBEXfilterItem 9" xfId="902" xr:uid="{00000000-0005-0000-0000-000070030000}"/>
    <cellStyle name="SAPBEXfilterText" xfId="37" xr:uid="{00000000-0005-0000-0000-000071030000}"/>
    <cellStyle name="SAPBEXfilterText 10" xfId="903" xr:uid="{00000000-0005-0000-0000-000072030000}"/>
    <cellStyle name="SAPBEXfilterText 11" xfId="904" xr:uid="{00000000-0005-0000-0000-000073030000}"/>
    <cellStyle name="SAPBEXfilterText 12" xfId="905" xr:uid="{00000000-0005-0000-0000-000074030000}"/>
    <cellStyle name="SAPBEXfilterText 2" xfId="906" xr:uid="{00000000-0005-0000-0000-000075030000}"/>
    <cellStyle name="SAPBEXfilterText 2 10" xfId="907" xr:uid="{00000000-0005-0000-0000-000076030000}"/>
    <cellStyle name="SAPBEXfilterText 2 2" xfId="908" xr:uid="{00000000-0005-0000-0000-000077030000}"/>
    <cellStyle name="SAPBEXfilterText 2 3" xfId="909" xr:uid="{00000000-0005-0000-0000-000078030000}"/>
    <cellStyle name="SAPBEXfilterText 2 4" xfId="910" xr:uid="{00000000-0005-0000-0000-000079030000}"/>
    <cellStyle name="SAPBEXfilterText 2 5" xfId="911" xr:uid="{00000000-0005-0000-0000-00007A030000}"/>
    <cellStyle name="SAPBEXfilterText 2 6" xfId="912" xr:uid="{00000000-0005-0000-0000-00007B030000}"/>
    <cellStyle name="SAPBEXfilterText 2 7" xfId="913" xr:uid="{00000000-0005-0000-0000-00007C030000}"/>
    <cellStyle name="SAPBEXfilterText 2 8" xfId="914" xr:uid="{00000000-0005-0000-0000-00007D030000}"/>
    <cellStyle name="SAPBEXfilterText 2 9" xfId="915" xr:uid="{00000000-0005-0000-0000-00007E030000}"/>
    <cellStyle name="SAPBEXfilterText 3" xfId="916" xr:uid="{00000000-0005-0000-0000-00007F030000}"/>
    <cellStyle name="SAPBEXfilterText 4" xfId="917" xr:uid="{00000000-0005-0000-0000-000080030000}"/>
    <cellStyle name="SAPBEXfilterText 5" xfId="918" xr:uid="{00000000-0005-0000-0000-000081030000}"/>
    <cellStyle name="SAPBEXfilterText 6" xfId="919" xr:uid="{00000000-0005-0000-0000-000082030000}"/>
    <cellStyle name="SAPBEXfilterText 7" xfId="920" xr:uid="{00000000-0005-0000-0000-000083030000}"/>
    <cellStyle name="SAPBEXfilterText 8" xfId="921" xr:uid="{00000000-0005-0000-0000-000084030000}"/>
    <cellStyle name="SAPBEXfilterText 9" xfId="922" xr:uid="{00000000-0005-0000-0000-000085030000}"/>
    <cellStyle name="SAPBEXformats" xfId="38" xr:uid="{00000000-0005-0000-0000-000086030000}"/>
    <cellStyle name="SAPBEXformats 10" xfId="923" xr:uid="{00000000-0005-0000-0000-000087030000}"/>
    <cellStyle name="SAPBEXformats 11" xfId="924" xr:uid="{00000000-0005-0000-0000-000088030000}"/>
    <cellStyle name="SAPBEXformats 12" xfId="925" xr:uid="{00000000-0005-0000-0000-000089030000}"/>
    <cellStyle name="SAPBEXformats 2" xfId="926" xr:uid="{00000000-0005-0000-0000-00008A030000}"/>
    <cellStyle name="SAPBEXformats 2 10" xfId="927" xr:uid="{00000000-0005-0000-0000-00008B030000}"/>
    <cellStyle name="SAPBEXformats 2 2" xfId="928" xr:uid="{00000000-0005-0000-0000-00008C030000}"/>
    <cellStyle name="SAPBEXformats 2 3" xfId="929" xr:uid="{00000000-0005-0000-0000-00008D030000}"/>
    <cellStyle name="SAPBEXformats 2 4" xfId="930" xr:uid="{00000000-0005-0000-0000-00008E030000}"/>
    <cellStyle name="SAPBEXformats 2 5" xfId="931" xr:uid="{00000000-0005-0000-0000-00008F030000}"/>
    <cellStyle name="SAPBEXformats 2 6" xfId="932" xr:uid="{00000000-0005-0000-0000-000090030000}"/>
    <cellStyle name="SAPBEXformats 2 7" xfId="933" xr:uid="{00000000-0005-0000-0000-000091030000}"/>
    <cellStyle name="SAPBEXformats 2 8" xfId="934" xr:uid="{00000000-0005-0000-0000-000092030000}"/>
    <cellStyle name="SAPBEXformats 2 9" xfId="935" xr:uid="{00000000-0005-0000-0000-000093030000}"/>
    <cellStyle name="SAPBEXformats 3" xfId="936" xr:uid="{00000000-0005-0000-0000-000094030000}"/>
    <cellStyle name="SAPBEXformats 4" xfId="937" xr:uid="{00000000-0005-0000-0000-000095030000}"/>
    <cellStyle name="SAPBEXformats 5" xfId="938" xr:uid="{00000000-0005-0000-0000-000096030000}"/>
    <cellStyle name="SAPBEXformats 6" xfId="939" xr:uid="{00000000-0005-0000-0000-000097030000}"/>
    <cellStyle name="SAPBEXformats 7" xfId="940" xr:uid="{00000000-0005-0000-0000-000098030000}"/>
    <cellStyle name="SAPBEXformats 8" xfId="941" xr:uid="{00000000-0005-0000-0000-000099030000}"/>
    <cellStyle name="SAPBEXformats 9" xfId="942" xr:uid="{00000000-0005-0000-0000-00009A030000}"/>
    <cellStyle name="SAPBEXheaderItem" xfId="39" xr:uid="{00000000-0005-0000-0000-00009B030000}"/>
    <cellStyle name="SAPBEXheaderItem 10" xfId="943" xr:uid="{00000000-0005-0000-0000-00009C030000}"/>
    <cellStyle name="SAPBEXheaderItem 11" xfId="944" xr:uid="{00000000-0005-0000-0000-00009D030000}"/>
    <cellStyle name="SAPBEXheaderItem 12" xfId="945" xr:uid="{00000000-0005-0000-0000-00009E030000}"/>
    <cellStyle name="SAPBEXheaderItem 2" xfId="946" xr:uid="{00000000-0005-0000-0000-00009F030000}"/>
    <cellStyle name="SAPBEXheaderItem 2 10" xfId="947" xr:uid="{00000000-0005-0000-0000-0000A0030000}"/>
    <cellStyle name="SAPBEXheaderItem 2 2" xfId="948" xr:uid="{00000000-0005-0000-0000-0000A1030000}"/>
    <cellStyle name="SAPBEXheaderItem 2 3" xfId="949" xr:uid="{00000000-0005-0000-0000-0000A2030000}"/>
    <cellStyle name="SAPBEXheaderItem 2 4" xfId="950" xr:uid="{00000000-0005-0000-0000-0000A3030000}"/>
    <cellStyle name="SAPBEXheaderItem 2 5" xfId="951" xr:uid="{00000000-0005-0000-0000-0000A4030000}"/>
    <cellStyle name="SAPBEXheaderItem 2 6" xfId="952" xr:uid="{00000000-0005-0000-0000-0000A5030000}"/>
    <cellStyle name="SAPBEXheaderItem 2 7" xfId="953" xr:uid="{00000000-0005-0000-0000-0000A6030000}"/>
    <cellStyle name="SAPBEXheaderItem 2 8" xfId="954" xr:uid="{00000000-0005-0000-0000-0000A7030000}"/>
    <cellStyle name="SAPBEXheaderItem 2 9" xfId="955" xr:uid="{00000000-0005-0000-0000-0000A8030000}"/>
    <cellStyle name="SAPBEXheaderItem 3" xfId="956" xr:uid="{00000000-0005-0000-0000-0000A9030000}"/>
    <cellStyle name="SAPBEXheaderItem 4" xfId="957" xr:uid="{00000000-0005-0000-0000-0000AA030000}"/>
    <cellStyle name="SAPBEXheaderItem 5" xfId="958" xr:uid="{00000000-0005-0000-0000-0000AB030000}"/>
    <cellStyle name="SAPBEXheaderItem 6" xfId="959" xr:uid="{00000000-0005-0000-0000-0000AC030000}"/>
    <cellStyle name="SAPBEXheaderItem 7" xfId="960" xr:uid="{00000000-0005-0000-0000-0000AD030000}"/>
    <cellStyle name="SAPBEXheaderItem 8" xfId="961" xr:uid="{00000000-0005-0000-0000-0000AE030000}"/>
    <cellStyle name="SAPBEXheaderItem 9" xfId="962" xr:uid="{00000000-0005-0000-0000-0000AF030000}"/>
    <cellStyle name="SAPBEXheaderText" xfId="40" xr:uid="{00000000-0005-0000-0000-0000B0030000}"/>
    <cellStyle name="SAPBEXheaderText 10" xfId="963" xr:uid="{00000000-0005-0000-0000-0000B1030000}"/>
    <cellStyle name="SAPBEXheaderText 11" xfId="964" xr:uid="{00000000-0005-0000-0000-0000B2030000}"/>
    <cellStyle name="SAPBEXheaderText 12" xfId="965" xr:uid="{00000000-0005-0000-0000-0000B3030000}"/>
    <cellStyle name="SAPBEXheaderText 2" xfId="966" xr:uid="{00000000-0005-0000-0000-0000B4030000}"/>
    <cellStyle name="SAPBEXheaderText 2 10" xfId="967" xr:uid="{00000000-0005-0000-0000-0000B5030000}"/>
    <cellStyle name="SAPBEXheaderText 2 2" xfId="968" xr:uid="{00000000-0005-0000-0000-0000B6030000}"/>
    <cellStyle name="SAPBEXheaderText 2 3" xfId="969" xr:uid="{00000000-0005-0000-0000-0000B7030000}"/>
    <cellStyle name="SAPBEXheaderText 2 4" xfId="970" xr:uid="{00000000-0005-0000-0000-0000B8030000}"/>
    <cellStyle name="SAPBEXheaderText 2 5" xfId="971" xr:uid="{00000000-0005-0000-0000-0000B9030000}"/>
    <cellStyle name="SAPBEXheaderText 2 6" xfId="972" xr:uid="{00000000-0005-0000-0000-0000BA030000}"/>
    <cellStyle name="SAPBEXheaderText 2 7" xfId="973" xr:uid="{00000000-0005-0000-0000-0000BB030000}"/>
    <cellStyle name="SAPBEXheaderText 2 8" xfId="974" xr:uid="{00000000-0005-0000-0000-0000BC030000}"/>
    <cellStyle name="SAPBEXheaderText 2 9" xfId="975" xr:uid="{00000000-0005-0000-0000-0000BD030000}"/>
    <cellStyle name="SAPBEXheaderText 3" xfId="976" xr:uid="{00000000-0005-0000-0000-0000BE030000}"/>
    <cellStyle name="SAPBEXheaderText 4" xfId="977" xr:uid="{00000000-0005-0000-0000-0000BF030000}"/>
    <cellStyle name="SAPBEXheaderText 5" xfId="978" xr:uid="{00000000-0005-0000-0000-0000C0030000}"/>
    <cellStyle name="SAPBEXheaderText 6" xfId="979" xr:uid="{00000000-0005-0000-0000-0000C1030000}"/>
    <cellStyle name="SAPBEXheaderText 7" xfId="980" xr:uid="{00000000-0005-0000-0000-0000C2030000}"/>
    <cellStyle name="SAPBEXheaderText 8" xfId="981" xr:uid="{00000000-0005-0000-0000-0000C3030000}"/>
    <cellStyle name="SAPBEXheaderText 9" xfId="982" xr:uid="{00000000-0005-0000-0000-0000C4030000}"/>
    <cellStyle name="SAPBEXHLevel0" xfId="41" xr:uid="{00000000-0005-0000-0000-0000C5030000}"/>
    <cellStyle name="SAPBEXHLevel0 10" xfId="983" xr:uid="{00000000-0005-0000-0000-0000C6030000}"/>
    <cellStyle name="SAPBEXHLevel0 11" xfId="984" xr:uid="{00000000-0005-0000-0000-0000C7030000}"/>
    <cellStyle name="SAPBEXHLevel0 12" xfId="985" xr:uid="{00000000-0005-0000-0000-0000C8030000}"/>
    <cellStyle name="SAPBEXHLevel0 2" xfId="986" xr:uid="{00000000-0005-0000-0000-0000C9030000}"/>
    <cellStyle name="SAPBEXHLevel0 2 10" xfId="987" xr:uid="{00000000-0005-0000-0000-0000CA030000}"/>
    <cellStyle name="SAPBEXHLevel0 2 11" xfId="988" xr:uid="{00000000-0005-0000-0000-0000CB030000}"/>
    <cellStyle name="SAPBEXHLevel0 2 2" xfId="989" xr:uid="{00000000-0005-0000-0000-0000CC030000}"/>
    <cellStyle name="SAPBEXHLevel0 2 3" xfId="990" xr:uid="{00000000-0005-0000-0000-0000CD030000}"/>
    <cellStyle name="SAPBEXHLevel0 2 4" xfId="991" xr:uid="{00000000-0005-0000-0000-0000CE030000}"/>
    <cellStyle name="SAPBEXHLevel0 2 5" xfId="992" xr:uid="{00000000-0005-0000-0000-0000CF030000}"/>
    <cellStyle name="SAPBEXHLevel0 2 6" xfId="993" xr:uid="{00000000-0005-0000-0000-0000D0030000}"/>
    <cellStyle name="SAPBEXHLevel0 2 7" xfId="994" xr:uid="{00000000-0005-0000-0000-0000D1030000}"/>
    <cellStyle name="SAPBEXHLevel0 2 8" xfId="995" xr:uid="{00000000-0005-0000-0000-0000D2030000}"/>
    <cellStyle name="SAPBEXHLevel0 2 9" xfId="996" xr:uid="{00000000-0005-0000-0000-0000D3030000}"/>
    <cellStyle name="SAPBEXHLevel0 3" xfId="997" xr:uid="{00000000-0005-0000-0000-0000D4030000}"/>
    <cellStyle name="SAPBEXHLevel0 4" xfId="998" xr:uid="{00000000-0005-0000-0000-0000D5030000}"/>
    <cellStyle name="SAPBEXHLevel0 5" xfId="999" xr:uid="{00000000-0005-0000-0000-0000D6030000}"/>
    <cellStyle name="SAPBEXHLevel0 6" xfId="1000" xr:uid="{00000000-0005-0000-0000-0000D7030000}"/>
    <cellStyle name="SAPBEXHLevel0 7" xfId="1001" xr:uid="{00000000-0005-0000-0000-0000D8030000}"/>
    <cellStyle name="SAPBEXHLevel0 8" xfId="1002" xr:uid="{00000000-0005-0000-0000-0000D9030000}"/>
    <cellStyle name="SAPBEXHLevel0 9" xfId="1003" xr:uid="{00000000-0005-0000-0000-0000DA030000}"/>
    <cellStyle name="SAPBEXHLevel0X" xfId="42" xr:uid="{00000000-0005-0000-0000-0000DB030000}"/>
    <cellStyle name="SAPBEXHLevel0X 10" xfId="1004" xr:uid="{00000000-0005-0000-0000-0000DC030000}"/>
    <cellStyle name="SAPBEXHLevel0X 11" xfId="1005" xr:uid="{00000000-0005-0000-0000-0000DD030000}"/>
    <cellStyle name="SAPBEXHLevel0X 12" xfId="1006" xr:uid="{00000000-0005-0000-0000-0000DE030000}"/>
    <cellStyle name="SAPBEXHLevel0X 2" xfId="1007" xr:uid="{00000000-0005-0000-0000-0000DF030000}"/>
    <cellStyle name="SAPBEXHLevel0X 2 10" xfId="1008" xr:uid="{00000000-0005-0000-0000-0000E0030000}"/>
    <cellStyle name="SAPBEXHLevel0X 2 2" xfId="1009" xr:uid="{00000000-0005-0000-0000-0000E1030000}"/>
    <cellStyle name="SAPBEXHLevel0X 2 3" xfId="1010" xr:uid="{00000000-0005-0000-0000-0000E2030000}"/>
    <cellStyle name="SAPBEXHLevel0X 2 4" xfId="1011" xr:uid="{00000000-0005-0000-0000-0000E3030000}"/>
    <cellStyle name="SAPBEXHLevel0X 2 5" xfId="1012" xr:uid="{00000000-0005-0000-0000-0000E4030000}"/>
    <cellStyle name="SAPBEXHLevel0X 2 6" xfId="1013" xr:uid="{00000000-0005-0000-0000-0000E5030000}"/>
    <cellStyle name="SAPBEXHLevel0X 2 7" xfId="1014" xr:uid="{00000000-0005-0000-0000-0000E6030000}"/>
    <cellStyle name="SAPBEXHLevel0X 2 8" xfId="1015" xr:uid="{00000000-0005-0000-0000-0000E7030000}"/>
    <cellStyle name="SAPBEXHLevel0X 2 9" xfId="1016" xr:uid="{00000000-0005-0000-0000-0000E8030000}"/>
    <cellStyle name="SAPBEXHLevel0X 3" xfId="1017" xr:uid="{00000000-0005-0000-0000-0000E9030000}"/>
    <cellStyle name="SAPBEXHLevel0X 4" xfId="1018" xr:uid="{00000000-0005-0000-0000-0000EA030000}"/>
    <cellStyle name="SAPBEXHLevel0X 5" xfId="1019" xr:uid="{00000000-0005-0000-0000-0000EB030000}"/>
    <cellStyle name="SAPBEXHLevel0X 6" xfId="1020" xr:uid="{00000000-0005-0000-0000-0000EC030000}"/>
    <cellStyle name="SAPBEXHLevel0X 7" xfId="1021" xr:uid="{00000000-0005-0000-0000-0000ED030000}"/>
    <cellStyle name="SAPBEXHLevel0X 8" xfId="1022" xr:uid="{00000000-0005-0000-0000-0000EE030000}"/>
    <cellStyle name="SAPBEXHLevel0X 9" xfId="1023" xr:uid="{00000000-0005-0000-0000-0000EF030000}"/>
    <cellStyle name="SAPBEXHLevel1" xfId="43" xr:uid="{00000000-0005-0000-0000-0000F0030000}"/>
    <cellStyle name="SAPBEXHLevel1 10" xfId="1024" xr:uid="{00000000-0005-0000-0000-0000F1030000}"/>
    <cellStyle name="SAPBEXHLevel1 11" xfId="1025" xr:uid="{00000000-0005-0000-0000-0000F2030000}"/>
    <cellStyle name="SAPBEXHLevel1 12" xfId="1026" xr:uid="{00000000-0005-0000-0000-0000F3030000}"/>
    <cellStyle name="SAPBEXHLevel1 2" xfId="1027" xr:uid="{00000000-0005-0000-0000-0000F4030000}"/>
    <cellStyle name="SAPBEXHLevel1 2 10" xfId="1028" xr:uid="{00000000-0005-0000-0000-0000F5030000}"/>
    <cellStyle name="SAPBEXHLevel1 2 11" xfId="1029" xr:uid="{00000000-0005-0000-0000-0000F6030000}"/>
    <cellStyle name="SAPBEXHLevel1 2 2" xfId="1030" xr:uid="{00000000-0005-0000-0000-0000F7030000}"/>
    <cellStyle name="SAPBEXHLevel1 2 3" xfId="1031" xr:uid="{00000000-0005-0000-0000-0000F8030000}"/>
    <cellStyle name="SAPBEXHLevel1 2 4" xfId="1032" xr:uid="{00000000-0005-0000-0000-0000F9030000}"/>
    <cellStyle name="SAPBEXHLevel1 2 5" xfId="1033" xr:uid="{00000000-0005-0000-0000-0000FA030000}"/>
    <cellStyle name="SAPBEXHLevel1 2 6" xfId="1034" xr:uid="{00000000-0005-0000-0000-0000FB030000}"/>
    <cellStyle name="SAPBEXHLevel1 2 7" xfId="1035" xr:uid="{00000000-0005-0000-0000-0000FC030000}"/>
    <cellStyle name="SAPBEXHLevel1 2 8" xfId="1036" xr:uid="{00000000-0005-0000-0000-0000FD030000}"/>
    <cellStyle name="SAPBEXHLevel1 2 9" xfId="1037" xr:uid="{00000000-0005-0000-0000-0000FE030000}"/>
    <cellStyle name="SAPBEXHLevel1 3" xfId="1038" xr:uid="{00000000-0005-0000-0000-0000FF030000}"/>
    <cellStyle name="SAPBEXHLevel1 4" xfId="1039" xr:uid="{00000000-0005-0000-0000-000000040000}"/>
    <cellStyle name="SAPBEXHLevel1 5" xfId="1040" xr:uid="{00000000-0005-0000-0000-000001040000}"/>
    <cellStyle name="SAPBEXHLevel1 6" xfId="1041" xr:uid="{00000000-0005-0000-0000-000002040000}"/>
    <cellStyle name="SAPBEXHLevel1 7" xfId="1042" xr:uid="{00000000-0005-0000-0000-000003040000}"/>
    <cellStyle name="SAPBEXHLevel1 8" xfId="1043" xr:uid="{00000000-0005-0000-0000-000004040000}"/>
    <cellStyle name="SAPBEXHLevel1 9" xfId="1044" xr:uid="{00000000-0005-0000-0000-000005040000}"/>
    <cellStyle name="SAPBEXHLevel1X" xfId="44" xr:uid="{00000000-0005-0000-0000-000006040000}"/>
    <cellStyle name="SAPBEXHLevel1X 10" xfId="1045" xr:uid="{00000000-0005-0000-0000-000007040000}"/>
    <cellStyle name="SAPBEXHLevel1X 11" xfId="1046" xr:uid="{00000000-0005-0000-0000-000008040000}"/>
    <cellStyle name="SAPBEXHLevel1X 12" xfId="1047" xr:uid="{00000000-0005-0000-0000-000009040000}"/>
    <cellStyle name="SAPBEXHLevel1X 2" xfId="1048" xr:uid="{00000000-0005-0000-0000-00000A040000}"/>
    <cellStyle name="SAPBEXHLevel1X 2 10" xfId="1049" xr:uid="{00000000-0005-0000-0000-00000B040000}"/>
    <cellStyle name="SAPBEXHLevel1X 2 2" xfId="1050" xr:uid="{00000000-0005-0000-0000-00000C040000}"/>
    <cellStyle name="SAPBEXHLevel1X 2 3" xfId="1051" xr:uid="{00000000-0005-0000-0000-00000D040000}"/>
    <cellStyle name="SAPBEXHLevel1X 2 4" xfId="1052" xr:uid="{00000000-0005-0000-0000-00000E040000}"/>
    <cellStyle name="SAPBEXHLevel1X 2 5" xfId="1053" xr:uid="{00000000-0005-0000-0000-00000F040000}"/>
    <cellStyle name="SAPBEXHLevel1X 2 6" xfId="1054" xr:uid="{00000000-0005-0000-0000-000010040000}"/>
    <cellStyle name="SAPBEXHLevel1X 2 7" xfId="1055" xr:uid="{00000000-0005-0000-0000-000011040000}"/>
    <cellStyle name="SAPBEXHLevel1X 2 8" xfId="1056" xr:uid="{00000000-0005-0000-0000-000012040000}"/>
    <cellStyle name="SAPBEXHLevel1X 2 9" xfId="1057" xr:uid="{00000000-0005-0000-0000-000013040000}"/>
    <cellStyle name="SAPBEXHLevel1X 3" xfId="1058" xr:uid="{00000000-0005-0000-0000-000014040000}"/>
    <cellStyle name="SAPBEXHLevel1X 4" xfId="1059" xr:uid="{00000000-0005-0000-0000-000015040000}"/>
    <cellStyle name="SAPBEXHLevel1X 5" xfId="1060" xr:uid="{00000000-0005-0000-0000-000016040000}"/>
    <cellStyle name="SAPBEXHLevel1X 6" xfId="1061" xr:uid="{00000000-0005-0000-0000-000017040000}"/>
    <cellStyle name="SAPBEXHLevel1X 7" xfId="1062" xr:uid="{00000000-0005-0000-0000-000018040000}"/>
    <cellStyle name="SAPBEXHLevel1X 8" xfId="1063" xr:uid="{00000000-0005-0000-0000-000019040000}"/>
    <cellStyle name="SAPBEXHLevel1X 9" xfId="1064" xr:uid="{00000000-0005-0000-0000-00001A040000}"/>
    <cellStyle name="SAPBEXHLevel2" xfId="45" xr:uid="{00000000-0005-0000-0000-00001B040000}"/>
    <cellStyle name="SAPBEXHLevel2 10" xfId="1065" xr:uid="{00000000-0005-0000-0000-00001C040000}"/>
    <cellStyle name="SAPBEXHLevel2 11" xfId="1066" xr:uid="{00000000-0005-0000-0000-00001D040000}"/>
    <cellStyle name="SAPBEXHLevel2 12" xfId="1067" xr:uid="{00000000-0005-0000-0000-00001E040000}"/>
    <cellStyle name="SAPBEXHLevel2 2" xfId="1068" xr:uid="{00000000-0005-0000-0000-00001F040000}"/>
    <cellStyle name="SAPBEXHLevel2 2 10" xfId="1069" xr:uid="{00000000-0005-0000-0000-000020040000}"/>
    <cellStyle name="SAPBEXHLevel2 2 2" xfId="1070" xr:uid="{00000000-0005-0000-0000-000021040000}"/>
    <cellStyle name="SAPBEXHLevel2 2 3" xfId="1071" xr:uid="{00000000-0005-0000-0000-000022040000}"/>
    <cellStyle name="SAPBEXHLevel2 2 4" xfId="1072" xr:uid="{00000000-0005-0000-0000-000023040000}"/>
    <cellStyle name="SAPBEXHLevel2 2 5" xfId="1073" xr:uid="{00000000-0005-0000-0000-000024040000}"/>
    <cellStyle name="SAPBEXHLevel2 2 6" xfId="1074" xr:uid="{00000000-0005-0000-0000-000025040000}"/>
    <cellStyle name="SAPBEXHLevel2 2 7" xfId="1075" xr:uid="{00000000-0005-0000-0000-000026040000}"/>
    <cellStyle name="SAPBEXHLevel2 2 8" xfId="1076" xr:uid="{00000000-0005-0000-0000-000027040000}"/>
    <cellStyle name="SAPBEXHLevel2 2 9" xfId="1077" xr:uid="{00000000-0005-0000-0000-000028040000}"/>
    <cellStyle name="SAPBEXHLevel2 3" xfId="1078" xr:uid="{00000000-0005-0000-0000-000029040000}"/>
    <cellStyle name="SAPBEXHLevel2 4" xfId="1079" xr:uid="{00000000-0005-0000-0000-00002A040000}"/>
    <cellStyle name="SAPBEXHLevel2 5" xfId="1080" xr:uid="{00000000-0005-0000-0000-00002B040000}"/>
    <cellStyle name="SAPBEXHLevel2 6" xfId="1081" xr:uid="{00000000-0005-0000-0000-00002C040000}"/>
    <cellStyle name="SAPBEXHLevel2 7" xfId="1082" xr:uid="{00000000-0005-0000-0000-00002D040000}"/>
    <cellStyle name="SAPBEXHLevel2 8" xfId="1083" xr:uid="{00000000-0005-0000-0000-00002E040000}"/>
    <cellStyle name="SAPBEXHLevel2 9" xfId="1084" xr:uid="{00000000-0005-0000-0000-00002F040000}"/>
    <cellStyle name="SAPBEXHLevel2X" xfId="46" xr:uid="{00000000-0005-0000-0000-000030040000}"/>
    <cellStyle name="SAPBEXHLevel2X 10" xfId="1085" xr:uid="{00000000-0005-0000-0000-000031040000}"/>
    <cellStyle name="SAPBEXHLevel2X 11" xfId="1086" xr:uid="{00000000-0005-0000-0000-000032040000}"/>
    <cellStyle name="SAPBEXHLevel2X 12" xfId="1087" xr:uid="{00000000-0005-0000-0000-000033040000}"/>
    <cellStyle name="SAPBEXHLevel2X 2" xfId="1088" xr:uid="{00000000-0005-0000-0000-000034040000}"/>
    <cellStyle name="SAPBEXHLevel2X 2 10" xfId="1089" xr:uid="{00000000-0005-0000-0000-000035040000}"/>
    <cellStyle name="SAPBEXHLevel2X 2 2" xfId="1090" xr:uid="{00000000-0005-0000-0000-000036040000}"/>
    <cellStyle name="SAPBEXHLevel2X 2 3" xfId="1091" xr:uid="{00000000-0005-0000-0000-000037040000}"/>
    <cellStyle name="SAPBEXHLevel2X 2 4" xfId="1092" xr:uid="{00000000-0005-0000-0000-000038040000}"/>
    <cellStyle name="SAPBEXHLevel2X 2 5" xfId="1093" xr:uid="{00000000-0005-0000-0000-000039040000}"/>
    <cellStyle name="SAPBEXHLevel2X 2 6" xfId="1094" xr:uid="{00000000-0005-0000-0000-00003A040000}"/>
    <cellStyle name="SAPBEXHLevel2X 2 7" xfId="1095" xr:uid="{00000000-0005-0000-0000-00003B040000}"/>
    <cellStyle name="SAPBEXHLevel2X 2 8" xfId="1096" xr:uid="{00000000-0005-0000-0000-00003C040000}"/>
    <cellStyle name="SAPBEXHLevel2X 2 9" xfId="1097" xr:uid="{00000000-0005-0000-0000-00003D040000}"/>
    <cellStyle name="SAPBEXHLevel2X 3" xfId="1098" xr:uid="{00000000-0005-0000-0000-00003E040000}"/>
    <cellStyle name="SAPBEXHLevel2X 4" xfId="1099" xr:uid="{00000000-0005-0000-0000-00003F040000}"/>
    <cellStyle name="SAPBEXHLevel2X 5" xfId="1100" xr:uid="{00000000-0005-0000-0000-000040040000}"/>
    <cellStyle name="SAPBEXHLevel2X 6" xfId="1101" xr:uid="{00000000-0005-0000-0000-000041040000}"/>
    <cellStyle name="SAPBEXHLevel2X 7" xfId="1102" xr:uid="{00000000-0005-0000-0000-000042040000}"/>
    <cellStyle name="SAPBEXHLevel2X 8" xfId="1103" xr:uid="{00000000-0005-0000-0000-000043040000}"/>
    <cellStyle name="SAPBEXHLevel2X 9" xfId="1104" xr:uid="{00000000-0005-0000-0000-000044040000}"/>
    <cellStyle name="SAPBEXHLevel3" xfId="47" xr:uid="{00000000-0005-0000-0000-000045040000}"/>
    <cellStyle name="SAPBEXHLevel3 10" xfId="1105" xr:uid="{00000000-0005-0000-0000-000046040000}"/>
    <cellStyle name="SAPBEXHLevel3 11" xfId="1106" xr:uid="{00000000-0005-0000-0000-000047040000}"/>
    <cellStyle name="SAPBEXHLevel3 12" xfId="1107" xr:uid="{00000000-0005-0000-0000-000048040000}"/>
    <cellStyle name="SAPBEXHLevel3 2" xfId="1108" xr:uid="{00000000-0005-0000-0000-000049040000}"/>
    <cellStyle name="SAPBEXHLevel3 2 10" xfId="1109" xr:uid="{00000000-0005-0000-0000-00004A040000}"/>
    <cellStyle name="SAPBEXHLevel3 2 2" xfId="1110" xr:uid="{00000000-0005-0000-0000-00004B040000}"/>
    <cellStyle name="SAPBEXHLevel3 2 3" xfId="1111" xr:uid="{00000000-0005-0000-0000-00004C040000}"/>
    <cellStyle name="SAPBEXHLevel3 2 4" xfId="1112" xr:uid="{00000000-0005-0000-0000-00004D040000}"/>
    <cellStyle name="SAPBEXHLevel3 2 5" xfId="1113" xr:uid="{00000000-0005-0000-0000-00004E040000}"/>
    <cellStyle name="SAPBEXHLevel3 2 6" xfId="1114" xr:uid="{00000000-0005-0000-0000-00004F040000}"/>
    <cellStyle name="SAPBEXHLevel3 2 7" xfId="1115" xr:uid="{00000000-0005-0000-0000-000050040000}"/>
    <cellStyle name="SAPBEXHLevel3 2 8" xfId="1116" xr:uid="{00000000-0005-0000-0000-000051040000}"/>
    <cellStyle name="SAPBEXHLevel3 2 9" xfId="1117" xr:uid="{00000000-0005-0000-0000-000052040000}"/>
    <cellStyle name="SAPBEXHLevel3 3" xfId="1118" xr:uid="{00000000-0005-0000-0000-000053040000}"/>
    <cellStyle name="SAPBEXHLevel3 4" xfId="1119" xr:uid="{00000000-0005-0000-0000-000054040000}"/>
    <cellStyle name="SAPBEXHLevel3 5" xfId="1120" xr:uid="{00000000-0005-0000-0000-000055040000}"/>
    <cellStyle name="SAPBEXHLevel3 6" xfId="1121" xr:uid="{00000000-0005-0000-0000-000056040000}"/>
    <cellStyle name="SAPBEXHLevel3 7" xfId="1122" xr:uid="{00000000-0005-0000-0000-000057040000}"/>
    <cellStyle name="SAPBEXHLevel3 8" xfId="1123" xr:uid="{00000000-0005-0000-0000-000058040000}"/>
    <cellStyle name="SAPBEXHLevel3 9" xfId="1124" xr:uid="{00000000-0005-0000-0000-000059040000}"/>
    <cellStyle name="SAPBEXHLevel3X" xfId="48" xr:uid="{00000000-0005-0000-0000-00005A040000}"/>
    <cellStyle name="SAPBEXHLevel3X 10" xfId="1125" xr:uid="{00000000-0005-0000-0000-00005B040000}"/>
    <cellStyle name="SAPBEXHLevel3X 11" xfId="1126" xr:uid="{00000000-0005-0000-0000-00005C040000}"/>
    <cellStyle name="SAPBEXHLevel3X 12" xfId="1127" xr:uid="{00000000-0005-0000-0000-00005D040000}"/>
    <cellStyle name="SAPBEXHLevel3X 2" xfId="1128" xr:uid="{00000000-0005-0000-0000-00005E040000}"/>
    <cellStyle name="SAPBEXHLevel3X 2 10" xfId="1129" xr:uid="{00000000-0005-0000-0000-00005F040000}"/>
    <cellStyle name="SAPBEXHLevel3X 2 2" xfId="1130" xr:uid="{00000000-0005-0000-0000-000060040000}"/>
    <cellStyle name="SAPBEXHLevel3X 2 3" xfId="1131" xr:uid="{00000000-0005-0000-0000-000061040000}"/>
    <cellStyle name="SAPBEXHLevel3X 2 4" xfId="1132" xr:uid="{00000000-0005-0000-0000-000062040000}"/>
    <cellStyle name="SAPBEXHLevel3X 2 5" xfId="1133" xr:uid="{00000000-0005-0000-0000-000063040000}"/>
    <cellStyle name="SAPBEXHLevel3X 2 6" xfId="1134" xr:uid="{00000000-0005-0000-0000-000064040000}"/>
    <cellStyle name="SAPBEXHLevel3X 2 7" xfId="1135" xr:uid="{00000000-0005-0000-0000-000065040000}"/>
    <cellStyle name="SAPBEXHLevel3X 2 8" xfId="1136" xr:uid="{00000000-0005-0000-0000-000066040000}"/>
    <cellStyle name="SAPBEXHLevel3X 2 9" xfId="1137" xr:uid="{00000000-0005-0000-0000-000067040000}"/>
    <cellStyle name="SAPBEXHLevel3X 3" xfId="1138" xr:uid="{00000000-0005-0000-0000-000068040000}"/>
    <cellStyle name="SAPBEXHLevel3X 4" xfId="1139" xr:uid="{00000000-0005-0000-0000-000069040000}"/>
    <cellStyle name="SAPBEXHLevel3X 5" xfId="1140" xr:uid="{00000000-0005-0000-0000-00006A040000}"/>
    <cellStyle name="SAPBEXHLevel3X 6" xfId="1141" xr:uid="{00000000-0005-0000-0000-00006B040000}"/>
    <cellStyle name="SAPBEXHLevel3X 7" xfId="1142" xr:uid="{00000000-0005-0000-0000-00006C040000}"/>
    <cellStyle name="SAPBEXHLevel3X 8" xfId="1143" xr:uid="{00000000-0005-0000-0000-00006D040000}"/>
    <cellStyle name="SAPBEXHLevel3X 9" xfId="1144" xr:uid="{00000000-0005-0000-0000-00006E040000}"/>
    <cellStyle name="SAPBEXchaText" xfId="10" xr:uid="{00000000-0005-0000-0000-00006F040000}"/>
    <cellStyle name="SAPBEXchaText 10" xfId="1145" xr:uid="{00000000-0005-0000-0000-000070040000}"/>
    <cellStyle name="SAPBEXchaText 11" xfId="1146" xr:uid="{00000000-0005-0000-0000-000071040000}"/>
    <cellStyle name="SAPBEXchaText 12" xfId="1147" xr:uid="{00000000-0005-0000-0000-000072040000}"/>
    <cellStyle name="SAPBEXchaText 2" xfId="1148" xr:uid="{00000000-0005-0000-0000-000073040000}"/>
    <cellStyle name="SAPBEXchaText 2 10" xfId="1149" xr:uid="{00000000-0005-0000-0000-000074040000}"/>
    <cellStyle name="SAPBEXchaText 2 11" xfId="1150" xr:uid="{00000000-0005-0000-0000-000075040000}"/>
    <cellStyle name="SAPBEXchaText 2 12" xfId="1151" xr:uid="{00000000-0005-0000-0000-000076040000}"/>
    <cellStyle name="SAPBEXchaText 2 2" xfId="1152" xr:uid="{00000000-0005-0000-0000-000077040000}"/>
    <cellStyle name="SAPBEXchaText 2 2 10" xfId="1153" xr:uid="{00000000-0005-0000-0000-000078040000}"/>
    <cellStyle name="SAPBEXchaText 2 2 2" xfId="1154" xr:uid="{00000000-0005-0000-0000-000079040000}"/>
    <cellStyle name="SAPBEXchaText 2 2 3" xfId="1155" xr:uid="{00000000-0005-0000-0000-00007A040000}"/>
    <cellStyle name="SAPBEXchaText 2 2 4" xfId="1156" xr:uid="{00000000-0005-0000-0000-00007B040000}"/>
    <cellStyle name="SAPBEXchaText 2 2 5" xfId="1157" xr:uid="{00000000-0005-0000-0000-00007C040000}"/>
    <cellStyle name="SAPBEXchaText 2 2 6" xfId="1158" xr:uid="{00000000-0005-0000-0000-00007D040000}"/>
    <cellStyle name="SAPBEXchaText 2 2 7" xfId="1159" xr:uid="{00000000-0005-0000-0000-00007E040000}"/>
    <cellStyle name="SAPBEXchaText 2 2 8" xfId="1160" xr:uid="{00000000-0005-0000-0000-00007F040000}"/>
    <cellStyle name="SAPBEXchaText 2 2 9" xfId="1161" xr:uid="{00000000-0005-0000-0000-000080040000}"/>
    <cellStyle name="SAPBEXchaText 2 3" xfId="1162" xr:uid="{00000000-0005-0000-0000-000081040000}"/>
    <cellStyle name="SAPBEXchaText 2 4" xfId="1163" xr:uid="{00000000-0005-0000-0000-000082040000}"/>
    <cellStyle name="SAPBEXchaText 2 5" xfId="1164" xr:uid="{00000000-0005-0000-0000-000083040000}"/>
    <cellStyle name="SAPBEXchaText 2 6" xfId="1165" xr:uid="{00000000-0005-0000-0000-000084040000}"/>
    <cellStyle name="SAPBEXchaText 2 7" xfId="1166" xr:uid="{00000000-0005-0000-0000-000085040000}"/>
    <cellStyle name="SAPBEXchaText 2 8" xfId="1167" xr:uid="{00000000-0005-0000-0000-000086040000}"/>
    <cellStyle name="SAPBEXchaText 2 9" xfId="1168" xr:uid="{00000000-0005-0000-0000-000087040000}"/>
    <cellStyle name="SAPBEXchaText 3" xfId="1169" xr:uid="{00000000-0005-0000-0000-000088040000}"/>
    <cellStyle name="SAPBEXchaText 3 10" xfId="1170" xr:uid="{00000000-0005-0000-0000-000089040000}"/>
    <cellStyle name="SAPBEXchaText 3 2" xfId="1171" xr:uid="{00000000-0005-0000-0000-00008A040000}"/>
    <cellStyle name="SAPBEXchaText 3 3" xfId="1172" xr:uid="{00000000-0005-0000-0000-00008B040000}"/>
    <cellStyle name="SAPBEXchaText 3 4" xfId="1173" xr:uid="{00000000-0005-0000-0000-00008C040000}"/>
    <cellStyle name="SAPBEXchaText 3 5" xfId="1174" xr:uid="{00000000-0005-0000-0000-00008D040000}"/>
    <cellStyle name="SAPBEXchaText 3 6" xfId="1175" xr:uid="{00000000-0005-0000-0000-00008E040000}"/>
    <cellStyle name="SAPBEXchaText 3 7" xfId="1176" xr:uid="{00000000-0005-0000-0000-00008F040000}"/>
    <cellStyle name="SAPBEXchaText 3 8" xfId="1177" xr:uid="{00000000-0005-0000-0000-000090040000}"/>
    <cellStyle name="SAPBEXchaText 3 9" xfId="1178" xr:uid="{00000000-0005-0000-0000-000091040000}"/>
    <cellStyle name="SAPBEXchaText 4" xfId="1179" xr:uid="{00000000-0005-0000-0000-000092040000}"/>
    <cellStyle name="SAPBEXchaText 5" xfId="1180" xr:uid="{00000000-0005-0000-0000-000093040000}"/>
    <cellStyle name="SAPBEXchaText 6" xfId="1181" xr:uid="{00000000-0005-0000-0000-000094040000}"/>
    <cellStyle name="SAPBEXchaText 7" xfId="1182" xr:uid="{00000000-0005-0000-0000-000095040000}"/>
    <cellStyle name="SAPBEXchaText 8" xfId="1183" xr:uid="{00000000-0005-0000-0000-000096040000}"/>
    <cellStyle name="SAPBEXchaText 9" xfId="1184" xr:uid="{00000000-0005-0000-0000-000097040000}"/>
    <cellStyle name="SAPBEXchaText_Výkaz 13-D3a _2011_jk" xfId="1185" xr:uid="{00000000-0005-0000-0000-000098040000}"/>
    <cellStyle name="SAPBEXinputData" xfId="1186" xr:uid="{00000000-0005-0000-0000-000099040000}"/>
    <cellStyle name="SAPBEXinputData 2" xfId="1187" xr:uid="{00000000-0005-0000-0000-00009A040000}"/>
    <cellStyle name="SAPBEXItemHeader" xfId="1188" xr:uid="{00000000-0005-0000-0000-00009B040000}"/>
    <cellStyle name="SAPBEXItemHeader 10" xfId="1189" xr:uid="{00000000-0005-0000-0000-00009C040000}"/>
    <cellStyle name="SAPBEXItemHeader 11" xfId="1190" xr:uid="{00000000-0005-0000-0000-00009D040000}"/>
    <cellStyle name="SAPBEXItemHeader 2" xfId="1191" xr:uid="{00000000-0005-0000-0000-00009E040000}"/>
    <cellStyle name="SAPBEXItemHeader 2 10" xfId="1192" xr:uid="{00000000-0005-0000-0000-00009F040000}"/>
    <cellStyle name="SAPBEXItemHeader 2 2" xfId="1193" xr:uid="{00000000-0005-0000-0000-0000A0040000}"/>
    <cellStyle name="SAPBEXItemHeader 2 3" xfId="1194" xr:uid="{00000000-0005-0000-0000-0000A1040000}"/>
    <cellStyle name="SAPBEXItemHeader 2 4" xfId="1195" xr:uid="{00000000-0005-0000-0000-0000A2040000}"/>
    <cellStyle name="SAPBEXItemHeader 2 5" xfId="1196" xr:uid="{00000000-0005-0000-0000-0000A3040000}"/>
    <cellStyle name="SAPBEXItemHeader 2 6" xfId="1197" xr:uid="{00000000-0005-0000-0000-0000A4040000}"/>
    <cellStyle name="SAPBEXItemHeader 2 7" xfId="1198" xr:uid="{00000000-0005-0000-0000-0000A5040000}"/>
    <cellStyle name="SAPBEXItemHeader 2 8" xfId="1199" xr:uid="{00000000-0005-0000-0000-0000A6040000}"/>
    <cellStyle name="SAPBEXItemHeader 2 9" xfId="1200" xr:uid="{00000000-0005-0000-0000-0000A7040000}"/>
    <cellStyle name="SAPBEXItemHeader 3" xfId="1201" xr:uid="{00000000-0005-0000-0000-0000A8040000}"/>
    <cellStyle name="SAPBEXItemHeader 4" xfId="1202" xr:uid="{00000000-0005-0000-0000-0000A9040000}"/>
    <cellStyle name="SAPBEXItemHeader 5" xfId="1203" xr:uid="{00000000-0005-0000-0000-0000AA040000}"/>
    <cellStyle name="SAPBEXItemHeader 6" xfId="1204" xr:uid="{00000000-0005-0000-0000-0000AB040000}"/>
    <cellStyle name="SAPBEXItemHeader 7" xfId="1205" xr:uid="{00000000-0005-0000-0000-0000AC040000}"/>
    <cellStyle name="SAPBEXItemHeader 8" xfId="1206" xr:uid="{00000000-0005-0000-0000-0000AD040000}"/>
    <cellStyle name="SAPBEXItemHeader 9" xfId="1207" xr:uid="{00000000-0005-0000-0000-0000AE040000}"/>
    <cellStyle name="SAPBEXresData" xfId="49" xr:uid="{00000000-0005-0000-0000-0000AF040000}"/>
    <cellStyle name="SAPBEXresData 10" xfId="1208" xr:uid="{00000000-0005-0000-0000-0000B0040000}"/>
    <cellStyle name="SAPBEXresData 11" xfId="1209" xr:uid="{00000000-0005-0000-0000-0000B1040000}"/>
    <cellStyle name="SAPBEXresData 12" xfId="1210" xr:uid="{00000000-0005-0000-0000-0000B2040000}"/>
    <cellStyle name="SAPBEXresData 2" xfId="1211" xr:uid="{00000000-0005-0000-0000-0000B3040000}"/>
    <cellStyle name="SAPBEXresData 2 10" xfId="1212" xr:uid="{00000000-0005-0000-0000-0000B4040000}"/>
    <cellStyle name="SAPBEXresData 2 2" xfId="1213" xr:uid="{00000000-0005-0000-0000-0000B5040000}"/>
    <cellStyle name="SAPBEXresData 2 3" xfId="1214" xr:uid="{00000000-0005-0000-0000-0000B6040000}"/>
    <cellStyle name="SAPBEXresData 2 4" xfId="1215" xr:uid="{00000000-0005-0000-0000-0000B7040000}"/>
    <cellStyle name="SAPBEXresData 2 5" xfId="1216" xr:uid="{00000000-0005-0000-0000-0000B8040000}"/>
    <cellStyle name="SAPBEXresData 2 6" xfId="1217" xr:uid="{00000000-0005-0000-0000-0000B9040000}"/>
    <cellStyle name="SAPBEXresData 2 7" xfId="1218" xr:uid="{00000000-0005-0000-0000-0000BA040000}"/>
    <cellStyle name="SAPBEXresData 2 8" xfId="1219" xr:uid="{00000000-0005-0000-0000-0000BB040000}"/>
    <cellStyle name="SAPBEXresData 2 9" xfId="1220" xr:uid="{00000000-0005-0000-0000-0000BC040000}"/>
    <cellStyle name="SAPBEXresData 3" xfId="1221" xr:uid="{00000000-0005-0000-0000-0000BD040000}"/>
    <cellStyle name="SAPBEXresData 4" xfId="1222" xr:uid="{00000000-0005-0000-0000-0000BE040000}"/>
    <cellStyle name="SAPBEXresData 5" xfId="1223" xr:uid="{00000000-0005-0000-0000-0000BF040000}"/>
    <cellStyle name="SAPBEXresData 6" xfId="1224" xr:uid="{00000000-0005-0000-0000-0000C0040000}"/>
    <cellStyle name="SAPBEXresData 7" xfId="1225" xr:uid="{00000000-0005-0000-0000-0000C1040000}"/>
    <cellStyle name="SAPBEXresData 8" xfId="1226" xr:uid="{00000000-0005-0000-0000-0000C2040000}"/>
    <cellStyle name="SAPBEXresData 9" xfId="1227" xr:uid="{00000000-0005-0000-0000-0000C3040000}"/>
    <cellStyle name="SAPBEXresDataEmph" xfId="50" xr:uid="{00000000-0005-0000-0000-0000C4040000}"/>
    <cellStyle name="SAPBEXresDataEmph 2" xfId="1228" xr:uid="{00000000-0005-0000-0000-0000C5040000}"/>
    <cellStyle name="SAPBEXresDataEmph 2 2" xfId="1229" xr:uid="{00000000-0005-0000-0000-0000C6040000}"/>
    <cellStyle name="SAPBEXresDataEmph 2 3" xfId="1230" xr:uid="{00000000-0005-0000-0000-0000C7040000}"/>
    <cellStyle name="SAPBEXresDataEmph 2 4" xfId="1231" xr:uid="{00000000-0005-0000-0000-0000C8040000}"/>
    <cellStyle name="SAPBEXresDataEmph 2 5" xfId="1232" xr:uid="{00000000-0005-0000-0000-0000C9040000}"/>
    <cellStyle name="SAPBEXresDataEmph 2 6" xfId="1233" xr:uid="{00000000-0005-0000-0000-0000CA040000}"/>
    <cellStyle name="SAPBEXresDataEmph 2 7" xfId="1234" xr:uid="{00000000-0005-0000-0000-0000CB040000}"/>
    <cellStyle name="SAPBEXresDataEmph 3" xfId="1235" xr:uid="{00000000-0005-0000-0000-0000CC040000}"/>
    <cellStyle name="SAPBEXresDataEmph 4" xfId="1236" xr:uid="{00000000-0005-0000-0000-0000CD040000}"/>
    <cellStyle name="SAPBEXresDataEmph 5" xfId="1237" xr:uid="{00000000-0005-0000-0000-0000CE040000}"/>
    <cellStyle name="SAPBEXresDataEmph 6" xfId="1238" xr:uid="{00000000-0005-0000-0000-0000CF040000}"/>
    <cellStyle name="SAPBEXresDataEmph 7" xfId="1239" xr:uid="{00000000-0005-0000-0000-0000D0040000}"/>
    <cellStyle name="SAPBEXresDataEmph 8" xfId="1240" xr:uid="{00000000-0005-0000-0000-0000D1040000}"/>
    <cellStyle name="SAPBEXresDataEmph 9" xfId="1241" xr:uid="{00000000-0005-0000-0000-0000D2040000}"/>
    <cellStyle name="SAPBEXresItem" xfId="51" xr:uid="{00000000-0005-0000-0000-0000D3040000}"/>
    <cellStyle name="SAPBEXresItem 10" xfId="1242" xr:uid="{00000000-0005-0000-0000-0000D4040000}"/>
    <cellStyle name="SAPBEXresItem 11" xfId="1243" xr:uid="{00000000-0005-0000-0000-0000D5040000}"/>
    <cellStyle name="SAPBEXresItem 12" xfId="1244" xr:uid="{00000000-0005-0000-0000-0000D6040000}"/>
    <cellStyle name="SAPBEXresItem 2" xfId="1245" xr:uid="{00000000-0005-0000-0000-0000D7040000}"/>
    <cellStyle name="SAPBEXresItem 2 10" xfId="1246" xr:uid="{00000000-0005-0000-0000-0000D8040000}"/>
    <cellStyle name="SAPBEXresItem 2 2" xfId="1247" xr:uid="{00000000-0005-0000-0000-0000D9040000}"/>
    <cellStyle name="SAPBEXresItem 2 3" xfId="1248" xr:uid="{00000000-0005-0000-0000-0000DA040000}"/>
    <cellStyle name="SAPBEXresItem 2 4" xfId="1249" xr:uid="{00000000-0005-0000-0000-0000DB040000}"/>
    <cellStyle name="SAPBEXresItem 2 5" xfId="1250" xr:uid="{00000000-0005-0000-0000-0000DC040000}"/>
    <cellStyle name="SAPBEXresItem 2 6" xfId="1251" xr:uid="{00000000-0005-0000-0000-0000DD040000}"/>
    <cellStyle name="SAPBEXresItem 2 7" xfId="1252" xr:uid="{00000000-0005-0000-0000-0000DE040000}"/>
    <cellStyle name="SAPBEXresItem 2 8" xfId="1253" xr:uid="{00000000-0005-0000-0000-0000DF040000}"/>
    <cellStyle name="SAPBEXresItem 2 9" xfId="1254" xr:uid="{00000000-0005-0000-0000-0000E0040000}"/>
    <cellStyle name="SAPBEXresItem 3" xfId="1255" xr:uid="{00000000-0005-0000-0000-0000E1040000}"/>
    <cellStyle name="SAPBEXresItem 4" xfId="1256" xr:uid="{00000000-0005-0000-0000-0000E2040000}"/>
    <cellStyle name="SAPBEXresItem 5" xfId="1257" xr:uid="{00000000-0005-0000-0000-0000E3040000}"/>
    <cellStyle name="SAPBEXresItem 6" xfId="1258" xr:uid="{00000000-0005-0000-0000-0000E4040000}"/>
    <cellStyle name="SAPBEXresItem 7" xfId="1259" xr:uid="{00000000-0005-0000-0000-0000E5040000}"/>
    <cellStyle name="SAPBEXresItem 8" xfId="1260" xr:uid="{00000000-0005-0000-0000-0000E6040000}"/>
    <cellStyle name="SAPBEXresItem 9" xfId="1261" xr:uid="{00000000-0005-0000-0000-0000E7040000}"/>
    <cellStyle name="SAPBEXresItemX" xfId="52" xr:uid="{00000000-0005-0000-0000-0000E8040000}"/>
    <cellStyle name="SAPBEXresItemX 10" xfId="1262" xr:uid="{00000000-0005-0000-0000-0000E9040000}"/>
    <cellStyle name="SAPBEXresItemX 11" xfId="1263" xr:uid="{00000000-0005-0000-0000-0000EA040000}"/>
    <cellStyle name="SAPBEXresItemX 12" xfId="1264" xr:uid="{00000000-0005-0000-0000-0000EB040000}"/>
    <cellStyle name="SAPBEXresItemX 2" xfId="1265" xr:uid="{00000000-0005-0000-0000-0000EC040000}"/>
    <cellStyle name="SAPBEXresItemX 2 10" xfId="1266" xr:uid="{00000000-0005-0000-0000-0000ED040000}"/>
    <cellStyle name="SAPBEXresItemX 2 2" xfId="1267" xr:uid="{00000000-0005-0000-0000-0000EE040000}"/>
    <cellStyle name="SAPBEXresItemX 2 3" xfId="1268" xr:uid="{00000000-0005-0000-0000-0000EF040000}"/>
    <cellStyle name="SAPBEXresItemX 2 4" xfId="1269" xr:uid="{00000000-0005-0000-0000-0000F0040000}"/>
    <cellStyle name="SAPBEXresItemX 2 5" xfId="1270" xr:uid="{00000000-0005-0000-0000-0000F1040000}"/>
    <cellStyle name="SAPBEXresItemX 2 6" xfId="1271" xr:uid="{00000000-0005-0000-0000-0000F2040000}"/>
    <cellStyle name="SAPBEXresItemX 2 7" xfId="1272" xr:uid="{00000000-0005-0000-0000-0000F3040000}"/>
    <cellStyle name="SAPBEXresItemX 2 8" xfId="1273" xr:uid="{00000000-0005-0000-0000-0000F4040000}"/>
    <cellStyle name="SAPBEXresItemX 2 9" xfId="1274" xr:uid="{00000000-0005-0000-0000-0000F5040000}"/>
    <cellStyle name="SAPBEXresItemX 3" xfId="1275" xr:uid="{00000000-0005-0000-0000-0000F6040000}"/>
    <cellStyle name="SAPBEXresItemX 4" xfId="1276" xr:uid="{00000000-0005-0000-0000-0000F7040000}"/>
    <cellStyle name="SAPBEXresItemX 5" xfId="1277" xr:uid="{00000000-0005-0000-0000-0000F8040000}"/>
    <cellStyle name="SAPBEXresItemX 6" xfId="1278" xr:uid="{00000000-0005-0000-0000-0000F9040000}"/>
    <cellStyle name="SAPBEXresItemX 7" xfId="1279" xr:uid="{00000000-0005-0000-0000-0000FA040000}"/>
    <cellStyle name="SAPBEXresItemX 8" xfId="1280" xr:uid="{00000000-0005-0000-0000-0000FB040000}"/>
    <cellStyle name="SAPBEXresItemX 9" xfId="1281" xr:uid="{00000000-0005-0000-0000-0000FC040000}"/>
    <cellStyle name="SAPBEXstdData" xfId="11" xr:uid="{00000000-0005-0000-0000-0000FD040000}"/>
    <cellStyle name="SAPBEXstdData 10" xfId="1282" xr:uid="{00000000-0005-0000-0000-0000FE040000}"/>
    <cellStyle name="SAPBEXstdData 11" xfId="1283" xr:uid="{00000000-0005-0000-0000-0000FF040000}"/>
    <cellStyle name="SAPBEXstdData 12" xfId="1284" xr:uid="{00000000-0005-0000-0000-000000050000}"/>
    <cellStyle name="SAPBEXstdData 2" xfId="1285" xr:uid="{00000000-0005-0000-0000-000001050000}"/>
    <cellStyle name="SAPBEXstdData 2 10" xfId="1286" xr:uid="{00000000-0005-0000-0000-000002050000}"/>
    <cellStyle name="SAPBEXstdData 2 11" xfId="1287" xr:uid="{00000000-0005-0000-0000-000003050000}"/>
    <cellStyle name="SAPBEXstdData 2 12" xfId="1288" xr:uid="{00000000-0005-0000-0000-000004050000}"/>
    <cellStyle name="SAPBEXstdData 2 2" xfId="1289" xr:uid="{00000000-0005-0000-0000-000005050000}"/>
    <cellStyle name="SAPBEXstdData 2 2 10" xfId="1290" xr:uid="{00000000-0005-0000-0000-000006050000}"/>
    <cellStyle name="SAPBEXstdData 2 2 2" xfId="1291" xr:uid="{00000000-0005-0000-0000-000007050000}"/>
    <cellStyle name="SAPBEXstdData 2 2 3" xfId="1292" xr:uid="{00000000-0005-0000-0000-000008050000}"/>
    <cellStyle name="SAPBEXstdData 2 2 4" xfId="1293" xr:uid="{00000000-0005-0000-0000-000009050000}"/>
    <cellStyle name="SAPBEXstdData 2 2 5" xfId="1294" xr:uid="{00000000-0005-0000-0000-00000A050000}"/>
    <cellStyle name="SAPBEXstdData 2 2 6" xfId="1295" xr:uid="{00000000-0005-0000-0000-00000B050000}"/>
    <cellStyle name="SAPBEXstdData 2 2 7" xfId="1296" xr:uid="{00000000-0005-0000-0000-00000C050000}"/>
    <cellStyle name="SAPBEXstdData 2 2 8" xfId="1297" xr:uid="{00000000-0005-0000-0000-00000D050000}"/>
    <cellStyle name="SAPBEXstdData 2 2 9" xfId="1298" xr:uid="{00000000-0005-0000-0000-00000E050000}"/>
    <cellStyle name="SAPBEXstdData 2 3" xfId="1299" xr:uid="{00000000-0005-0000-0000-00000F050000}"/>
    <cellStyle name="SAPBEXstdData 2 4" xfId="1300" xr:uid="{00000000-0005-0000-0000-000010050000}"/>
    <cellStyle name="SAPBEXstdData 2 5" xfId="1301" xr:uid="{00000000-0005-0000-0000-000011050000}"/>
    <cellStyle name="SAPBEXstdData 2 6" xfId="1302" xr:uid="{00000000-0005-0000-0000-000012050000}"/>
    <cellStyle name="SAPBEXstdData 2 7" xfId="1303" xr:uid="{00000000-0005-0000-0000-000013050000}"/>
    <cellStyle name="SAPBEXstdData 2 8" xfId="1304" xr:uid="{00000000-0005-0000-0000-000014050000}"/>
    <cellStyle name="SAPBEXstdData 2 9" xfId="1305" xr:uid="{00000000-0005-0000-0000-000015050000}"/>
    <cellStyle name="SAPBEXstdData 3" xfId="1306" xr:uid="{00000000-0005-0000-0000-000016050000}"/>
    <cellStyle name="SAPBEXstdData 3 10" xfId="1307" xr:uid="{00000000-0005-0000-0000-000017050000}"/>
    <cellStyle name="SAPBEXstdData 3 2" xfId="1308" xr:uid="{00000000-0005-0000-0000-000018050000}"/>
    <cellStyle name="SAPBEXstdData 3 3" xfId="1309" xr:uid="{00000000-0005-0000-0000-000019050000}"/>
    <cellStyle name="SAPBEXstdData 3 4" xfId="1310" xr:uid="{00000000-0005-0000-0000-00001A050000}"/>
    <cellStyle name="SAPBEXstdData 3 5" xfId="1311" xr:uid="{00000000-0005-0000-0000-00001B050000}"/>
    <cellStyle name="SAPBEXstdData 3 6" xfId="1312" xr:uid="{00000000-0005-0000-0000-00001C050000}"/>
    <cellStyle name="SAPBEXstdData 3 7" xfId="1313" xr:uid="{00000000-0005-0000-0000-00001D050000}"/>
    <cellStyle name="SAPBEXstdData 3 8" xfId="1314" xr:uid="{00000000-0005-0000-0000-00001E050000}"/>
    <cellStyle name="SAPBEXstdData 3 9" xfId="1315" xr:uid="{00000000-0005-0000-0000-00001F050000}"/>
    <cellStyle name="SAPBEXstdData 4" xfId="1316" xr:uid="{00000000-0005-0000-0000-000020050000}"/>
    <cellStyle name="SAPBEXstdData 5" xfId="1317" xr:uid="{00000000-0005-0000-0000-000021050000}"/>
    <cellStyle name="SAPBEXstdData 6" xfId="1318" xr:uid="{00000000-0005-0000-0000-000022050000}"/>
    <cellStyle name="SAPBEXstdData 7" xfId="1319" xr:uid="{00000000-0005-0000-0000-000023050000}"/>
    <cellStyle name="SAPBEXstdData 8" xfId="1320" xr:uid="{00000000-0005-0000-0000-000024050000}"/>
    <cellStyle name="SAPBEXstdData 9" xfId="1321" xr:uid="{00000000-0005-0000-0000-000025050000}"/>
    <cellStyle name="SAPBEXstdDataEmph" xfId="53" xr:uid="{00000000-0005-0000-0000-000026050000}"/>
    <cellStyle name="SAPBEXstdDataEmph 10" xfId="1322" xr:uid="{00000000-0005-0000-0000-000027050000}"/>
    <cellStyle name="SAPBEXstdDataEmph 11" xfId="1323" xr:uid="{00000000-0005-0000-0000-000028050000}"/>
    <cellStyle name="SAPBEXstdDataEmph 12" xfId="1324" xr:uid="{00000000-0005-0000-0000-000029050000}"/>
    <cellStyle name="SAPBEXstdDataEmph 2" xfId="1325" xr:uid="{00000000-0005-0000-0000-00002A050000}"/>
    <cellStyle name="SAPBEXstdDataEmph 2 10" xfId="1326" xr:uid="{00000000-0005-0000-0000-00002B050000}"/>
    <cellStyle name="SAPBEXstdDataEmph 2 2" xfId="1327" xr:uid="{00000000-0005-0000-0000-00002C050000}"/>
    <cellStyle name="SAPBEXstdDataEmph 2 3" xfId="1328" xr:uid="{00000000-0005-0000-0000-00002D050000}"/>
    <cellStyle name="SAPBEXstdDataEmph 2 4" xfId="1329" xr:uid="{00000000-0005-0000-0000-00002E050000}"/>
    <cellStyle name="SAPBEXstdDataEmph 2 5" xfId="1330" xr:uid="{00000000-0005-0000-0000-00002F050000}"/>
    <cellStyle name="SAPBEXstdDataEmph 2 6" xfId="1331" xr:uid="{00000000-0005-0000-0000-000030050000}"/>
    <cellStyle name="SAPBEXstdDataEmph 2 7" xfId="1332" xr:uid="{00000000-0005-0000-0000-000031050000}"/>
    <cellStyle name="SAPBEXstdDataEmph 2 8" xfId="1333" xr:uid="{00000000-0005-0000-0000-000032050000}"/>
    <cellStyle name="SAPBEXstdDataEmph 2 9" xfId="1334" xr:uid="{00000000-0005-0000-0000-000033050000}"/>
    <cellStyle name="SAPBEXstdDataEmph 3" xfId="1335" xr:uid="{00000000-0005-0000-0000-000034050000}"/>
    <cellStyle name="SAPBEXstdDataEmph 4" xfId="1336" xr:uid="{00000000-0005-0000-0000-000035050000}"/>
    <cellStyle name="SAPBEXstdDataEmph 5" xfId="1337" xr:uid="{00000000-0005-0000-0000-000036050000}"/>
    <cellStyle name="SAPBEXstdDataEmph 6" xfId="1338" xr:uid="{00000000-0005-0000-0000-000037050000}"/>
    <cellStyle name="SAPBEXstdDataEmph 7" xfId="1339" xr:uid="{00000000-0005-0000-0000-000038050000}"/>
    <cellStyle name="SAPBEXstdDataEmph 8" xfId="1340" xr:uid="{00000000-0005-0000-0000-000039050000}"/>
    <cellStyle name="SAPBEXstdDataEmph 9" xfId="1341" xr:uid="{00000000-0005-0000-0000-00003A050000}"/>
    <cellStyle name="SAPBEXstdItem" xfId="12" xr:uid="{00000000-0005-0000-0000-00003B050000}"/>
    <cellStyle name="SAPBEXstdItem 10" xfId="1342" xr:uid="{00000000-0005-0000-0000-00003C050000}"/>
    <cellStyle name="SAPBEXstdItem 11" xfId="1343" xr:uid="{00000000-0005-0000-0000-00003D050000}"/>
    <cellStyle name="SAPBEXstdItem 12" xfId="1344" xr:uid="{00000000-0005-0000-0000-00003E050000}"/>
    <cellStyle name="SAPBEXstdItem 2" xfId="1345" xr:uid="{00000000-0005-0000-0000-00003F050000}"/>
    <cellStyle name="SAPBEXstdItem 2 10" xfId="1346" xr:uid="{00000000-0005-0000-0000-000040050000}"/>
    <cellStyle name="SAPBEXstdItem 2 11" xfId="1347" xr:uid="{00000000-0005-0000-0000-000041050000}"/>
    <cellStyle name="SAPBEXstdItem 2 12" xfId="1348" xr:uid="{00000000-0005-0000-0000-000042050000}"/>
    <cellStyle name="SAPBEXstdItem 2 2" xfId="1349" xr:uid="{00000000-0005-0000-0000-000043050000}"/>
    <cellStyle name="SAPBEXstdItem 2 2 10" xfId="1350" xr:uid="{00000000-0005-0000-0000-000044050000}"/>
    <cellStyle name="SAPBEXstdItem 2 2 2" xfId="1351" xr:uid="{00000000-0005-0000-0000-000045050000}"/>
    <cellStyle name="SAPBEXstdItem 2 2 3" xfId="1352" xr:uid="{00000000-0005-0000-0000-000046050000}"/>
    <cellStyle name="SAPBEXstdItem 2 2 4" xfId="1353" xr:uid="{00000000-0005-0000-0000-000047050000}"/>
    <cellStyle name="SAPBEXstdItem 2 2 5" xfId="1354" xr:uid="{00000000-0005-0000-0000-000048050000}"/>
    <cellStyle name="SAPBEXstdItem 2 2 6" xfId="1355" xr:uid="{00000000-0005-0000-0000-000049050000}"/>
    <cellStyle name="SAPBEXstdItem 2 2 7" xfId="1356" xr:uid="{00000000-0005-0000-0000-00004A050000}"/>
    <cellStyle name="SAPBEXstdItem 2 2 8" xfId="1357" xr:uid="{00000000-0005-0000-0000-00004B050000}"/>
    <cellStyle name="SAPBEXstdItem 2 2 9" xfId="1358" xr:uid="{00000000-0005-0000-0000-00004C050000}"/>
    <cellStyle name="SAPBEXstdItem 2 3" xfId="1359" xr:uid="{00000000-0005-0000-0000-00004D050000}"/>
    <cellStyle name="SAPBEXstdItem 2 4" xfId="1360" xr:uid="{00000000-0005-0000-0000-00004E050000}"/>
    <cellStyle name="SAPBEXstdItem 2 5" xfId="1361" xr:uid="{00000000-0005-0000-0000-00004F050000}"/>
    <cellStyle name="SAPBEXstdItem 2 6" xfId="1362" xr:uid="{00000000-0005-0000-0000-000050050000}"/>
    <cellStyle name="SAPBEXstdItem 2 7" xfId="1363" xr:uid="{00000000-0005-0000-0000-000051050000}"/>
    <cellStyle name="SAPBEXstdItem 2 8" xfId="1364" xr:uid="{00000000-0005-0000-0000-000052050000}"/>
    <cellStyle name="SAPBEXstdItem 2 9" xfId="1365" xr:uid="{00000000-0005-0000-0000-000053050000}"/>
    <cellStyle name="SAPBEXstdItem 3" xfId="1366" xr:uid="{00000000-0005-0000-0000-000054050000}"/>
    <cellStyle name="SAPBEXstdItem 3 10" xfId="1367" xr:uid="{00000000-0005-0000-0000-000055050000}"/>
    <cellStyle name="SAPBEXstdItem 3 2" xfId="1368" xr:uid="{00000000-0005-0000-0000-000056050000}"/>
    <cellStyle name="SAPBEXstdItem 3 3" xfId="1369" xr:uid="{00000000-0005-0000-0000-000057050000}"/>
    <cellStyle name="SAPBEXstdItem 3 4" xfId="1370" xr:uid="{00000000-0005-0000-0000-000058050000}"/>
    <cellStyle name="SAPBEXstdItem 3 5" xfId="1371" xr:uid="{00000000-0005-0000-0000-000059050000}"/>
    <cellStyle name="SAPBEXstdItem 3 6" xfId="1372" xr:uid="{00000000-0005-0000-0000-00005A050000}"/>
    <cellStyle name="SAPBEXstdItem 3 7" xfId="1373" xr:uid="{00000000-0005-0000-0000-00005B050000}"/>
    <cellStyle name="SAPBEXstdItem 3 8" xfId="1374" xr:uid="{00000000-0005-0000-0000-00005C050000}"/>
    <cellStyle name="SAPBEXstdItem 3 9" xfId="1375" xr:uid="{00000000-0005-0000-0000-00005D050000}"/>
    <cellStyle name="SAPBEXstdItem 4" xfId="1376" xr:uid="{00000000-0005-0000-0000-00005E050000}"/>
    <cellStyle name="SAPBEXstdItem 4 2" xfId="1377" xr:uid="{00000000-0005-0000-0000-00005F050000}"/>
    <cellStyle name="SAPBEXstdItem 5" xfId="1378" xr:uid="{00000000-0005-0000-0000-000060050000}"/>
    <cellStyle name="SAPBEXstdItem 6" xfId="1379" xr:uid="{00000000-0005-0000-0000-000061050000}"/>
    <cellStyle name="SAPBEXstdItem 7" xfId="1380" xr:uid="{00000000-0005-0000-0000-000062050000}"/>
    <cellStyle name="SAPBEXstdItem 8" xfId="1381" xr:uid="{00000000-0005-0000-0000-000063050000}"/>
    <cellStyle name="SAPBEXstdItem 9" xfId="1382" xr:uid="{00000000-0005-0000-0000-000064050000}"/>
    <cellStyle name="SAPBEXstdItem_Výkaz 13-D3a _2011_jk" xfId="1383" xr:uid="{00000000-0005-0000-0000-000065050000}"/>
    <cellStyle name="SAPBEXstdItemX" xfId="54" xr:uid="{00000000-0005-0000-0000-000066050000}"/>
    <cellStyle name="SAPBEXstdItemX 10" xfId="1384" xr:uid="{00000000-0005-0000-0000-000067050000}"/>
    <cellStyle name="SAPBEXstdItemX 11" xfId="1385" xr:uid="{00000000-0005-0000-0000-000068050000}"/>
    <cellStyle name="SAPBEXstdItemX 12" xfId="1386" xr:uid="{00000000-0005-0000-0000-000069050000}"/>
    <cellStyle name="SAPBEXstdItemX 13" xfId="1387" xr:uid="{00000000-0005-0000-0000-00006A050000}"/>
    <cellStyle name="SAPBEXstdItemX 2" xfId="1388" xr:uid="{00000000-0005-0000-0000-00006B050000}"/>
    <cellStyle name="SAPBEXstdItemX 2 10" xfId="1389" xr:uid="{00000000-0005-0000-0000-00006C050000}"/>
    <cellStyle name="SAPBEXstdItemX 2 11" xfId="1390" xr:uid="{00000000-0005-0000-0000-00006D050000}"/>
    <cellStyle name="SAPBEXstdItemX 2 2" xfId="1391" xr:uid="{00000000-0005-0000-0000-00006E050000}"/>
    <cellStyle name="SAPBEXstdItemX 2 2 10" xfId="1392" xr:uid="{00000000-0005-0000-0000-00006F050000}"/>
    <cellStyle name="SAPBEXstdItemX 2 2 2" xfId="1393" xr:uid="{00000000-0005-0000-0000-000070050000}"/>
    <cellStyle name="SAPBEXstdItemX 2 2 3" xfId="1394" xr:uid="{00000000-0005-0000-0000-000071050000}"/>
    <cellStyle name="SAPBEXstdItemX 2 2 4" xfId="1395" xr:uid="{00000000-0005-0000-0000-000072050000}"/>
    <cellStyle name="SAPBEXstdItemX 2 2 5" xfId="1396" xr:uid="{00000000-0005-0000-0000-000073050000}"/>
    <cellStyle name="SAPBEXstdItemX 2 2 6" xfId="1397" xr:uid="{00000000-0005-0000-0000-000074050000}"/>
    <cellStyle name="SAPBEXstdItemX 2 2 7" xfId="1398" xr:uid="{00000000-0005-0000-0000-000075050000}"/>
    <cellStyle name="SAPBEXstdItemX 2 2 8" xfId="1399" xr:uid="{00000000-0005-0000-0000-000076050000}"/>
    <cellStyle name="SAPBEXstdItemX 2 2 9" xfId="1400" xr:uid="{00000000-0005-0000-0000-000077050000}"/>
    <cellStyle name="SAPBEXstdItemX 2 3" xfId="1401" xr:uid="{00000000-0005-0000-0000-000078050000}"/>
    <cellStyle name="SAPBEXstdItemX 2 4" xfId="1402" xr:uid="{00000000-0005-0000-0000-000079050000}"/>
    <cellStyle name="SAPBEXstdItemX 2 5" xfId="1403" xr:uid="{00000000-0005-0000-0000-00007A050000}"/>
    <cellStyle name="SAPBEXstdItemX 2 6" xfId="1404" xr:uid="{00000000-0005-0000-0000-00007B050000}"/>
    <cellStyle name="SAPBEXstdItemX 2 7" xfId="1405" xr:uid="{00000000-0005-0000-0000-00007C050000}"/>
    <cellStyle name="SAPBEXstdItemX 2 8" xfId="1406" xr:uid="{00000000-0005-0000-0000-00007D050000}"/>
    <cellStyle name="SAPBEXstdItemX 2 9" xfId="1407" xr:uid="{00000000-0005-0000-0000-00007E050000}"/>
    <cellStyle name="SAPBEXstdItemX 3" xfId="1408" xr:uid="{00000000-0005-0000-0000-00007F050000}"/>
    <cellStyle name="SAPBEXstdItemX 3 10" xfId="1409" xr:uid="{00000000-0005-0000-0000-000080050000}"/>
    <cellStyle name="SAPBEXstdItemX 3 2" xfId="1410" xr:uid="{00000000-0005-0000-0000-000081050000}"/>
    <cellStyle name="SAPBEXstdItemX 3 3" xfId="1411" xr:uid="{00000000-0005-0000-0000-000082050000}"/>
    <cellStyle name="SAPBEXstdItemX 3 4" xfId="1412" xr:uid="{00000000-0005-0000-0000-000083050000}"/>
    <cellStyle name="SAPBEXstdItemX 3 5" xfId="1413" xr:uid="{00000000-0005-0000-0000-000084050000}"/>
    <cellStyle name="SAPBEXstdItemX 3 6" xfId="1414" xr:uid="{00000000-0005-0000-0000-000085050000}"/>
    <cellStyle name="SAPBEXstdItemX 3 7" xfId="1415" xr:uid="{00000000-0005-0000-0000-000086050000}"/>
    <cellStyle name="SAPBEXstdItemX 3 8" xfId="1416" xr:uid="{00000000-0005-0000-0000-000087050000}"/>
    <cellStyle name="SAPBEXstdItemX 3 9" xfId="1417" xr:uid="{00000000-0005-0000-0000-000088050000}"/>
    <cellStyle name="SAPBEXstdItemX 4" xfId="1418" xr:uid="{00000000-0005-0000-0000-000089050000}"/>
    <cellStyle name="SAPBEXstdItemX 5" xfId="1419" xr:uid="{00000000-0005-0000-0000-00008A050000}"/>
    <cellStyle name="SAPBEXstdItemX 6" xfId="1420" xr:uid="{00000000-0005-0000-0000-00008B050000}"/>
    <cellStyle name="SAPBEXstdItemX 7" xfId="1421" xr:uid="{00000000-0005-0000-0000-00008C050000}"/>
    <cellStyle name="SAPBEXstdItemX 8" xfId="1422" xr:uid="{00000000-0005-0000-0000-00008D050000}"/>
    <cellStyle name="SAPBEXstdItemX 9" xfId="1423" xr:uid="{00000000-0005-0000-0000-00008E050000}"/>
    <cellStyle name="SAPBEXstdItemX_Výkaz 13-D3a _2011_jk" xfId="1424" xr:uid="{00000000-0005-0000-0000-00008F050000}"/>
    <cellStyle name="SAPBEXtitle" xfId="55" xr:uid="{00000000-0005-0000-0000-000090050000}"/>
    <cellStyle name="SAPBEXtitle 2" xfId="1425" xr:uid="{00000000-0005-0000-0000-000091050000}"/>
    <cellStyle name="SAPBEXtitle 3" xfId="1426" xr:uid="{00000000-0005-0000-0000-000092050000}"/>
    <cellStyle name="SAPBEXtitle_Výkaz 13-D3a _2011_jk" xfId="1427" xr:uid="{00000000-0005-0000-0000-000093050000}"/>
    <cellStyle name="SAPBEXunassignedItem" xfId="1428" xr:uid="{00000000-0005-0000-0000-000094050000}"/>
    <cellStyle name="SAPBEXunassignedItem 2" xfId="1429" xr:uid="{00000000-0005-0000-0000-000095050000}"/>
    <cellStyle name="SAPBEXunassignedItem 2 2" xfId="1430" xr:uid="{00000000-0005-0000-0000-000096050000}"/>
    <cellStyle name="SAPBEXunassignedItem 2 3" xfId="1431" xr:uid="{00000000-0005-0000-0000-000097050000}"/>
    <cellStyle name="SAPBEXunassignedItem 2 4" xfId="1432" xr:uid="{00000000-0005-0000-0000-000098050000}"/>
    <cellStyle name="SAPBEXunassignedItem 2 5" xfId="1433" xr:uid="{00000000-0005-0000-0000-000099050000}"/>
    <cellStyle name="SAPBEXunassignedItem 2 6" xfId="1434" xr:uid="{00000000-0005-0000-0000-00009A050000}"/>
    <cellStyle name="SAPBEXunassignedItem 2 7" xfId="1435" xr:uid="{00000000-0005-0000-0000-00009B050000}"/>
    <cellStyle name="SAPBEXunassignedItem 3" xfId="1436" xr:uid="{00000000-0005-0000-0000-00009C050000}"/>
    <cellStyle name="SAPBEXunassignedItem 4" xfId="1437" xr:uid="{00000000-0005-0000-0000-00009D050000}"/>
    <cellStyle name="SAPBEXunassignedItem 5" xfId="1438" xr:uid="{00000000-0005-0000-0000-00009E050000}"/>
    <cellStyle name="SAPBEXunassignedItem 6" xfId="1439" xr:uid="{00000000-0005-0000-0000-00009F050000}"/>
    <cellStyle name="SAPBEXunassignedItem 7" xfId="1440" xr:uid="{00000000-0005-0000-0000-0000A0050000}"/>
    <cellStyle name="SAPBEXunassignedItem 8" xfId="1441" xr:uid="{00000000-0005-0000-0000-0000A1050000}"/>
    <cellStyle name="SAPBEXundefined" xfId="56" xr:uid="{00000000-0005-0000-0000-0000A2050000}"/>
    <cellStyle name="SAPBEXundefined 10" xfId="1442" xr:uid="{00000000-0005-0000-0000-0000A3050000}"/>
    <cellStyle name="SAPBEXundefined 11" xfId="1443" xr:uid="{00000000-0005-0000-0000-0000A4050000}"/>
    <cellStyle name="SAPBEXundefined 12" xfId="1444" xr:uid="{00000000-0005-0000-0000-0000A5050000}"/>
    <cellStyle name="SAPBEXundefined 2" xfId="1445" xr:uid="{00000000-0005-0000-0000-0000A6050000}"/>
    <cellStyle name="SAPBEXundefined 2 10" xfId="1446" xr:uid="{00000000-0005-0000-0000-0000A7050000}"/>
    <cellStyle name="SAPBEXundefined 2 2" xfId="1447" xr:uid="{00000000-0005-0000-0000-0000A8050000}"/>
    <cellStyle name="SAPBEXundefined 2 3" xfId="1448" xr:uid="{00000000-0005-0000-0000-0000A9050000}"/>
    <cellStyle name="SAPBEXundefined 2 4" xfId="1449" xr:uid="{00000000-0005-0000-0000-0000AA050000}"/>
    <cellStyle name="SAPBEXundefined 2 5" xfId="1450" xr:uid="{00000000-0005-0000-0000-0000AB050000}"/>
    <cellStyle name="SAPBEXundefined 2 6" xfId="1451" xr:uid="{00000000-0005-0000-0000-0000AC050000}"/>
    <cellStyle name="SAPBEXundefined 2 7" xfId="1452" xr:uid="{00000000-0005-0000-0000-0000AD050000}"/>
    <cellStyle name="SAPBEXundefined 2 8" xfId="1453" xr:uid="{00000000-0005-0000-0000-0000AE050000}"/>
    <cellStyle name="SAPBEXundefined 2 9" xfId="1454" xr:uid="{00000000-0005-0000-0000-0000AF050000}"/>
    <cellStyle name="SAPBEXundefined 3" xfId="1455" xr:uid="{00000000-0005-0000-0000-0000B0050000}"/>
    <cellStyle name="SAPBEXundefined 4" xfId="1456" xr:uid="{00000000-0005-0000-0000-0000B1050000}"/>
    <cellStyle name="SAPBEXundefined 5" xfId="1457" xr:uid="{00000000-0005-0000-0000-0000B2050000}"/>
    <cellStyle name="SAPBEXundefined 6" xfId="1458" xr:uid="{00000000-0005-0000-0000-0000B3050000}"/>
    <cellStyle name="SAPBEXundefined 7" xfId="1459" xr:uid="{00000000-0005-0000-0000-0000B4050000}"/>
    <cellStyle name="SAPBEXundefined 8" xfId="1460" xr:uid="{00000000-0005-0000-0000-0000B5050000}"/>
    <cellStyle name="SAPBEXundefined 9" xfId="1461" xr:uid="{00000000-0005-0000-0000-0000B6050000}"/>
    <cellStyle name="Sheet Title" xfId="1462" xr:uid="{00000000-0005-0000-0000-0000B7050000}"/>
    <cellStyle name="Správně 2" xfId="1463" xr:uid="{00000000-0005-0000-0000-0000B8050000}"/>
    <cellStyle name="Správně 3" xfId="1464" xr:uid="{00000000-0005-0000-0000-0000B9050000}"/>
    <cellStyle name="Styl 1" xfId="1465" xr:uid="{00000000-0005-0000-0000-0000BA050000}"/>
    <cellStyle name="Subtotal" xfId="1466" xr:uid="{00000000-0005-0000-0000-0000BB050000}"/>
    <cellStyle name="Text upozornění 2" xfId="1467" xr:uid="{00000000-0005-0000-0000-0000BC050000}"/>
    <cellStyle name="Vstup 2" xfId="1468" xr:uid="{00000000-0005-0000-0000-0000BD050000}"/>
    <cellStyle name="Vstup 2 10" xfId="1469" xr:uid="{00000000-0005-0000-0000-0000BE050000}"/>
    <cellStyle name="Vstup 2 11" xfId="1470" xr:uid="{00000000-0005-0000-0000-0000BF050000}"/>
    <cellStyle name="Vstup 2 2" xfId="1471" xr:uid="{00000000-0005-0000-0000-0000C0050000}"/>
    <cellStyle name="Vstup 2 2 10" xfId="1472" xr:uid="{00000000-0005-0000-0000-0000C1050000}"/>
    <cellStyle name="Vstup 2 2 2" xfId="1473" xr:uid="{00000000-0005-0000-0000-0000C2050000}"/>
    <cellStyle name="Vstup 2 2 3" xfId="1474" xr:uid="{00000000-0005-0000-0000-0000C3050000}"/>
    <cellStyle name="Vstup 2 2 4" xfId="1475" xr:uid="{00000000-0005-0000-0000-0000C4050000}"/>
    <cellStyle name="Vstup 2 2 5" xfId="1476" xr:uid="{00000000-0005-0000-0000-0000C5050000}"/>
    <cellStyle name="Vstup 2 2 6" xfId="1477" xr:uid="{00000000-0005-0000-0000-0000C6050000}"/>
    <cellStyle name="Vstup 2 2 7" xfId="1478" xr:uid="{00000000-0005-0000-0000-0000C7050000}"/>
    <cellStyle name="Vstup 2 2 8" xfId="1479" xr:uid="{00000000-0005-0000-0000-0000C8050000}"/>
    <cellStyle name="Vstup 2 2 9" xfId="1480" xr:uid="{00000000-0005-0000-0000-0000C9050000}"/>
    <cellStyle name="Vstup 2 3" xfId="1481" xr:uid="{00000000-0005-0000-0000-0000CA050000}"/>
    <cellStyle name="Vstup 2 4" xfId="1482" xr:uid="{00000000-0005-0000-0000-0000CB050000}"/>
    <cellStyle name="Vstup 2 5" xfId="1483" xr:uid="{00000000-0005-0000-0000-0000CC050000}"/>
    <cellStyle name="Vstup 2 6" xfId="1484" xr:uid="{00000000-0005-0000-0000-0000CD050000}"/>
    <cellStyle name="Vstup 2 7" xfId="1485" xr:uid="{00000000-0005-0000-0000-0000CE050000}"/>
    <cellStyle name="Vstup 2 8" xfId="1486" xr:uid="{00000000-0005-0000-0000-0000CF050000}"/>
    <cellStyle name="Vstup 2 9" xfId="1487" xr:uid="{00000000-0005-0000-0000-0000D0050000}"/>
    <cellStyle name="Výpočet 2" xfId="1488" xr:uid="{00000000-0005-0000-0000-0000D1050000}"/>
    <cellStyle name="Výpočet 2 10" xfId="1489" xr:uid="{00000000-0005-0000-0000-0000D2050000}"/>
    <cellStyle name="Výpočet 2 11" xfId="1490" xr:uid="{00000000-0005-0000-0000-0000D3050000}"/>
    <cellStyle name="Výpočet 2 2" xfId="1491" xr:uid="{00000000-0005-0000-0000-0000D4050000}"/>
    <cellStyle name="Výpočet 2 2 10" xfId="1492" xr:uid="{00000000-0005-0000-0000-0000D5050000}"/>
    <cellStyle name="Výpočet 2 2 2" xfId="1493" xr:uid="{00000000-0005-0000-0000-0000D6050000}"/>
    <cellStyle name="Výpočet 2 2 3" xfId="1494" xr:uid="{00000000-0005-0000-0000-0000D7050000}"/>
    <cellStyle name="Výpočet 2 2 4" xfId="1495" xr:uid="{00000000-0005-0000-0000-0000D8050000}"/>
    <cellStyle name="Výpočet 2 2 5" xfId="1496" xr:uid="{00000000-0005-0000-0000-0000D9050000}"/>
    <cellStyle name="Výpočet 2 2 6" xfId="1497" xr:uid="{00000000-0005-0000-0000-0000DA050000}"/>
    <cellStyle name="Výpočet 2 2 7" xfId="1498" xr:uid="{00000000-0005-0000-0000-0000DB050000}"/>
    <cellStyle name="Výpočet 2 2 8" xfId="1499" xr:uid="{00000000-0005-0000-0000-0000DC050000}"/>
    <cellStyle name="Výpočet 2 2 9" xfId="1500" xr:uid="{00000000-0005-0000-0000-0000DD050000}"/>
    <cellStyle name="Výpočet 2 3" xfId="1501" xr:uid="{00000000-0005-0000-0000-0000DE050000}"/>
    <cellStyle name="Výpočet 2 4" xfId="1502" xr:uid="{00000000-0005-0000-0000-0000DF050000}"/>
    <cellStyle name="Výpočet 2 5" xfId="1503" xr:uid="{00000000-0005-0000-0000-0000E0050000}"/>
    <cellStyle name="Výpočet 2 6" xfId="1504" xr:uid="{00000000-0005-0000-0000-0000E1050000}"/>
    <cellStyle name="Výpočet 2 7" xfId="1505" xr:uid="{00000000-0005-0000-0000-0000E2050000}"/>
    <cellStyle name="Výpočet 2 8" xfId="1506" xr:uid="{00000000-0005-0000-0000-0000E3050000}"/>
    <cellStyle name="Výpočet 2 9" xfId="1507" xr:uid="{00000000-0005-0000-0000-0000E4050000}"/>
    <cellStyle name="Výstup 2" xfId="1508" xr:uid="{00000000-0005-0000-0000-0000E5050000}"/>
    <cellStyle name="Výstup 2 10" xfId="1509" xr:uid="{00000000-0005-0000-0000-0000E6050000}"/>
    <cellStyle name="Výstup 2 11" xfId="1510" xr:uid="{00000000-0005-0000-0000-0000E7050000}"/>
    <cellStyle name="Výstup 2 2" xfId="1511" xr:uid="{00000000-0005-0000-0000-0000E8050000}"/>
    <cellStyle name="Výstup 2 2 10" xfId="1512" xr:uid="{00000000-0005-0000-0000-0000E9050000}"/>
    <cellStyle name="Výstup 2 2 2" xfId="1513" xr:uid="{00000000-0005-0000-0000-0000EA050000}"/>
    <cellStyle name="Výstup 2 2 3" xfId="1514" xr:uid="{00000000-0005-0000-0000-0000EB050000}"/>
    <cellStyle name="Výstup 2 2 4" xfId="1515" xr:uid="{00000000-0005-0000-0000-0000EC050000}"/>
    <cellStyle name="Výstup 2 2 5" xfId="1516" xr:uid="{00000000-0005-0000-0000-0000ED050000}"/>
    <cellStyle name="Výstup 2 2 6" xfId="1517" xr:uid="{00000000-0005-0000-0000-0000EE050000}"/>
    <cellStyle name="Výstup 2 2 7" xfId="1518" xr:uid="{00000000-0005-0000-0000-0000EF050000}"/>
    <cellStyle name="Výstup 2 2 8" xfId="1519" xr:uid="{00000000-0005-0000-0000-0000F0050000}"/>
    <cellStyle name="Výstup 2 2 9" xfId="1520" xr:uid="{00000000-0005-0000-0000-0000F1050000}"/>
    <cellStyle name="Výstup 2 3" xfId="1521" xr:uid="{00000000-0005-0000-0000-0000F2050000}"/>
    <cellStyle name="Výstup 2 4" xfId="1522" xr:uid="{00000000-0005-0000-0000-0000F3050000}"/>
    <cellStyle name="Výstup 2 5" xfId="1523" xr:uid="{00000000-0005-0000-0000-0000F4050000}"/>
    <cellStyle name="Výstup 2 6" xfId="1524" xr:uid="{00000000-0005-0000-0000-0000F5050000}"/>
    <cellStyle name="Výstup 2 7" xfId="1525" xr:uid="{00000000-0005-0000-0000-0000F6050000}"/>
    <cellStyle name="Výstup 2 8" xfId="1526" xr:uid="{00000000-0005-0000-0000-0000F7050000}"/>
    <cellStyle name="Výstup 2 9" xfId="1527" xr:uid="{00000000-0005-0000-0000-0000F8050000}"/>
    <cellStyle name="Vysvětlující text 2" xfId="1528" xr:uid="{00000000-0005-0000-0000-0000F9050000}"/>
    <cellStyle name="Záhlaví 1" xfId="86" xr:uid="{00000000-0005-0000-0000-0000FA050000}"/>
    <cellStyle name="Záhlaví 2" xfId="87" xr:uid="{00000000-0005-0000-0000-0000FB050000}"/>
    <cellStyle name="Zvýraznění 1 2" xfId="1529" xr:uid="{00000000-0005-0000-0000-0000FC050000}"/>
    <cellStyle name="Zvýraznění 2 2" xfId="1530" xr:uid="{00000000-0005-0000-0000-0000FD050000}"/>
    <cellStyle name="Zvýraznění 3 2" xfId="1531" xr:uid="{00000000-0005-0000-0000-0000FE050000}"/>
    <cellStyle name="Zvýraznění 4 2" xfId="1532" xr:uid="{00000000-0005-0000-0000-0000FF050000}"/>
    <cellStyle name="Zvýraznění 5 2" xfId="1533" xr:uid="{00000000-0005-0000-0000-000000060000}"/>
    <cellStyle name="Zvýraznění 6 2" xfId="1534" xr:uid="{00000000-0005-0000-0000-000001060000}"/>
  </cellStyles>
  <dxfs count="0"/>
  <tableStyles count="0" defaultTableStyle="TableStyleMedium2" defaultPivotStyle="PivotStyleLight16"/>
  <colors>
    <mruColors>
      <color rgb="FF233060"/>
      <color rgb="FFF0948F"/>
      <color rgb="FF596387"/>
      <color rgb="FF9196B0"/>
      <color rgb="FFC7CCD6"/>
      <color rgb="FF79C1D5"/>
      <color rgb="FFCEF8FA"/>
      <color rgb="FF646363"/>
      <color rgb="FFDDFAF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'3.2'!$E$28:$E$39</c:f>
              <c:numCache>
                <c:formatCode>#,##0.0</c:formatCode>
                <c:ptCount val="12"/>
                <c:pt idx="0">
                  <c:v>611.86680951218455</c:v>
                </c:pt>
                <c:pt idx="1">
                  <c:v>541.66979960431695</c:v>
                </c:pt>
                <c:pt idx="2">
                  <c:v>558.67411079116368</c:v>
                </c:pt>
                <c:pt idx="3">
                  <c:v>678.89586636549586</c:v>
                </c:pt>
                <c:pt idx="4">
                  <c:v>1032.1800539226767</c:v>
                </c:pt>
                <c:pt idx="5">
                  <c:v>889.48322247170688</c:v>
                </c:pt>
                <c:pt idx="6">
                  <c:v>572.47818055688651</c:v>
                </c:pt>
                <c:pt idx="7">
                  <c:v>587.09390599999995</c:v>
                </c:pt>
                <c:pt idx="8">
                  <c:v>473.93132066397732</c:v>
                </c:pt>
                <c:pt idx="9">
                  <c:v>589.05875087186075</c:v>
                </c:pt>
                <c:pt idx="10">
                  <c:v>596.60192975597295</c:v>
                </c:pt>
                <c:pt idx="11">
                  <c:v>700.71821959246188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'3.2'!$F$28:$F$39</c:f>
              <c:numCache>
                <c:formatCode>#,##0.0</c:formatCode>
                <c:ptCount val="12"/>
                <c:pt idx="0">
                  <c:v>-171.69380494119213</c:v>
                </c:pt>
                <c:pt idx="1">
                  <c:v>-191.63640082004457</c:v>
                </c:pt>
                <c:pt idx="2">
                  <c:v>-85.842169319862464</c:v>
                </c:pt>
                <c:pt idx="3">
                  <c:v>-59.800538558553114</c:v>
                </c:pt>
                <c:pt idx="4">
                  <c:v>-66.096829012414332</c:v>
                </c:pt>
                <c:pt idx="5">
                  <c:v>-25.522451097333597</c:v>
                </c:pt>
                <c:pt idx="6">
                  <c:v>-78.775960216320897</c:v>
                </c:pt>
                <c:pt idx="7">
                  <c:v>-145.15843159277571</c:v>
                </c:pt>
                <c:pt idx="8">
                  <c:v>-97.757947407399001</c:v>
                </c:pt>
                <c:pt idx="9">
                  <c:v>-18.00428255177766</c:v>
                </c:pt>
                <c:pt idx="10">
                  <c:v>-52.274557670883787</c:v>
                </c:pt>
                <c:pt idx="11">
                  <c:v>-31.821098172127414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54269184"/>
        <c:axId val="154270720"/>
      </c:barChart>
      <c:catAx>
        <c:axId val="15426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4270720"/>
        <c:crosses val="autoZero"/>
        <c:auto val="1"/>
        <c:lblAlgn val="ctr"/>
        <c:lblOffset val="100"/>
        <c:noMultiLvlLbl val="0"/>
      </c:catAx>
      <c:valAx>
        <c:axId val="15427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426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369142748693663E-4"/>
          <c:y val="0.92056933894499138"/>
          <c:w val="0.19103510423252798"/>
          <c:h val="7.88861817906429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'4.3'!$H$45:$H$47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'4.3'!$I$45:$I$47</c:f>
              <c:numCache>
                <c:formatCode>#,##0</c:formatCode>
                <c:ptCount val="3"/>
                <c:pt idx="0">
                  <c:v>39884.228110855918</c:v>
                </c:pt>
                <c:pt idx="1">
                  <c:v>19571.942022329342</c:v>
                </c:pt>
                <c:pt idx="2">
                  <c:v>28380.731259731343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16544"/>
        <c:axId val="165122432"/>
      </c:barChart>
      <c:catAx>
        <c:axId val="16511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122432"/>
        <c:crosses val="autoZero"/>
        <c:auto val="1"/>
        <c:lblAlgn val="ctr"/>
        <c:lblOffset val="100"/>
        <c:noMultiLvlLbl val="0"/>
      </c:catAx>
      <c:valAx>
        <c:axId val="165122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16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2.0754852261096239E-2"/>
          <c:w val="0.49250688350604677"/>
          <c:h val="0.78653580802399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'5.1'!$B$43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'5.1'!$C$43:$D$43</c:f>
              <c:numCache>
                <c:formatCode>#,##0</c:formatCode>
                <c:ptCount val="2"/>
                <c:pt idx="0">
                  <c:v>465541.49297943106</c:v>
                </c:pt>
                <c:pt idx="1">
                  <c:v>507609.3339340103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'5.1'!$B$44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731114.26718603377</c:v>
                </c:pt>
                <c:pt idx="1">
                  <c:v>742970.66453171452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'5.1'!$B$45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879802.72061076132</c:v>
                </c:pt>
                <c:pt idx="1">
                  <c:v>966157.9944982857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312768"/>
        <c:axId val="154272896"/>
      </c:barChart>
      <c:catAx>
        <c:axId val="1673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272896"/>
        <c:crosses val="autoZero"/>
        <c:auto val="1"/>
        <c:lblAlgn val="ctr"/>
        <c:lblOffset val="100"/>
        <c:noMultiLvlLbl val="0"/>
      </c:catAx>
      <c:valAx>
        <c:axId val="154272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731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548508955760597E-3"/>
          <c:y val="0.92454477860696616"/>
          <c:w val="0.36822587099093235"/>
          <c:h val="6.5980402449693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2.3809532736982653E-2"/>
          <c:w val="0.77090245307366301"/>
          <c:h val="0.793063289487547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'5.1'!$H$43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'5.1'!$I$43:$J$43</c:f>
              <c:numCache>
                <c:formatCode>0.0%</c:formatCode>
                <c:ptCount val="2"/>
                <c:pt idx="0">
                  <c:v>0.22419975997083327</c:v>
                </c:pt>
                <c:pt idx="1">
                  <c:v>0.2289893237474058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'5.1'!$H$44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0.35209674258101564</c:v>
                </c:pt>
                <c:pt idx="1">
                  <c:v>0.33516395121567127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'5.1'!$H$45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0.423703497448151</c:v>
                </c:pt>
                <c:pt idx="1">
                  <c:v>0.43584672503692307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301952"/>
        <c:axId val="154303872"/>
      </c:barChart>
      <c:catAx>
        <c:axId val="15430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4303872"/>
        <c:crosses val="autoZero"/>
        <c:auto val="1"/>
        <c:lblAlgn val="ctr"/>
        <c:lblOffset val="100"/>
        <c:noMultiLvlLbl val="0"/>
      </c:catAx>
      <c:valAx>
        <c:axId val="154303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4301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4599030419658057"/>
          <c:h val="6.5327153773603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'5.2'!$C$42:$D$42</c:f>
              <c:numCache>
                <c:formatCode>#,##0</c:formatCode>
                <c:ptCount val="2"/>
                <c:pt idx="0">
                  <c:v>41124.742635478062</c:v>
                </c:pt>
                <c:pt idx="1">
                  <c:v>46754.81879759211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84422.466729865191</c:v>
                </c:pt>
                <c:pt idx="1">
                  <c:v>83652.864691224648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106608.6236063126</c:v>
                </c:pt>
                <c:pt idx="1">
                  <c:v>115598.29682769922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118400"/>
        <c:axId val="154124288"/>
      </c:barChart>
      <c:catAx>
        <c:axId val="1541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4124288"/>
        <c:crosses val="autoZero"/>
        <c:auto val="1"/>
        <c:lblAlgn val="ctr"/>
        <c:lblOffset val="100"/>
        <c:noMultiLvlLbl val="0"/>
      </c:catAx>
      <c:valAx>
        <c:axId val="154124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411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095451246888922E-3"/>
          <c:y val="0.92930668515436265"/>
          <c:w val="0.3503722759478039"/>
          <c:h val="5.99676464339194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3264503441494594E-2"/>
          <c:w val="0.77090245307366301"/>
          <c:h val="0.766756013905341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'5.2'!$H$42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'5.2'!$I$42:$J$42</c:f>
              <c:numCache>
                <c:formatCode>0.0%</c:formatCode>
                <c:ptCount val="2"/>
                <c:pt idx="0">
                  <c:v>0.17714283595234509</c:v>
                </c:pt>
                <c:pt idx="1">
                  <c:v>0.19005561871884771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0.36364568423388449</c:v>
                </c:pt>
                <c:pt idx="1">
                  <c:v>0.3400440289443179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0.45921147981377042</c:v>
                </c:pt>
                <c:pt idx="1">
                  <c:v>0.46990035233683447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69536"/>
        <c:axId val="162371456"/>
      </c:barChart>
      <c:catAx>
        <c:axId val="1623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371456"/>
        <c:crosses val="autoZero"/>
        <c:auto val="1"/>
        <c:lblAlgn val="ctr"/>
        <c:lblOffset val="100"/>
        <c:noMultiLvlLbl val="0"/>
      </c:catAx>
      <c:valAx>
        <c:axId val="162371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2369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196304938297599"/>
          <c:h val="6.03185054086669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569055036344756E-2"/>
          <c:w val="0.77090245307366301"/>
          <c:h val="0.7578305982780190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'5.3'!$H$42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'5.3'!$I$42:$J$42</c:f>
              <c:numCache>
                <c:formatCode>0.0%</c:formatCode>
                <c:ptCount val="2"/>
                <c:pt idx="0">
                  <c:v>0.22312148827049313</c:v>
                </c:pt>
                <c:pt idx="1">
                  <c:v>0.22883752625974377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0.35540225924007363</c:v>
                </c:pt>
                <c:pt idx="1">
                  <c:v>0.33802344958940128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0.42147625248943332</c:v>
                </c:pt>
                <c:pt idx="1">
                  <c:v>0.43313902415085503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499648"/>
        <c:axId val="167329792"/>
      </c:barChart>
      <c:catAx>
        <c:axId val="16749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329792"/>
        <c:crosses val="autoZero"/>
        <c:auto val="1"/>
        <c:lblAlgn val="ctr"/>
        <c:lblOffset val="100"/>
        <c:noMultiLvlLbl val="0"/>
      </c:catAx>
      <c:valAx>
        <c:axId val="167329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7499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7553732385528067E-2"/>
          <c:y val="0.92930668515436265"/>
          <c:w val="0.5196304938297599"/>
          <c:h val="6.3704044589688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'5.3'!$C$42:$D$42</c:f>
              <c:numCache>
                <c:formatCode>#,##0</c:formatCode>
                <c:ptCount val="2"/>
                <c:pt idx="0">
                  <c:v>378511.18904395303</c:v>
                </c:pt>
                <c:pt idx="1">
                  <c:v>405361.71110641828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602916.97037616838</c:v>
                </c:pt>
                <c:pt idx="1">
                  <c:v>598773.13900048996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715007.23090444889</c:v>
                </c:pt>
                <c:pt idx="1">
                  <c:v>767260.41767058661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96032"/>
        <c:axId val="162397568"/>
      </c:barChart>
      <c:catAx>
        <c:axId val="1623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2397568"/>
        <c:crosses val="autoZero"/>
        <c:auto val="1"/>
        <c:lblAlgn val="ctr"/>
        <c:lblOffset val="100"/>
        <c:noMultiLvlLbl val="0"/>
      </c:catAx>
      <c:valAx>
        <c:axId val="162397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396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2894384643200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'5.4'!$C$42:$D$42</c:f>
              <c:numCache>
                <c:formatCode>#,##0</c:formatCode>
                <c:ptCount val="2"/>
                <c:pt idx="0">
                  <c:v>17399.208390000003</c:v>
                </c:pt>
                <c:pt idx="1">
                  <c:v>19198.521990000001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28944.269980000001</c:v>
                </c:pt>
                <c:pt idx="1">
                  <c:v>29740.346000000001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34524.462</c:v>
                </c:pt>
                <c:pt idx="1">
                  <c:v>38154.230009999999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995840"/>
        <c:axId val="168997632"/>
      </c:barChart>
      <c:catAx>
        <c:axId val="1689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997632"/>
        <c:crosses val="autoZero"/>
        <c:auto val="1"/>
        <c:lblAlgn val="ctr"/>
        <c:lblOffset val="100"/>
        <c:noMultiLvlLbl val="0"/>
      </c:catAx>
      <c:valAx>
        <c:axId val="168997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899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3507830899987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2380972021361841E-2"/>
          <c:w val="0.77090245307366301"/>
          <c:h val="0.741417600831496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'5.4'!$H$42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'5.4'!$I$42:$J$42</c:f>
              <c:numCache>
                <c:formatCode>0.0%</c:formatCode>
                <c:ptCount val="2"/>
                <c:pt idx="0">
                  <c:v>0.21515582455040091</c:v>
                </c:pt>
                <c:pt idx="1">
                  <c:v>0.22043677892822233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0.35792020728572443</c:v>
                </c:pt>
                <c:pt idx="1">
                  <c:v>0.34147764499088096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0.42692396816387473</c:v>
                </c:pt>
                <c:pt idx="1">
                  <c:v>0.43808557608089677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57280"/>
        <c:axId val="168659200"/>
      </c:barChart>
      <c:catAx>
        <c:axId val="1686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659200"/>
        <c:crosses val="autoZero"/>
        <c:auto val="1"/>
        <c:lblAlgn val="ctr"/>
        <c:lblOffset val="100"/>
        <c:noMultiLvlLbl val="0"/>
      </c:catAx>
      <c:valAx>
        <c:axId val="168659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5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445173497922801E-2"/>
          <c:y val="0.92930668515436265"/>
          <c:w val="0.5196304938297599"/>
          <c:h val="6.39014744799462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'5.5'!$C$42:$D$42</c:f>
              <c:numCache>
                <c:formatCode>#,##0</c:formatCode>
                <c:ptCount val="2"/>
                <c:pt idx="0">
                  <c:v>28506.352910000001</c:v>
                </c:pt>
                <c:pt idx="1">
                  <c:v>36294.282039999998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14830.560100000002</c:v>
                </c:pt>
                <c:pt idx="1">
                  <c:v>30804.314839999999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23662.4041</c:v>
                </c:pt>
                <c:pt idx="1">
                  <c:v>45145.049989999985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018880"/>
        <c:axId val="169020416"/>
      </c:barChart>
      <c:catAx>
        <c:axId val="169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20416"/>
        <c:crosses val="autoZero"/>
        <c:auto val="1"/>
        <c:lblAlgn val="ctr"/>
        <c:lblOffset val="100"/>
        <c:noMultiLvlLbl val="0"/>
      </c:catAx>
      <c:valAx>
        <c:axId val="169020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90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677883821858886"/>
          <c:w val="0.3503722759478039"/>
          <c:h val="7.32211674783457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'3.2'!$N$28:$N$39</c:f>
              <c:numCache>
                <c:formatCode>#,##0.0</c:formatCode>
                <c:ptCount val="12"/>
                <c:pt idx="0">
                  <c:v>484.49456099999998</c:v>
                </c:pt>
                <c:pt idx="1">
                  <c:v>502.731177</c:v>
                </c:pt>
                <c:pt idx="2">
                  <c:v>315.244956</c:v>
                </c:pt>
                <c:pt idx="3">
                  <c:v>79.391479000000004</c:v>
                </c:pt>
                <c:pt idx="4">
                  <c:v>2.5809000000000002E-2</c:v>
                </c:pt>
                <c:pt idx="5">
                  <c:v>0.235014</c:v>
                </c:pt>
                <c:pt idx="6">
                  <c:v>0</c:v>
                </c:pt>
                <c:pt idx="7">
                  <c:v>14.451610000000001</c:v>
                </c:pt>
                <c:pt idx="8">
                  <c:v>30.350071000000003</c:v>
                </c:pt>
                <c:pt idx="9">
                  <c:v>9.4836539999999978</c:v>
                </c:pt>
                <c:pt idx="10">
                  <c:v>197.653932</c:v>
                </c:pt>
                <c:pt idx="11">
                  <c:v>229.02354300000002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'3.2'!$O$28:$O$39</c:f>
              <c:numCache>
                <c:formatCode>#,##0.0</c:formatCode>
                <c:ptCount val="12"/>
                <c:pt idx="0">
                  <c:v>-50.764979000000004</c:v>
                </c:pt>
                <c:pt idx="1">
                  <c:v>-0.45966299999999999</c:v>
                </c:pt>
                <c:pt idx="2">
                  <c:v>-29.267647000000004</c:v>
                </c:pt>
                <c:pt idx="3">
                  <c:v>-102.569807</c:v>
                </c:pt>
                <c:pt idx="4">
                  <c:v>-612.77381700000001</c:v>
                </c:pt>
                <c:pt idx="5">
                  <c:v>-558.38072299999999</c:v>
                </c:pt>
                <c:pt idx="6">
                  <c:v>-219.44287299999996</c:v>
                </c:pt>
                <c:pt idx="7">
                  <c:v>-178.688884</c:v>
                </c:pt>
                <c:pt idx="8">
                  <c:v>-106.41528300000002</c:v>
                </c:pt>
                <c:pt idx="9">
                  <c:v>-124.31010699999999</c:v>
                </c:pt>
                <c:pt idx="10">
                  <c:v>-16.318148000000001</c:v>
                </c:pt>
                <c:pt idx="11">
                  <c:v>-25.297307750000002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62464128"/>
        <c:axId val="162465664"/>
      </c:barChart>
      <c:catAx>
        <c:axId val="16246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465664"/>
        <c:crosses val="autoZero"/>
        <c:auto val="1"/>
        <c:lblAlgn val="ctr"/>
        <c:lblOffset val="100"/>
        <c:noMultiLvlLbl val="0"/>
      </c:catAx>
      <c:valAx>
        <c:axId val="16246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46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891071983580152E-3"/>
          <c:y val="0.92037766542394239"/>
          <c:w val="0.19180372348222202"/>
          <c:h val="7.907523343339069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4522924411400248E-2"/>
          <c:w val="0.77090245307366301"/>
          <c:h val="0.750670218267326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'5.5'!$H$42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'5.5'!$I$42:$J$42</c:f>
              <c:numCache>
                <c:formatCode>0.0%</c:formatCode>
                <c:ptCount val="2"/>
                <c:pt idx="0">
                  <c:v>0.42547229045929003</c:v>
                </c:pt>
                <c:pt idx="1">
                  <c:v>0.32335266228507215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0.2213538994084234</c:v>
                </c:pt>
                <c:pt idx="1">
                  <c:v>0.27444150024524239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2023</c:v>
                </c:pt>
                <c:pt idx="1">
                  <c:v>2022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0.35317381013228655</c:v>
                </c:pt>
                <c:pt idx="1">
                  <c:v>0.40220583746968547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88640"/>
        <c:axId val="169047168"/>
      </c:barChart>
      <c:catAx>
        <c:axId val="16868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47168"/>
        <c:crosses val="autoZero"/>
        <c:auto val="1"/>
        <c:lblAlgn val="ctr"/>
        <c:lblOffset val="100"/>
        <c:noMultiLvlLbl val="0"/>
      </c:catAx>
      <c:valAx>
        <c:axId val="169047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88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641590804866869"/>
          <c:w val="0.5196304938297599"/>
          <c:h val="7.358391856423351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41124.742635478062</c:v>
                </c:pt>
                <c:pt idx="1">
                  <c:v>378511.18904395303</c:v>
                </c:pt>
                <c:pt idx="2">
                  <c:v>17399.208390000003</c:v>
                </c:pt>
                <c:pt idx="3">
                  <c:v>28506.352910000001</c:v>
                </c:pt>
                <c:pt idx="4">
                  <c:v>465541.49297943112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633856"/>
        <c:axId val="170647936"/>
      </c:barChart>
      <c:catAx>
        <c:axId val="170633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647936"/>
        <c:crosses val="autoZero"/>
        <c:auto val="1"/>
        <c:lblAlgn val="ctr"/>
        <c:lblOffset val="100"/>
        <c:noMultiLvlLbl val="0"/>
      </c:catAx>
      <c:valAx>
        <c:axId val="1706479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6338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5D4-4309-9AED-1B1D39D8D9A1}"/>
              </c:ext>
            </c:extLst>
          </c:dPt>
          <c:dPt>
            <c:idx val="1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3-75D4-4309-9AED-1B1D39D8D9A1}"/>
              </c:ext>
            </c:extLst>
          </c:dPt>
          <c:dPt>
            <c:idx val="2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4-75D4-4309-9AED-1B1D39D8D9A1}"/>
              </c:ext>
            </c:extLst>
          </c:dPt>
          <c:dPt>
            <c:idx val="3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5-75D4-4309-9AED-1B1D39D8D9A1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#,##0.0</c:formatCode>
                <c:ptCount val="5"/>
                <c:pt idx="0">
                  <c:v>12.70645161290323</c:v>
                </c:pt>
                <c:pt idx="1">
                  <c:v>11.273655913978494</c:v>
                </c:pt>
                <c:pt idx="2">
                  <c:v>10.70967741935484</c:v>
                </c:pt>
                <c:pt idx="3">
                  <c:v>11.261290322580644</c:v>
                </c:pt>
                <c:pt idx="4">
                  <c:v>11.261290322580644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275584"/>
        <c:axId val="170277120"/>
      </c:barChart>
      <c:catAx>
        <c:axId val="170275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277120"/>
        <c:crosses val="autoZero"/>
        <c:auto val="1"/>
        <c:lblAlgn val="ctr"/>
        <c:lblOffset val="100"/>
        <c:noMultiLvlLbl val="0"/>
      </c:catAx>
      <c:valAx>
        <c:axId val="1702771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275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787178035960902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#,##0.0</c:formatCode>
                <c:ptCount val="5"/>
                <c:pt idx="0">
                  <c:v>19.2</c:v>
                </c:pt>
                <c:pt idx="1">
                  <c:v>17.366666666666664</c:v>
                </c:pt>
                <c:pt idx="2">
                  <c:v>18.100000000000001</c:v>
                </c:pt>
                <c:pt idx="3">
                  <c:v>17.600000000000001</c:v>
                </c:pt>
                <c:pt idx="4">
                  <c:v>17.600000000000001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#,##0.0</c:formatCode>
                <c:ptCount val="5"/>
                <c:pt idx="0">
                  <c:v>4.8</c:v>
                </c:pt>
                <c:pt idx="1">
                  <c:v>3.4333333333333336</c:v>
                </c:pt>
                <c:pt idx="2">
                  <c:v>2.4</c:v>
                </c:pt>
                <c:pt idx="3">
                  <c:v>3.4</c:v>
                </c:pt>
                <c:pt idx="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308352"/>
        <c:axId val="170309888"/>
      </c:barChart>
      <c:catAx>
        <c:axId val="170308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309888"/>
        <c:crosses val="autoZero"/>
        <c:auto val="1"/>
        <c:lblAlgn val="ctr"/>
        <c:lblOffset val="100"/>
        <c:noMultiLvlLbl val="0"/>
      </c:catAx>
      <c:valAx>
        <c:axId val="1703098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308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092697417917585"/>
                  <c:y val="0.240030492511965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33687823658444793"/>
                  <c:y val="-0.10087926509186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9.1761723357055621E-3"/>
                  <c:y val="0.200859194071329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8.8337437705676355E-2</c:v>
                </c:pt>
                <c:pt idx="1">
                  <c:v>0.81305575282132081</c:v>
                </c:pt>
                <c:pt idx="2">
                  <c:v>3.737413023841625E-2</c:v>
                </c:pt>
                <c:pt idx="3">
                  <c:v>6.1232679234586487E-2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84422.466729865191</c:v>
                </c:pt>
                <c:pt idx="1">
                  <c:v>602916.97037616838</c:v>
                </c:pt>
                <c:pt idx="2">
                  <c:v>28944.269980000001</c:v>
                </c:pt>
                <c:pt idx="3">
                  <c:v>14830.560100000002</c:v>
                </c:pt>
                <c:pt idx="4">
                  <c:v>731114.26718603354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68960"/>
        <c:axId val="170970496"/>
      </c:barChart>
      <c:catAx>
        <c:axId val="1709689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970496"/>
        <c:crosses val="autoZero"/>
        <c:auto val="1"/>
        <c:lblAlgn val="ctr"/>
        <c:lblOffset val="100"/>
        <c:noMultiLvlLbl val="0"/>
      </c:catAx>
      <c:valAx>
        <c:axId val="1709704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689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#,##0.0</c:formatCode>
                <c:ptCount val="5"/>
                <c:pt idx="0">
                  <c:v>5.7166666666666668</c:v>
                </c:pt>
                <c:pt idx="1">
                  <c:v>4.316111111111109</c:v>
                </c:pt>
                <c:pt idx="2">
                  <c:v>3.9566666666666661</c:v>
                </c:pt>
                <c:pt idx="3">
                  <c:v>4.2833333333333323</c:v>
                </c:pt>
                <c:pt idx="4">
                  <c:v>4.2833333333333323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095168"/>
        <c:axId val="169096704"/>
      </c:barChart>
      <c:catAx>
        <c:axId val="169095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9096704"/>
        <c:crosses val="autoZero"/>
        <c:auto val="1"/>
        <c:lblAlgn val="ctr"/>
        <c:lblOffset val="100"/>
        <c:noMultiLvlLbl val="0"/>
      </c:catAx>
      <c:valAx>
        <c:axId val="1690967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095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117089963161121"/>
          <c:h val="0.829987579364642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#,##0.0</c:formatCode>
                <c:ptCount val="5"/>
                <c:pt idx="0">
                  <c:v>11.4</c:v>
                </c:pt>
                <c:pt idx="1">
                  <c:v>10.116666666666667</c:v>
                </c:pt>
                <c:pt idx="2">
                  <c:v>9.1999999999999993</c:v>
                </c:pt>
                <c:pt idx="3">
                  <c:v>10.1</c:v>
                </c:pt>
                <c:pt idx="4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#,##0.0</c:formatCode>
                <c:ptCount val="5"/>
                <c:pt idx="0">
                  <c:v>-1</c:v>
                </c:pt>
                <c:pt idx="1">
                  <c:v>-3.0333333333333332</c:v>
                </c:pt>
                <c:pt idx="2">
                  <c:v>-2.8</c:v>
                </c:pt>
                <c:pt idx="3">
                  <c:v>-3</c:v>
                </c:pt>
                <c:pt idx="4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811392"/>
        <c:axId val="170812928"/>
      </c:barChart>
      <c:catAx>
        <c:axId val="170811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812928"/>
        <c:crosses val="autoZero"/>
        <c:auto val="1"/>
        <c:lblAlgn val="ctr"/>
        <c:lblOffset val="100"/>
        <c:noMultiLvlLbl val="0"/>
      </c:catAx>
      <c:valAx>
        <c:axId val="170812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81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6884366845236024"/>
                  <c:y val="0.23022695692450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33491624552514565"/>
                  <c:y val="-9.46436289103438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0.11547096058567781</c:v>
                </c:pt>
                <c:pt idx="1">
                  <c:v>0.8246549102327323</c:v>
                </c:pt>
                <c:pt idx="2">
                  <c:v>3.9589256124631295E-2</c:v>
                </c:pt>
                <c:pt idx="3">
                  <c:v>2.0284873056958599E-2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106608.6236063126</c:v>
                </c:pt>
                <c:pt idx="1">
                  <c:v>715007.23090444889</c:v>
                </c:pt>
                <c:pt idx="2">
                  <c:v>34524.462</c:v>
                </c:pt>
                <c:pt idx="3">
                  <c:v>23662.4041</c:v>
                </c:pt>
                <c:pt idx="4">
                  <c:v>879802.72061076143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719488"/>
        <c:axId val="168721024"/>
      </c:barChart>
      <c:catAx>
        <c:axId val="168719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721024"/>
        <c:crosses val="autoZero"/>
        <c:auto val="1"/>
        <c:lblAlgn val="ctr"/>
        <c:lblOffset val="100"/>
        <c:noMultiLvlLbl val="0"/>
      </c:catAx>
      <c:valAx>
        <c:axId val="1687210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194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87667222797443E-2"/>
          <c:y val="7.1139872600047768E-2"/>
          <c:w val="0.876392993628898"/>
          <c:h val="0.60742706380742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'4.1'!$E$28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'4.1'!$E$29:$E$40</c:f>
              <c:numCache>
                <c:formatCode>#,##0.0</c:formatCode>
                <c:ptCount val="12"/>
                <c:pt idx="0">
                  <c:v>891.77987089563828</c:v>
                </c:pt>
                <c:pt idx="1">
                  <c:v>860.76740305537987</c:v>
                </c:pt>
                <c:pt idx="2">
                  <c:v>769.26811951702939</c:v>
                </c:pt>
                <c:pt idx="3">
                  <c:v>606.46775451524184</c:v>
                </c:pt>
                <c:pt idx="4">
                  <c:v>368.85357592765939</c:v>
                </c:pt>
                <c:pt idx="5">
                  <c:v>313.95310905674575</c:v>
                </c:pt>
                <c:pt idx="6">
                  <c:v>281.16730328742176</c:v>
                </c:pt>
                <c:pt idx="7">
                  <c:v>287.62089071612513</c:v>
                </c:pt>
                <c:pt idx="8">
                  <c:v>302.26857171234781</c:v>
                </c:pt>
                <c:pt idx="9">
                  <c:v>465.54145508528813</c:v>
                </c:pt>
                <c:pt idx="10">
                  <c:v>731.11429024713414</c:v>
                </c:pt>
                <c:pt idx="11">
                  <c:v>879.80266905167161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'4.1'!$F$28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'4.1'!$F$29:$F$40</c:f>
              <c:numCache>
                <c:formatCode>#,##0.0</c:formatCode>
                <c:ptCount val="12"/>
                <c:pt idx="0">
                  <c:v>1018.2711816603346</c:v>
                </c:pt>
                <c:pt idx="1">
                  <c:v>905.06624105235687</c:v>
                </c:pt>
                <c:pt idx="2">
                  <c:v>813.43576392756404</c:v>
                </c:pt>
                <c:pt idx="3">
                  <c:v>542.15893668344847</c:v>
                </c:pt>
                <c:pt idx="4">
                  <c:v>354.09291505284216</c:v>
                </c:pt>
                <c:pt idx="5">
                  <c:v>316.35299234701233</c:v>
                </c:pt>
                <c:pt idx="6">
                  <c:v>289.09069131840243</c:v>
                </c:pt>
                <c:pt idx="7">
                  <c:v>290.24521526417504</c:v>
                </c:pt>
                <c:pt idx="8">
                  <c:v>352.90832533559529</c:v>
                </c:pt>
                <c:pt idx="9">
                  <c:v>546.33017523016531</c:v>
                </c:pt>
                <c:pt idx="10">
                  <c:v>760.54547631288494</c:v>
                </c:pt>
                <c:pt idx="11">
                  <c:v>964.31157030577447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85632"/>
        <c:axId val="162887168"/>
      </c:barChart>
      <c:catAx>
        <c:axId val="16288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887168"/>
        <c:crosses val="autoZero"/>
        <c:auto val="1"/>
        <c:lblAlgn val="ctr"/>
        <c:lblOffset val="100"/>
        <c:noMultiLvlLbl val="0"/>
      </c:catAx>
      <c:valAx>
        <c:axId val="16288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85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090010774851205E-3"/>
          <c:y val="0.89268772123053763"/>
          <c:w val="0.28870175114184005"/>
          <c:h val="9.601031095304514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#,##0.0</c:formatCode>
                <c:ptCount val="5"/>
                <c:pt idx="0">
                  <c:v>3.9000000000000008</c:v>
                </c:pt>
                <c:pt idx="1">
                  <c:v>2.2677419354838708</c:v>
                </c:pt>
                <c:pt idx="2">
                  <c:v>2.2290322580645161</c:v>
                </c:pt>
                <c:pt idx="3">
                  <c:v>2.2387096774193549</c:v>
                </c:pt>
                <c:pt idx="4">
                  <c:v>2.2387096774193549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00480"/>
        <c:axId val="170902272"/>
      </c:barChart>
      <c:catAx>
        <c:axId val="170900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902272"/>
        <c:crosses val="autoZero"/>
        <c:auto val="1"/>
        <c:lblAlgn val="ctr"/>
        <c:lblOffset val="100"/>
        <c:noMultiLvlLbl val="0"/>
      </c:catAx>
      <c:valAx>
        <c:axId val="1709022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0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8142457232510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#,##0.0</c:formatCode>
                <c:ptCount val="5"/>
                <c:pt idx="0">
                  <c:v>10.199999999999999</c:v>
                </c:pt>
                <c:pt idx="1">
                  <c:v>8.9499999999999993</c:v>
                </c:pt>
                <c:pt idx="2">
                  <c:v>8.6999999999999993</c:v>
                </c:pt>
                <c:pt idx="3">
                  <c:v>8.9</c:v>
                </c:pt>
                <c:pt idx="4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#,##0.0</c:formatCode>
                <c:ptCount val="5"/>
                <c:pt idx="0">
                  <c:v>-5.4</c:v>
                </c:pt>
                <c:pt idx="1">
                  <c:v>-5.4333333333333327</c:v>
                </c:pt>
                <c:pt idx="2">
                  <c:v>-8.4</c:v>
                </c:pt>
                <c:pt idx="3">
                  <c:v>-5.7</c:v>
                </c:pt>
                <c:pt idx="4">
                  <c:v>-5.7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795136"/>
        <c:axId val="168796928"/>
      </c:barChart>
      <c:catAx>
        <c:axId val="168795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796928"/>
        <c:crosses val="autoZero"/>
        <c:auto val="1"/>
        <c:lblAlgn val="ctr"/>
        <c:lblOffset val="100"/>
        <c:noMultiLvlLbl val="0"/>
      </c:catAx>
      <c:valAx>
        <c:axId val="168796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95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spPr>
            <a:solidFill>
              <a:srgbClr val="233060"/>
            </a:solidFill>
          </c:spPr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7481783779673074"/>
                  <c:y val="0.21061911378724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6759483548082744"/>
                  <c:y val="-9.1075343523236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0.12117332796186922</c:v>
                </c:pt>
                <c:pt idx="1">
                  <c:v>0.81269040678584048</c:v>
                </c:pt>
                <c:pt idx="2">
                  <c:v>3.9241140304764034E-2</c:v>
                </c:pt>
                <c:pt idx="3">
                  <c:v>2.68951249475263E-2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232155.83297165585</c:v>
                </c:pt>
                <c:pt idx="1">
                  <c:v>1696435.3903245702</c:v>
                </c:pt>
                <c:pt idx="2">
                  <c:v>80867.940369999997</c:v>
                </c:pt>
                <c:pt idx="3">
                  <c:v>66999.317110000004</c:v>
                </c:pt>
                <c:pt idx="4">
                  <c:v>2076458.4807762264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28576"/>
        <c:axId val="171530112"/>
      </c:barChart>
      <c:catAx>
        <c:axId val="171528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1530112"/>
        <c:crosses val="autoZero"/>
        <c:auto val="1"/>
        <c:lblAlgn val="ctr"/>
        <c:lblOffset val="100"/>
        <c:noMultiLvlLbl val="0"/>
      </c:catAx>
      <c:valAx>
        <c:axId val="1715301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28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#,##0.0</c:formatCode>
                <c:ptCount val="5"/>
                <c:pt idx="0">
                  <c:v>7.4410394265233002</c:v>
                </c:pt>
                <c:pt idx="1">
                  <c:v>5.9525029868578256</c:v>
                </c:pt>
                <c:pt idx="2">
                  <c:v>5.6317921146953411</c:v>
                </c:pt>
                <c:pt idx="3">
                  <c:v>5.9277777777777771</c:v>
                </c:pt>
                <c:pt idx="4">
                  <c:v>5.9277777777777771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63264"/>
        <c:axId val="171569152"/>
      </c:barChart>
      <c:catAx>
        <c:axId val="1715632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569152"/>
        <c:crosses val="autoZero"/>
        <c:auto val="1"/>
        <c:lblAlgn val="ctr"/>
        <c:lblOffset val="100"/>
        <c:noMultiLvlLbl val="0"/>
      </c:catAx>
      <c:valAx>
        <c:axId val="171569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6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1721442089768441"/>
          <c:h val="0.802050017469831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#,##0.0</c:formatCode>
                <c:ptCount val="5"/>
                <c:pt idx="0">
                  <c:v>19.2</c:v>
                </c:pt>
                <c:pt idx="1">
                  <c:v>17.366666666666664</c:v>
                </c:pt>
                <c:pt idx="2">
                  <c:v>18.100000000000001</c:v>
                </c:pt>
                <c:pt idx="3">
                  <c:v>17.600000000000001</c:v>
                </c:pt>
                <c:pt idx="4">
                  <c:v>17.600000000000001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#,##0.0</c:formatCode>
                <c:ptCount val="5"/>
                <c:pt idx="0">
                  <c:v>-5.4</c:v>
                </c:pt>
                <c:pt idx="1">
                  <c:v>-5.4333333333333327</c:v>
                </c:pt>
                <c:pt idx="2">
                  <c:v>-8.4</c:v>
                </c:pt>
                <c:pt idx="3">
                  <c:v>-5.7</c:v>
                </c:pt>
                <c:pt idx="4">
                  <c:v>-5.7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600128"/>
        <c:axId val="171601920"/>
      </c:barChart>
      <c:catAx>
        <c:axId val="171600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601920"/>
        <c:crosses val="autoZero"/>
        <c:auto val="1"/>
        <c:lblAlgn val="ctr"/>
        <c:lblOffset val="100"/>
        <c:noMultiLvlLbl val="0"/>
      </c:catAx>
      <c:valAx>
        <c:axId val="1716019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60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7801356659866183"/>
                  <c:y val="0.200815192218619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33594444964749431"/>
                  <c:y val="-0.113573329649583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0.11180374426984489</c:v>
                </c:pt>
                <c:pt idx="1">
                  <c:v>0.81698497996955133</c:v>
                </c:pt>
                <c:pt idx="2">
                  <c:v>3.8945127542241907E-2</c:v>
                </c:pt>
                <c:pt idx="3">
                  <c:v>3.2266148218361761E-2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8368183584301"/>
          <c:y val="6.4472404866917424E-2"/>
          <c:w val="0.7690258581725623"/>
          <c:h val="0.73605807575454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'5.10'!$D$31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'5.10'!$E$31:$H$31</c:f>
              <c:numCache>
                <c:formatCode>General</c:formatCode>
                <c:ptCount val="4"/>
                <c:pt idx="0">
                  <c:v>289971.15204709524</c:v>
                </c:pt>
                <c:pt idx="1">
                  <c:v>2036608.499707636</c:v>
                </c:pt>
                <c:pt idx="2">
                  <c:v>101321.212</c:v>
                </c:pt>
                <c:pt idx="3">
                  <c:v>93914.096560000005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'5.10'!$D$32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117735.97551584727</c:v>
                </c:pt>
                <c:pt idx="1">
                  <c:v>1045693.1061009595</c:v>
                </c:pt>
                <c:pt idx="2">
                  <c:v>52234.282999999996</c:v>
                </c:pt>
                <c:pt idx="3">
                  <c:v>73611.703309999997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'5.10'!$D$33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54028.089714853704</c:v>
                </c:pt>
                <c:pt idx="1">
                  <c:v>673353.31104361406</c:v>
                </c:pt>
                <c:pt idx="2">
                  <c:v>29079.728010000003</c:v>
                </c:pt>
                <c:pt idx="3">
                  <c:v>114596.82592999999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'5.10'!$D$34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232155.83297165585</c:v>
                </c:pt>
                <c:pt idx="1">
                  <c:v>1696435.3903245702</c:v>
                </c:pt>
                <c:pt idx="2">
                  <c:v>80867.940369999997</c:v>
                </c:pt>
                <c:pt idx="3">
                  <c:v>66999.317110000004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1329792"/>
        <c:axId val="171335680"/>
      </c:barChart>
      <c:catAx>
        <c:axId val="17132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1335680"/>
        <c:crosses val="autoZero"/>
        <c:auto val="1"/>
        <c:lblAlgn val="ctr"/>
        <c:lblOffset val="100"/>
        <c:noMultiLvlLbl val="0"/>
      </c:catAx>
      <c:valAx>
        <c:axId val="17133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71329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666270190546593E-3"/>
          <c:y val="0.92739706505758956"/>
          <c:w val="0.42063452038283733"/>
          <c:h val="5.04952059563983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'6.8'!$D$7:$D$20</c:f>
              <c:numCache>
                <c:formatCode>#,##0</c:formatCode>
                <c:ptCount val="14"/>
                <c:pt idx="0">
                  <c:v>162672.27692</c:v>
                </c:pt>
                <c:pt idx="1">
                  <c:v>585589.47594999999</c:v>
                </c:pt>
                <c:pt idx="2">
                  <c:v>133908.65643000003</c:v>
                </c:pt>
                <c:pt idx="3">
                  <c:v>206531.74196999994</c:v>
                </c:pt>
                <c:pt idx="4">
                  <c:v>179398.04095999998</c:v>
                </c:pt>
                <c:pt idx="5">
                  <c:v>584144.94889</c:v>
                </c:pt>
                <c:pt idx="6">
                  <c:v>297359.37287000008</c:v>
                </c:pt>
                <c:pt idx="7">
                  <c:v>204490.15160000001</c:v>
                </c:pt>
                <c:pt idx="8">
                  <c:v>227717.47977000003</c:v>
                </c:pt>
                <c:pt idx="9">
                  <c:v>439714.35609700228</c:v>
                </c:pt>
                <c:pt idx="10">
                  <c:v>746435.66070200002</c:v>
                </c:pt>
                <c:pt idx="11">
                  <c:v>876756.50799800002</c:v>
                </c:pt>
                <c:pt idx="12">
                  <c:v>185924.09349999999</c:v>
                </c:pt>
                <c:pt idx="13">
                  <c:v>217006.24740999998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227200"/>
        <c:axId val="170676608"/>
      </c:barChart>
      <c:catAx>
        <c:axId val="1722272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0676608"/>
        <c:crosses val="autoZero"/>
        <c:auto val="1"/>
        <c:lblAlgn val="ctr"/>
        <c:lblOffset val="100"/>
        <c:noMultiLvlLbl val="0"/>
      </c:catAx>
      <c:valAx>
        <c:axId val="1706766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227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22834645669287"/>
          <c:y val="0.11005524565183827"/>
          <c:w val="0.626515220080248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'6.8'!$G$7:$G$20</c:f>
              <c:numCache>
                <c:formatCode>#,##0.0</c:formatCode>
                <c:ptCount val="14"/>
                <c:pt idx="0">
                  <c:v>10.519354838709678</c:v>
                </c:pt>
                <c:pt idx="1">
                  <c:v>12.667741935483873</c:v>
                </c:pt>
                <c:pt idx="2">
                  <c:v>9.7290322580645174</c:v>
                </c:pt>
                <c:pt idx="3">
                  <c:v>10.622580645161291</c:v>
                </c:pt>
                <c:pt idx="4">
                  <c:v>10.829032258064515</c:v>
                </c:pt>
                <c:pt idx="5">
                  <c:v>12.083870967741936</c:v>
                </c:pt>
                <c:pt idx="6">
                  <c:v>11.393548387096775</c:v>
                </c:pt>
                <c:pt idx="7">
                  <c:v>11.522580645161289</c:v>
                </c:pt>
                <c:pt idx="8">
                  <c:v>10.67741935483871</c:v>
                </c:pt>
                <c:pt idx="9">
                  <c:v>13.009677419354839</c:v>
                </c:pt>
                <c:pt idx="10">
                  <c:v>11.819354838709678</c:v>
                </c:pt>
                <c:pt idx="11">
                  <c:v>11.525806451612906</c:v>
                </c:pt>
                <c:pt idx="12">
                  <c:v>10.877419354838711</c:v>
                </c:pt>
                <c:pt idx="13">
                  <c:v>11.541935483870969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713088"/>
        <c:axId val="170714624"/>
      </c:barChart>
      <c:catAx>
        <c:axId val="170713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0714624"/>
        <c:crosses val="autoZero"/>
        <c:auto val="1"/>
        <c:lblAlgn val="ctr"/>
        <c:lblOffset val="100"/>
        <c:noMultiLvlLbl val="0"/>
      </c:catAx>
      <c:valAx>
        <c:axId val="17071462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71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7921641351791E-2"/>
          <c:y val="7.1836716223887848E-2"/>
          <c:w val="0.90558639762917237"/>
          <c:h val="0.603581654229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'4.1'!$N$28</c:f>
              <c:strCache>
                <c:ptCount val="1"/>
                <c:pt idx="0">
                  <c:v>Průměr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'4.1'!$N$29:$N$40</c:f>
              <c:numCache>
                <c:formatCode>#,##0.0</c:formatCode>
                <c:ptCount val="12"/>
                <c:pt idx="0">
                  <c:v>2.1903225806451618</c:v>
                </c:pt>
                <c:pt idx="1">
                  <c:v>1.375</c:v>
                </c:pt>
                <c:pt idx="2">
                  <c:v>4.8774193548387101</c:v>
                </c:pt>
                <c:pt idx="3">
                  <c:v>6.6799999999999988</c:v>
                </c:pt>
                <c:pt idx="4">
                  <c:v>12.812903225806451</c:v>
                </c:pt>
                <c:pt idx="5">
                  <c:v>17.459999999999994</c:v>
                </c:pt>
                <c:pt idx="6">
                  <c:v>19.896774193548385</c:v>
                </c:pt>
                <c:pt idx="7">
                  <c:v>18.838709677419359</c:v>
                </c:pt>
                <c:pt idx="8">
                  <c:v>16.65666666666667</c:v>
                </c:pt>
                <c:pt idx="9">
                  <c:v>11.261290322580644</c:v>
                </c:pt>
                <c:pt idx="10">
                  <c:v>4.2833333333333323</c:v>
                </c:pt>
                <c:pt idx="11">
                  <c:v>2.2387096774193549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'4.1'!$O$28</c:f>
              <c:strCache>
                <c:ptCount val="1"/>
                <c:pt idx="0">
                  <c:v>Normál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'4.1'!$O$29:$O$40</c:f>
              <c:numCache>
                <c:formatCode>#,##0.0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96512"/>
        <c:axId val="162914688"/>
      </c:barChart>
      <c:catAx>
        <c:axId val="16289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914688"/>
        <c:crosses val="autoZero"/>
        <c:auto val="1"/>
        <c:lblAlgn val="ctr"/>
        <c:lblOffset val="100"/>
        <c:noMultiLvlLbl val="0"/>
      </c:catAx>
      <c:valAx>
        <c:axId val="16291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96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17552045021956E-3"/>
          <c:y val="0.89591169395866144"/>
          <c:w val="0.22936697982969578"/>
          <c:h val="9.695077050920250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39692883217182"/>
          <c:y val="0.11005524565183827"/>
          <c:w val="0.630346637704769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'6.9'!$G$7:$G$20</c:f>
              <c:numCache>
                <c:formatCode>#,##0.0</c:formatCode>
                <c:ptCount val="14"/>
                <c:pt idx="0">
                  <c:v>3.9233333333333329</c:v>
                </c:pt>
                <c:pt idx="1">
                  <c:v>5.2500000000000018</c:v>
                </c:pt>
                <c:pt idx="2">
                  <c:v>3.4066666666666667</c:v>
                </c:pt>
                <c:pt idx="3">
                  <c:v>3.6799999999999988</c:v>
                </c:pt>
                <c:pt idx="4">
                  <c:v>4.1099999999999985</c:v>
                </c:pt>
                <c:pt idx="5">
                  <c:v>4.5233333333333343</c:v>
                </c:pt>
                <c:pt idx="6">
                  <c:v>4.2566666666666659</c:v>
                </c:pt>
                <c:pt idx="7">
                  <c:v>4.3766666666666669</c:v>
                </c:pt>
                <c:pt idx="8">
                  <c:v>4.4966666666666653</c:v>
                </c:pt>
                <c:pt idx="9">
                  <c:v>6.0366666666666671</c:v>
                </c:pt>
                <c:pt idx="10">
                  <c:v>5.0000000000000027</c:v>
                </c:pt>
                <c:pt idx="11">
                  <c:v>4.9299999999999988</c:v>
                </c:pt>
                <c:pt idx="12">
                  <c:v>3.5666666666666673</c:v>
                </c:pt>
                <c:pt idx="13">
                  <c:v>4.0833333333333321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095936"/>
        <c:axId val="171097472"/>
      </c:barChart>
      <c:catAx>
        <c:axId val="1710959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1097472"/>
        <c:crosses val="autoZero"/>
        <c:auto val="1"/>
        <c:lblAlgn val="ctr"/>
        <c:lblOffset val="100"/>
        <c:noMultiLvlLbl val="0"/>
      </c:catAx>
      <c:valAx>
        <c:axId val="1710974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09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31812833740611"/>
          <c:y val="0.11005524565183827"/>
          <c:w val="0.56350011107545717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'6.9'!$D$7:$D$20</c:f>
              <c:numCache>
                <c:formatCode>#,##0</c:formatCode>
                <c:ptCount val="14"/>
                <c:pt idx="0">
                  <c:v>271961.88776000001</c:v>
                </c:pt>
                <c:pt idx="1">
                  <c:v>1058592.3069500001</c:v>
                </c:pt>
                <c:pt idx="2">
                  <c:v>248898.95426000006</c:v>
                </c:pt>
                <c:pt idx="3">
                  <c:v>343349.31676000002</c:v>
                </c:pt>
                <c:pt idx="4">
                  <c:v>327635.43009999994</c:v>
                </c:pt>
                <c:pt idx="5">
                  <c:v>867061.31002000009</c:v>
                </c:pt>
                <c:pt idx="6">
                  <c:v>495301.73489999992</c:v>
                </c:pt>
                <c:pt idx="7">
                  <c:v>354005.92601000011</c:v>
                </c:pt>
                <c:pt idx="8">
                  <c:v>367119.49892000004</c:v>
                </c:pt>
                <c:pt idx="9">
                  <c:v>907560.87966304051</c:v>
                </c:pt>
                <c:pt idx="10">
                  <c:v>1045775.8393610001</c:v>
                </c:pt>
                <c:pt idx="11">
                  <c:v>871375.30516600015</c:v>
                </c:pt>
                <c:pt idx="12">
                  <c:v>320546.90649000002</c:v>
                </c:pt>
                <c:pt idx="13">
                  <c:v>405246.61994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063744"/>
        <c:axId val="172073728"/>
      </c:barChart>
      <c:catAx>
        <c:axId val="1720637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073728"/>
        <c:crosses val="autoZero"/>
        <c:auto val="1"/>
        <c:lblAlgn val="ctr"/>
        <c:lblOffset val="100"/>
        <c:noMultiLvlLbl val="0"/>
      </c:catAx>
      <c:valAx>
        <c:axId val="1720737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063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73409358312972"/>
          <c:y val="0.11005524565183827"/>
          <c:w val="0.63800947295381183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'6.10'!$G$7:$G$20</c:f>
              <c:numCache>
                <c:formatCode>#,##0.0</c:formatCode>
                <c:ptCount val="14"/>
                <c:pt idx="0">
                  <c:v>2.1064516129032258</c:v>
                </c:pt>
                <c:pt idx="1">
                  <c:v>2.274193548387097</c:v>
                </c:pt>
                <c:pt idx="2">
                  <c:v>1.564516129032258</c:v>
                </c:pt>
                <c:pt idx="3">
                  <c:v>1.8322580645161293</c:v>
                </c:pt>
                <c:pt idx="4">
                  <c:v>2.129032258064516</c:v>
                </c:pt>
                <c:pt idx="5">
                  <c:v>2.5419354838709678</c:v>
                </c:pt>
                <c:pt idx="6">
                  <c:v>2.0096774193548388</c:v>
                </c:pt>
                <c:pt idx="7">
                  <c:v>2.3258064516129036</c:v>
                </c:pt>
                <c:pt idx="8">
                  <c:v>2.6580645161290324</c:v>
                </c:pt>
                <c:pt idx="9">
                  <c:v>4.1838709677419352</c:v>
                </c:pt>
                <c:pt idx="10">
                  <c:v>3.1451612903225805</c:v>
                </c:pt>
                <c:pt idx="11">
                  <c:v>2.8870967741935485</c:v>
                </c:pt>
                <c:pt idx="12">
                  <c:v>1.6774193548387097</c:v>
                </c:pt>
                <c:pt idx="13">
                  <c:v>1.4774193548387096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44160"/>
        <c:axId val="172845696"/>
      </c:barChart>
      <c:catAx>
        <c:axId val="1728441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2845696"/>
        <c:crosses val="autoZero"/>
        <c:auto val="1"/>
        <c:lblAlgn val="ctr"/>
        <c:lblOffset val="100"/>
        <c:noMultiLvlLbl val="0"/>
      </c:catAx>
      <c:valAx>
        <c:axId val="1728456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4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'6.10'!$D$7:$D$20</c:f>
              <c:numCache>
                <c:formatCode>#,##0</c:formatCode>
                <c:ptCount val="14"/>
                <c:pt idx="0">
                  <c:v>324035.79143000004</c:v>
                </c:pt>
                <c:pt idx="1">
                  <c:v>1359089.0841700002</c:v>
                </c:pt>
                <c:pt idx="2">
                  <c:v>253780.38625000001</c:v>
                </c:pt>
                <c:pt idx="3">
                  <c:v>397444.44873999996</c:v>
                </c:pt>
                <c:pt idx="4">
                  <c:v>398455.44504999998</c:v>
                </c:pt>
                <c:pt idx="5">
                  <c:v>999805.15044999996</c:v>
                </c:pt>
                <c:pt idx="6">
                  <c:v>588580.80087000015</c:v>
                </c:pt>
                <c:pt idx="7">
                  <c:v>430026.06396</c:v>
                </c:pt>
                <c:pt idx="8">
                  <c:v>415325.24160999997</c:v>
                </c:pt>
                <c:pt idx="9">
                  <c:v>1144989.6369110865</c:v>
                </c:pt>
                <c:pt idx="10">
                  <c:v>1231444.2153660001</c:v>
                </c:pt>
                <c:pt idx="11">
                  <c:v>1013782.5336140001</c:v>
                </c:pt>
                <c:pt idx="12">
                  <c:v>394466.20084999996</c:v>
                </c:pt>
                <c:pt idx="13">
                  <c:v>501120.25902999996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78080"/>
        <c:axId val="172883968"/>
      </c:barChart>
      <c:catAx>
        <c:axId val="1728780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883968"/>
        <c:crosses val="autoZero"/>
        <c:auto val="1"/>
        <c:lblAlgn val="ctr"/>
        <c:lblOffset val="100"/>
        <c:noMultiLvlLbl val="0"/>
      </c:catAx>
      <c:valAx>
        <c:axId val="1728839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7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556551120765077"/>
          <c:y val="0.11005524565183827"/>
          <c:w val="0.6341780553292907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'6.11'!$G$7:$G$20</c:f>
              <c:numCache>
                <c:formatCode>#,##0.0</c:formatCode>
                <c:ptCount val="14"/>
                <c:pt idx="0">
                  <c:v>5.5163799283154118</c:v>
                </c:pt>
                <c:pt idx="1">
                  <c:v>6.7306451612903233</c:v>
                </c:pt>
                <c:pt idx="2">
                  <c:v>4.9000716845878136</c:v>
                </c:pt>
                <c:pt idx="3">
                  <c:v>5.3782795698924728</c:v>
                </c:pt>
                <c:pt idx="4">
                  <c:v>5.6893548387096766</c:v>
                </c:pt>
                <c:pt idx="5">
                  <c:v>6.3830465949820798</c:v>
                </c:pt>
                <c:pt idx="6">
                  <c:v>5.8866308243727596</c:v>
                </c:pt>
                <c:pt idx="7">
                  <c:v>6.0750179211469542</c:v>
                </c:pt>
                <c:pt idx="8">
                  <c:v>5.9440501792114686</c:v>
                </c:pt>
                <c:pt idx="9">
                  <c:v>7.7434050179211473</c:v>
                </c:pt>
                <c:pt idx="10">
                  <c:v>6.6548387096774206</c:v>
                </c:pt>
                <c:pt idx="11">
                  <c:v>6.4476344086021511</c:v>
                </c:pt>
                <c:pt idx="12">
                  <c:v>5.3738351254480285</c:v>
                </c:pt>
                <c:pt idx="13">
                  <c:v>5.7008960573476699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23616"/>
        <c:axId val="173025152"/>
      </c:barChart>
      <c:catAx>
        <c:axId val="173023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3025152"/>
        <c:crosses val="autoZero"/>
        <c:auto val="1"/>
        <c:lblAlgn val="ctr"/>
        <c:lblOffset val="100"/>
        <c:noMultiLvlLbl val="0"/>
      </c:catAx>
      <c:valAx>
        <c:axId val="173025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2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39649824336218"/>
          <c:y val="0.11005524565183827"/>
          <c:w val="0.5384217411695011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'6.11'!$D$7:$D$20</c:f>
              <c:numCache>
                <c:formatCode>#,##0</c:formatCode>
                <c:ptCount val="14"/>
                <c:pt idx="0">
                  <c:v>758669.95611000003</c:v>
                </c:pt>
                <c:pt idx="1">
                  <c:v>3003270.8670700002</c:v>
                </c:pt>
                <c:pt idx="2">
                  <c:v>636587.99693999998</c:v>
                </c:pt>
                <c:pt idx="3">
                  <c:v>947325.50747000007</c:v>
                </c:pt>
                <c:pt idx="4">
                  <c:v>905488.91610999987</c:v>
                </c:pt>
                <c:pt idx="5">
                  <c:v>2451011.4093600004</c:v>
                </c:pt>
                <c:pt idx="6">
                  <c:v>1381241.90864</c:v>
                </c:pt>
                <c:pt idx="7">
                  <c:v>988522.14156999998</c:v>
                </c:pt>
                <c:pt idx="8">
                  <c:v>1010162.2202999999</c:v>
                </c:pt>
                <c:pt idx="9">
                  <c:v>2492264.8726711292</c:v>
                </c:pt>
                <c:pt idx="10">
                  <c:v>3023655.7154289996</c:v>
                </c:pt>
                <c:pt idx="11">
                  <c:v>2761914.3467780002</c:v>
                </c:pt>
                <c:pt idx="12">
                  <c:v>900937.20083999983</c:v>
                </c:pt>
                <c:pt idx="13">
                  <c:v>1123373.1263800003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49344"/>
        <c:axId val="173050880"/>
      </c:barChart>
      <c:catAx>
        <c:axId val="173049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3050880"/>
        <c:crosses val="autoZero"/>
        <c:auto val="1"/>
        <c:lblAlgn val="ctr"/>
        <c:lblOffset val="100"/>
        <c:noMultiLvlLbl val="0"/>
      </c:catAx>
      <c:valAx>
        <c:axId val="1730508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49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0597841936423"/>
          <c:y val="0.34057376401069023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2260234912496405"/>
                  <c:y val="1.72374885683857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'4.2'!$B$27:$F$27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'4.2'!$B$28:$F$28</c:f>
              <c:numCache>
                <c:formatCode>#,##0</c:formatCode>
                <c:ptCount val="5"/>
                <c:pt idx="0">
                  <c:v>1562</c:v>
                </c:pt>
                <c:pt idx="1">
                  <c:v>6124</c:v>
                </c:pt>
                <c:pt idx="2">
                  <c:v>203202</c:v>
                </c:pt>
                <c:pt idx="3">
                  <c:v>2561383</c:v>
                </c:pt>
                <c:pt idx="4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'4.2'!$I$28:$I$31</c:f>
              <c:numCache>
                <c:formatCode>#,##0.0</c:formatCode>
                <c:ptCount val="4"/>
                <c:pt idx="0">
                  <c:v>972.73779653115685</c:v>
                </c:pt>
                <c:pt idx="1">
                  <c:v>713.1469345859507</c:v>
                </c:pt>
                <c:pt idx="2">
                  <c:v>649.71897217572041</c:v>
                </c:pt>
                <c:pt idx="3">
                  <c:v>880.06943093475343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'4.2'!$J$28:$J$31</c:f>
              <c:numCache>
                <c:formatCode>#,##0.0</c:formatCode>
                <c:ptCount val="4"/>
                <c:pt idx="0">
                  <c:v>246.52069251980049</c:v>
                </c:pt>
                <c:pt idx="1">
                  <c:v>113.12263278371259</c:v>
                </c:pt>
                <c:pt idx="2">
                  <c:v>64.445374107523179</c:v>
                </c:pt>
                <c:pt idx="3">
                  <c:v>202.62021795236967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'4.2'!$K$28:$K$31</c:f>
              <c:numCache>
                <c:formatCode>#,##0.0</c:formatCode>
                <c:ptCount val="4"/>
                <c:pt idx="0">
                  <c:v>433.60110803893588</c:v>
                </c:pt>
                <c:pt idx="1">
                  <c:v>148.380611643517</c:v>
                </c:pt>
                <c:pt idx="2">
                  <c:v>47.979289138244155</c:v>
                </c:pt>
                <c:pt idx="3">
                  <c:v>336.41187240928014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'4.2'!$L$28:$L$31</c:f>
              <c:numCache>
                <c:formatCode>#,##0.0</c:formatCode>
                <c:ptCount val="4"/>
                <c:pt idx="0">
                  <c:v>793.64640396804884</c:v>
                </c:pt>
                <c:pt idx="1">
                  <c:v>278.60368638204932</c:v>
                </c:pt>
                <c:pt idx="2">
                  <c:v>84.069088311636236</c:v>
                </c:pt>
                <c:pt idx="3">
                  <c:v>605.78439819540449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'4.2'!$M$28:$M$31</c:f>
              <c:numCache>
                <c:formatCode>#,##0.0</c:formatCode>
                <c:ptCount val="4"/>
                <c:pt idx="0">
                  <c:v>22.174044978425176</c:v>
                </c:pt>
                <c:pt idx="1">
                  <c:v>22.272727339250615</c:v>
                </c:pt>
                <c:pt idx="2">
                  <c:v>21.824686121713619</c:v>
                </c:pt>
                <c:pt idx="3">
                  <c:v>23.024995891499991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34688"/>
        <c:axId val="164436224"/>
      </c:barChart>
      <c:catAx>
        <c:axId val="16443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436224"/>
        <c:crosses val="autoZero"/>
        <c:auto val="1"/>
        <c:lblAlgn val="ctr"/>
        <c:lblOffset val="100"/>
        <c:noMultiLvlLbl val="0"/>
      </c:catAx>
      <c:valAx>
        <c:axId val="16443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3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641202302644729E-2"/>
          <c:y val="0.91431116564974846"/>
          <c:w val="0.54397829038354595"/>
          <c:h val="8.22561533199307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'4.2'!$P$28:$P$31</c:f>
              <c:numCache>
                <c:formatCode>#,##0</c:formatCode>
                <c:ptCount val="4"/>
                <c:pt idx="0">
                  <c:v>10569.378439568</c:v>
                </c:pt>
                <c:pt idx="1">
                  <c:v>7797.5522529378686</c:v>
                </c:pt>
                <c:pt idx="2">
                  <c:v>7128.2792416596731</c:v>
                </c:pt>
                <c:pt idx="3">
                  <c:v>9623.2805496670007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'4.2'!$Q$28:$Q$31</c:f>
              <c:numCache>
                <c:formatCode>#,##0</c:formatCode>
                <c:ptCount val="4"/>
                <c:pt idx="0">
                  <c:v>2678.3421776699997</c:v>
                </c:pt>
                <c:pt idx="1">
                  <c:v>1236.6427551400002</c:v>
                </c:pt>
                <c:pt idx="2">
                  <c:v>707.10366793999992</c:v>
                </c:pt>
                <c:pt idx="3">
                  <c:v>2214.7948984300001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'4.2'!$R$28:$R$31</c:f>
              <c:numCache>
                <c:formatCode>#,##0</c:formatCode>
                <c:ptCount val="4"/>
                <c:pt idx="0">
                  <c:v>4710.2183123059049</c:v>
                </c:pt>
                <c:pt idx="1">
                  <c:v>1621.00079782993</c:v>
                </c:pt>
                <c:pt idx="2">
                  <c:v>526.35666583026068</c:v>
                </c:pt>
                <c:pt idx="3">
                  <c:v>3675.7768946890519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'4.2'!$S$28:$S$31</c:f>
              <c:numCache>
                <c:formatCode>#,##0</c:formatCode>
                <c:ptCount val="4"/>
                <c:pt idx="0">
                  <c:v>8619.9176248230488</c:v>
                </c:pt>
                <c:pt idx="1">
                  <c:v>3043.5013785209489</c:v>
                </c:pt>
                <c:pt idx="2">
                  <c:v>922.47551249773574</c:v>
                </c:pt>
                <c:pt idx="3">
                  <c:v>6618.7478643720788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'4.2'!$T$28:$T$31</c:f>
              <c:numCache>
                <c:formatCode>#,##0</c:formatCode>
                <c:ptCount val="4"/>
                <c:pt idx="0">
                  <c:v>240.80960168000001</c:v>
                </c:pt>
                <c:pt idx="1">
                  <c:v>243.62970901</c:v>
                </c:pt>
                <c:pt idx="2">
                  <c:v>239.45559878000003</c:v>
                </c:pt>
                <c:pt idx="3">
                  <c:v>251.82597851000003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486144"/>
        <c:axId val="165020416"/>
      </c:barChart>
      <c:catAx>
        <c:axId val="16448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20416"/>
        <c:crosses val="autoZero"/>
        <c:auto val="1"/>
        <c:lblAlgn val="ctr"/>
        <c:lblOffset val="100"/>
        <c:noMultiLvlLbl val="0"/>
      </c:catAx>
      <c:valAx>
        <c:axId val="16502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86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353287164405642E-3"/>
          <c:y val="0.92082355031032004"/>
          <c:w val="0.51630586449379434"/>
          <c:h val="7.9176414320556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'4.3'!$B$45:$B$47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'4.3'!$C$45:$C$47</c:f>
              <c:numCache>
                <c:formatCode>#,##0</c:formatCode>
                <c:ptCount val="3"/>
                <c:pt idx="0">
                  <c:v>22103.488187778585</c:v>
                </c:pt>
                <c:pt idx="1">
                  <c:v>8929.8550735451445</c:v>
                </c:pt>
                <c:pt idx="2">
                  <c:v>15017.466293073816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47680"/>
        <c:axId val="165057664"/>
      </c:barChart>
      <c:catAx>
        <c:axId val="16504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057664"/>
        <c:crosses val="autoZero"/>
        <c:auto val="1"/>
        <c:lblAlgn val="ctr"/>
        <c:lblOffset val="100"/>
        <c:noMultiLvlLbl val="0"/>
      </c:catAx>
      <c:valAx>
        <c:axId val="165057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47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'4.3'!$E$45:$E$47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'4.3'!$F$45:$F$47</c:f>
              <c:numCache>
                <c:formatCode>#,##0</c:formatCode>
                <c:ptCount val="3"/>
                <c:pt idx="0">
                  <c:v>36353.051660169855</c:v>
                </c:pt>
                <c:pt idx="1">
                  <c:v>16736.235842176236</c:v>
                </c:pt>
                <c:pt idx="2">
                  <c:v>24370.476341571139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88256"/>
        <c:axId val="165090048"/>
      </c:barChart>
      <c:catAx>
        <c:axId val="1650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90048"/>
        <c:crosses val="autoZero"/>
        <c:auto val="1"/>
        <c:lblAlgn val="ctr"/>
        <c:lblOffset val="100"/>
        <c:noMultiLvlLbl val="0"/>
      </c:catAx>
      <c:valAx>
        <c:axId val="16509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88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image" Target="../media/image11.png"/><Relationship Id="rId4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11.png"/><Relationship Id="rId4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image" Target="../media/image11.png"/><Relationship Id="rId4" Type="http://schemas.openxmlformats.org/officeDocument/2006/relationships/chart" Target="../charts/chart3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image" Target="../media/image11.png"/><Relationship Id="rId4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1AA8B5-5249-445C-8B4E-732F9012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4977583</xdr:rowOff>
    </xdr:from>
    <xdr:to>
      <xdr:col>2</xdr:col>
      <xdr:colOff>985</xdr:colOff>
      <xdr:row>1</xdr:row>
      <xdr:rowOff>4633682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5A5B4A11-A448-40A2-8020-A1DA7E18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4977583"/>
          <a:ext cx="6430360" cy="4736099"/>
        </a:xfrm>
        <a:prstGeom prst="rect">
          <a:avLst/>
        </a:prstGeom>
      </xdr:spPr>
    </xdr:pic>
    <xdr:clientData/>
  </xdr:twoCellAnchor>
  <xdr:twoCellAnchor editAs="oneCell">
    <xdr:from>
      <xdr:col>1</xdr:col>
      <xdr:colOff>1569938</xdr:colOff>
      <xdr:row>1</xdr:row>
      <xdr:rowOff>3582605</xdr:rowOff>
    </xdr:from>
    <xdr:to>
      <xdr:col>2</xdr:col>
      <xdr:colOff>47128</xdr:colOff>
      <xdr:row>2</xdr:row>
      <xdr:rowOff>46623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58758D7-D9AE-4D28-8E13-F184DBD0F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5063" y="8662605"/>
          <a:ext cx="2001440" cy="12900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52</xdr:row>
      <xdr:rowOff>120650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52</xdr:row>
      <xdr:rowOff>165100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323850</xdr:colOff>
      <xdr:row>2</xdr:row>
      <xdr:rowOff>123825</xdr:rowOff>
    </xdr:from>
    <xdr:to>
      <xdr:col>2</xdr:col>
      <xdr:colOff>294586</xdr:colOff>
      <xdr:row>3</xdr:row>
      <xdr:rowOff>561975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9B2BDA4-8585-4555-B95B-A95B4D89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28625"/>
          <a:ext cx="856561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50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50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304800</xdr:colOff>
      <xdr:row>2</xdr:row>
      <xdr:rowOff>123825</xdr:rowOff>
    </xdr:from>
    <xdr:to>
      <xdr:col>2</xdr:col>
      <xdr:colOff>304800</xdr:colOff>
      <xdr:row>3</xdr:row>
      <xdr:rowOff>583568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FF69A7B-4C4B-40B4-A090-21957D0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" y="428625"/>
          <a:ext cx="885825" cy="65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28575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142875</xdr:colOff>
      <xdr:row>34</xdr:row>
      <xdr:rowOff>38100</xdr:rowOff>
    </xdr:from>
    <xdr:to>
      <xdr:col>4</xdr:col>
      <xdr:colOff>57152</xdr:colOff>
      <xdr:row>48</xdr:row>
      <xdr:rowOff>152399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18D57470-C8CE-41B0-9D13-6A6BBB738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57150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629D853-21F0-440B-8467-D525E11B1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47625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E71C72E-6C87-4172-9D38-6702F73C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0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38100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38100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2</xdr:row>
      <xdr:rowOff>219074</xdr:rowOff>
    </xdr:from>
    <xdr:ext cx="907958" cy="664845"/>
    <xdr:pic>
      <xdr:nvPicPr>
        <xdr:cNvPr id="9" name="Obrázek 8">
          <a:extLst>
            <a:ext uri="{FF2B5EF4-FFF2-40B4-BE49-F238E27FC236}">
              <a16:creationId xmlns:a16="http://schemas.microsoft.com/office/drawing/2014/main" id="{128EAC60-D702-4C8D-9840-8CEF24BEB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142875</xdr:rowOff>
    </xdr:from>
    <xdr:to>
      <xdr:col>10</xdr:col>
      <xdr:colOff>514350</xdr:colOff>
      <xdr:row>51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DD8DFCA-E82F-41D8-A381-19E5A72BA2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07F0B3E-169F-4537-9F96-F049448E9B4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06C6586-9FAF-4817-8031-B05116C8F8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673EDCB-75E3-4F3B-BB02-5BA3B0C555A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0B09FD-1449-4C7A-B229-FE5161C0E3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E987EE-9B6D-4116-94DD-D57C37C43C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3</xdr:row>
      <xdr:rowOff>0</xdr:rowOff>
    </xdr:from>
    <xdr:to>
      <xdr:col>2</xdr:col>
      <xdr:colOff>562645</xdr:colOff>
      <xdr:row>4</xdr:row>
      <xdr:rowOff>224567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A8F6B51-CF59-4EAA-97E8-5C6B3469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0" y="561975"/>
          <a:ext cx="629320" cy="472217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2F6A0A5-6A79-40E3-8C88-7D3D2D3B3A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54878A7-DCE0-436D-8028-DA1754B454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31EF213-6A00-47A5-B2D1-727FB9F552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1ADB51C-49D1-44A8-B337-9B8FC24F5E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11E01AE-7DD8-4700-8982-312544949A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E5F0081-9F62-4837-A907-02B4B807B1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4F0F9BD-7560-4F1F-8688-41811DE6FA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3617210-72F0-49B8-9D80-B4BC7EF57C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30</xdr:row>
      <xdr:rowOff>19050</xdr:rowOff>
    </xdr:from>
    <xdr:to>
      <xdr:col>4</xdr:col>
      <xdr:colOff>85726</xdr:colOff>
      <xdr:row>48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DDB014C-3084-4834-A9A1-0C3CADB0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52450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346721-374F-4FC6-81DE-B331FE4F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EAEC643-C980-4362-944D-F20F51F4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D4A0FEE-D3B4-4739-A6DF-7E809BD4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19049</xdr:rowOff>
    </xdr:from>
    <xdr:to>
      <xdr:col>1</xdr:col>
      <xdr:colOff>189265</xdr:colOff>
      <xdr:row>3</xdr:row>
      <xdr:rowOff>549524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847E974-281E-441B-9F27-C60104D0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29</xdr:row>
      <xdr:rowOff>19049</xdr:rowOff>
    </xdr:from>
    <xdr:ext cx="722665" cy="530475"/>
    <xdr:pic>
      <xdr:nvPicPr>
        <xdr:cNvPr id="6" name="Obrázek 5">
          <a:extLst>
            <a:ext uri="{FF2B5EF4-FFF2-40B4-BE49-F238E27FC236}">
              <a16:creationId xmlns:a16="http://schemas.microsoft.com/office/drawing/2014/main" id="{B6158311-4EF9-4A85-B6CF-CE21169F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20</xdr:col>
      <xdr:colOff>28575</xdr:colOff>
      <xdr:row>38</xdr:row>
      <xdr:rowOff>128386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01E71F8-84D4-46A9-8E1E-57EEF4063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7725"/>
          <a:ext cx="6324600" cy="61767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26</xdr:row>
      <xdr:rowOff>26670</xdr:rowOff>
    </xdr:from>
    <xdr:to>
      <xdr:col>9</xdr:col>
      <xdr:colOff>26671</xdr:colOff>
      <xdr:row>46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26</xdr:row>
      <xdr:rowOff>22859</xdr:rowOff>
    </xdr:from>
    <xdr:to>
      <xdr:col>18</xdr:col>
      <xdr:colOff>472441</xdr:colOff>
      <xdr:row>46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51</xdr:row>
      <xdr:rowOff>157162</xdr:rowOff>
    </xdr:from>
    <xdr:to>
      <xdr:col>5</xdr:col>
      <xdr:colOff>286868</xdr:colOff>
      <xdr:row>57</xdr:row>
      <xdr:rowOff>130478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D0FE0CE-B882-40A6-AACC-02B880A69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8310562"/>
          <a:ext cx="3633318" cy="925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17463</xdr:rowOff>
    </xdr:from>
    <xdr:to>
      <xdr:col>8</xdr:col>
      <xdr:colOff>457201</xdr:colOff>
      <xdr:row>44</xdr:row>
      <xdr:rowOff>88900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27</xdr:row>
      <xdr:rowOff>17462</xdr:rowOff>
    </xdr:from>
    <xdr:to>
      <xdr:col>19</xdr:col>
      <xdr:colOff>380999</xdr:colOff>
      <xdr:row>44</xdr:row>
      <xdr:rowOff>107950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9525</xdr:rowOff>
    </xdr:from>
    <xdr:to>
      <xdr:col>6</xdr:col>
      <xdr:colOff>266700</xdr:colOff>
      <xdr:row>40</xdr:row>
      <xdr:rowOff>107950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26</xdr:row>
      <xdr:rowOff>47625</xdr:rowOff>
    </xdr:from>
    <xdr:to>
      <xdr:col>13</xdr:col>
      <xdr:colOff>285751</xdr:colOff>
      <xdr:row>40</xdr:row>
      <xdr:rowOff>114300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26</xdr:row>
      <xdr:rowOff>19049</xdr:rowOff>
    </xdr:from>
    <xdr:to>
      <xdr:col>20</xdr:col>
      <xdr:colOff>476250</xdr:colOff>
      <xdr:row>40</xdr:row>
      <xdr:rowOff>88900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42</xdr:row>
      <xdr:rowOff>47625</xdr:rowOff>
    </xdr:from>
    <xdr:to>
      <xdr:col>3</xdr:col>
      <xdr:colOff>523874</xdr:colOff>
      <xdr:row>50</xdr:row>
      <xdr:rowOff>228599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42</xdr:row>
      <xdr:rowOff>38100</xdr:rowOff>
    </xdr:from>
    <xdr:to>
      <xdr:col>6</xdr:col>
      <xdr:colOff>495300</xdr:colOff>
      <xdr:row>50</xdr:row>
      <xdr:rowOff>219075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42</xdr:row>
      <xdr:rowOff>38100</xdr:rowOff>
    </xdr:from>
    <xdr:to>
      <xdr:col>9</xdr:col>
      <xdr:colOff>485775</xdr:colOff>
      <xdr:row>50</xdr:row>
      <xdr:rowOff>209550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57150</xdr:rowOff>
    </xdr:from>
    <xdr:to>
      <xdr:col>6</xdr:col>
      <xdr:colOff>295275</xdr:colOff>
      <xdr:row>52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47626</xdr:rowOff>
    </xdr:from>
    <xdr:to>
      <xdr:col>10</xdr:col>
      <xdr:colOff>228600</xdr:colOff>
      <xdr:row>52</xdr:row>
      <xdr:rowOff>152400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333375</xdr:colOff>
      <xdr:row>3</xdr:row>
      <xdr:rowOff>161925</xdr:rowOff>
    </xdr:from>
    <xdr:to>
      <xdr:col>2</xdr:col>
      <xdr:colOff>303862</xdr:colOff>
      <xdr:row>4</xdr:row>
      <xdr:rowOff>600075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CA5F219-B358-4BE5-89F0-6C82426C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723900"/>
          <a:ext cx="856312" cy="62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28576</xdr:rowOff>
    </xdr:from>
    <xdr:to>
      <xdr:col>6</xdr:col>
      <xdr:colOff>247650</xdr:colOff>
      <xdr:row>52</xdr:row>
      <xdr:rowOff>158750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85726</xdr:colOff>
      <xdr:row>37</xdr:row>
      <xdr:rowOff>57151</xdr:rowOff>
    </xdr:from>
    <xdr:to>
      <xdr:col>10</xdr:col>
      <xdr:colOff>19050</xdr:colOff>
      <xdr:row>52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239378</xdr:colOff>
      <xdr:row>4</xdr:row>
      <xdr:rowOff>202531</xdr:rowOff>
    </xdr:from>
    <xdr:to>
      <xdr:col>2</xdr:col>
      <xdr:colOff>53640</xdr:colOff>
      <xdr:row>4</xdr:row>
      <xdr:rowOff>254167</xdr:rowOff>
    </xdr:to>
    <xdr:sp macro="" textlink="">
      <xdr:nvSpPr>
        <xdr:cNvPr id="12" name="Volný tvar: obrazec 11">
          <a:extLst>
            <a:ext uri="{FF2B5EF4-FFF2-40B4-BE49-F238E27FC236}">
              <a16:creationId xmlns:a16="http://schemas.microsoft.com/office/drawing/2014/main" id="{DB01A8B9-E390-4F63-A3F6-B16E7BA119F9}"/>
            </a:ext>
          </a:extLst>
        </xdr:cNvPr>
        <xdr:cNvSpPr/>
      </xdr:nvSpPr>
      <xdr:spPr>
        <a:xfrm>
          <a:off x="868028" y="955006"/>
          <a:ext cx="71437" cy="51636"/>
        </a:xfrm>
        <a:custGeom>
          <a:avLst/>
          <a:gdLst>
            <a:gd name="connsiteX0" fmla="*/ 0 w 3305175"/>
            <a:gd name="connsiteY0" fmla="*/ 771525 h 2552700"/>
            <a:gd name="connsiteX1" fmla="*/ 514350 w 3305175"/>
            <a:gd name="connsiteY1" fmla="*/ 514350 h 2552700"/>
            <a:gd name="connsiteX2" fmla="*/ 647700 w 3305175"/>
            <a:gd name="connsiteY2" fmla="*/ 647700 h 2552700"/>
            <a:gd name="connsiteX3" fmla="*/ 904875 w 3305175"/>
            <a:gd name="connsiteY3" fmla="*/ 628650 h 2552700"/>
            <a:gd name="connsiteX4" fmla="*/ 933450 w 3305175"/>
            <a:gd name="connsiteY4" fmla="*/ 342900 h 2552700"/>
            <a:gd name="connsiteX5" fmla="*/ 1066800 w 3305175"/>
            <a:gd name="connsiteY5" fmla="*/ 314325 h 2552700"/>
            <a:gd name="connsiteX6" fmla="*/ 1123950 w 3305175"/>
            <a:gd name="connsiteY6" fmla="*/ 381000 h 2552700"/>
            <a:gd name="connsiteX7" fmla="*/ 1781175 w 3305175"/>
            <a:gd name="connsiteY7" fmla="*/ 28575 h 2552700"/>
            <a:gd name="connsiteX8" fmla="*/ 2085975 w 3305175"/>
            <a:gd name="connsiteY8" fmla="*/ 0 h 2552700"/>
            <a:gd name="connsiteX9" fmla="*/ 2447925 w 3305175"/>
            <a:gd name="connsiteY9" fmla="*/ 285750 h 2552700"/>
            <a:gd name="connsiteX10" fmla="*/ 2600325 w 3305175"/>
            <a:gd name="connsiteY10" fmla="*/ 533400 h 2552700"/>
            <a:gd name="connsiteX11" fmla="*/ 2933700 w 3305175"/>
            <a:gd name="connsiteY11" fmla="*/ 581025 h 2552700"/>
            <a:gd name="connsiteX12" fmla="*/ 3305175 w 3305175"/>
            <a:gd name="connsiteY12" fmla="*/ 1038225 h 2552700"/>
            <a:gd name="connsiteX13" fmla="*/ 2867025 w 3305175"/>
            <a:gd name="connsiteY13" fmla="*/ 1295400 h 2552700"/>
            <a:gd name="connsiteX14" fmla="*/ 3067050 w 3305175"/>
            <a:gd name="connsiteY14" fmla="*/ 1752600 h 2552700"/>
            <a:gd name="connsiteX15" fmla="*/ 2847975 w 3305175"/>
            <a:gd name="connsiteY15" fmla="*/ 1981200 h 2552700"/>
            <a:gd name="connsiteX16" fmla="*/ 2371725 w 3305175"/>
            <a:gd name="connsiteY16" fmla="*/ 1781175 h 2552700"/>
            <a:gd name="connsiteX17" fmla="*/ 1400175 w 3305175"/>
            <a:gd name="connsiteY17" fmla="*/ 2295525 h 2552700"/>
            <a:gd name="connsiteX18" fmla="*/ 1143000 w 3305175"/>
            <a:gd name="connsiteY18" fmla="*/ 2228850 h 2552700"/>
            <a:gd name="connsiteX19" fmla="*/ 1143000 w 3305175"/>
            <a:gd name="connsiteY19" fmla="*/ 2552700 h 2552700"/>
            <a:gd name="connsiteX20" fmla="*/ 676275 w 3305175"/>
            <a:gd name="connsiteY20" fmla="*/ 2447925 h 2552700"/>
            <a:gd name="connsiteX21" fmla="*/ 571500 w 3305175"/>
            <a:gd name="connsiteY21" fmla="*/ 1771650 h 2552700"/>
            <a:gd name="connsiteX22" fmla="*/ 104775 w 3305175"/>
            <a:gd name="connsiteY22" fmla="*/ 1333500 h 2552700"/>
            <a:gd name="connsiteX23" fmla="*/ 381000 w 3305175"/>
            <a:gd name="connsiteY23" fmla="*/ 1066800 h 2552700"/>
            <a:gd name="connsiteX24" fmla="*/ 0 w 3305175"/>
            <a:gd name="connsiteY24" fmla="*/ 771525 h 2552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3305175" h="2552700">
              <a:moveTo>
                <a:pt x="0" y="771525"/>
              </a:moveTo>
              <a:lnTo>
                <a:pt x="514350" y="514350"/>
              </a:lnTo>
              <a:lnTo>
                <a:pt x="647700" y="647700"/>
              </a:lnTo>
              <a:lnTo>
                <a:pt x="904875" y="628650"/>
              </a:lnTo>
              <a:lnTo>
                <a:pt x="933450" y="342900"/>
              </a:lnTo>
              <a:lnTo>
                <a:pt x="1066800" y="314325"/>
              </a:lnTo>
              <a:lnTo>
                <a:pt x="1123950" y="381000"/>
              </a:lnTo>
              <a:lnTo>
                <a:pt x="1781175" y="28575"/>
              </a:lnTo>
              <a:lnTo>
                <a:pt x="2085975" y="0"/>
              </a:lnTo>
              <a:lnTo>
                <a:pt x="2447925" y="285750"/>
              </a:lnTo>
              <a:lnTo>
                <a:pt x="2600325" y="533400"/>
              </a:lnTo>
              <a:lnTo>
                <a:pt x="2933700" y="581025"/>
              </a:lnTo>
              <a:lnTo>
                <a:pt x="3305175" y="1038225"/>
              </a:lnTo>
              <a:lnTo>
                <a:pt x="2867025" y="1295400"/>
              </a:lnTo>
              <a:lnTo>
                <a:pt x="3067050" y="1752600"/>
              </a:lnTo>
              <a:lnTo>
                <a:pt x="2847975" y="1981200"/>
              </a:lnTo>
              <a:lnTo>
                <a:pt x="2371725" y="1781175"/>
              </a:lnTo>
              <a:lnTo>
                <a:pt x="1400175" y="2295525"/>
              </a:lnTo>
              <a:lnTo>
                <a:pt x="1143000" y="2228850"/>
              </a:lnTo>
              <a:lnTo>
                <a:pt x="1143000" y="2552700"/>
              </a:lnTo>
              <a:lnTo>
                <a:pt x="676275" y="2447925"/>
              </a:lnTo>
              <a:lnTo>
                <a:pt x="571500" y="1771650"/>
              </a:lnTo>
              <a:lnTo>
                <a:pt x="104775" y="1333500"/>
              </a:lnTo>
              <a:lnTo>
                <a:pt x="381000" y="1066800"/>
              </a:lnTo>
              <a:lnTo>
                <a:pt x="0" y="771525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0</xdr:col>
      <xdr:colOff>323850</xdr:colOff>
      <xdr:row>3</xdr:row>
      <xdr:rowOff>28575</xdr:rowOff>
    </xdr:from>
    <xdr:to>
      <xdr:col>2</xdr:col>
      <xdr:colOff>295275</xdr:colOff>
      <xdr:row>4</xdr:row>
      <xdr:rowOff>28423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9C67806-0819-47C3-91A3-A85E2A7CC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95300"/>
          <a:ext cx="857250" cy="6284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52</xdr:row>
      <xdr:rowOff>158750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37</xdr:row>
      <xdr:rowOff>47625</xdr:rowOff>
    </xdr:from>
    <xdr:to>
      <xdr:col>6</xdr:col>
      <xdr:colOff>295275</xdr:colOff>
      <xdr:row>52</xdr:row>
      <xdr:rowOff>146050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314326</xdr:colOff>
      <xdr:row>2</xdr:row>
      <xdr:rowOff>142876</xdr:rowOff>
    </xdr:from>
    <xdr:to>
      <xdr:col>2</xdr:col>
      <xdr:colOff>286697</xdr:colOff>
      <xdr:row>3</xdr:row>
      <xdr:rowOff>581026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B611F01-5990-4EE6-985D-4D5B1F8E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6" y="447676"/>
          <a:ext cx="858196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EE4A-A0B5-4F83-9926-315C635D1C0E}">
  <sheetPr codeName="List1"/>
  <dimension ref="A1:K50"/>
  <sheetViews>
    <sheetView showGridLines="0" tabSelected="1" showWhiteSpace="0" zoomScaleNormal="100" zoomScaleSheetLayoutView="70" zoomScalePageLayoutView="70" workbookViewId="0">
      <selection activeCell="D1" sqref="D1"/>
    </sheetView>
  </sheetViews>
  <sheetFormatPr defaultColWidth="9.140625" defaultRowHeight="12.75"/>
  <cols>
    <col min="1" max="1" width="41.5703125" style="134" customWidth="1"/>
    <col min="2" max="2" width="50.42578125" style="134" customWidth="1"/>
    <col min="3" max="9" width="9.85546875" style="134" customWidth="1"/>
    <col min="10" max="10" width="10.28515625" style="134" customWidth="1"/>
    <col min="11" max="16384" width="9.140625" style="134"/>
  </cols>
  <sheetData>
    <row r="1" spans="1:11" ht="399.75" customHeight="1">
      <c r="A1" s="404" t="s">
        <v>318</v>
      </c>
      <c r="B1" s="405"/>
    </row>
    <row r="2" spans="1:11" ht="380.1" customHeight="1">
      <c r="A2" s="135"/>
      <c r="B2" s="136"/>
      <c r="C2" s="137"/>
      <c r="D2" s="137"/>
      <c r="E2" s="137"/>
      <c r="F2" s="137"/>
      <c r="G2" s="137"/>
      <c r="H2" s="137"/>
      <c r="I2" s="137"/>
      <c r="J2" s="137"/>
      <c r="K2" s="134" t="s">
        <v>257</v>
      </c>
    </row>
    <row r="3" spans="1:11">
      <c r="B3" s="138"/>
      <c r="D3" s="139"/>
      <c r="E3" s="140"/>
      <c r="F3" s="140"/>
      <c r="G3" s="140"/>
      <c r="J3" s="141"/>
    </row>
    <row r="9" spans="1:11">
      <c r="B9" s="142"/>
      <c r="I9" s="143"/>
    </row>
    <row r="10" spans="1:11">
      <c r="B10" s="144"/>
      <c r="C10" s="145"/>
    </row>
    <row r="11" spans="1:11">
      <c r="B11" s="144"/>
      <c r="C11" s="145"/>
    </row>
    <row r="12" spans="1:11">
      <c r="B12" s="144"/>
      <c r="C12" s="145"/>
    </row>
    <row r="13" spans="1:11">
      <c r="A13" s="146"/>
      <c r="B13" s="147"/>
      <c r="C13" s="148"/>
      <c r="D13" s="146"/>
      <c r="E13" s="146"/>
      <c r="F13" s="146"/>
      <c r="G13" s="146"/>
      <c r="H13" s="146"/>
      <c r="I13" s="146"/>
      <c r="J13" s="146"/>
    </row>
    <row r="14" spans="1:11">
      <c r="A14" s="146"/>
      <c r="B14" s="147"/>
      <c r="C14" s="148"/>
      <c r="D14" s="146"/>
      <c r="E14" s="146"/>
      <c r="F14" s="146"/>
      <c r="G14" s="146"/>
      <c r="H14" s="146"/>
      <c r="I14" s="146"/>
      <c r="J14" s="146"/>
    </row>
    <row r="15" spans="1:11">
      <c r="A15" s="146"/>
      <c r="B15" s="147"/>
      <c r="C15" s="148"/>
      <c r="D15" s="146"/>
      <c r="E15" s="146"/>
      <c r="F15" s="146"/>
      <c r="G15" s="146"/>
      <c r="H15" s="146"/>
      <c r="I15" s="146"/>
      <c r="J15" s="146"/>
    </row>
    <row r="16" spans="1:11">
      <c r="A16" s="146"/>
      <c r="B16" s="147"/>
      <c r="C16" s="148"/>
      <c r="D16" s="146"/>
      <c r="E16" s="146"/>
      <c r="F16" s="146"/>
      <c r="G16" s="146"/>
      <c r="H16" s="146"/>
      <c r="I16" s="146"/>
      <c r="J16" s="146"/>
    </row>
    <row r="17" spans="1:10">
      <c r="A17" s="146"/>
      <c r="B17" s="147"/>
      <c r="C17" s="148"/>
      <c r="D17" s="146"/>
      <c r="E17" s="146"/>
      <c r="F17" s="146"/>
      <c r="G17" s="146"/>
      <c r="H17" s="146"/>
      <c r="I17" s="146"/>
      <c r="J17" s="146"/>
    </row>
    <row r="18" spans="1:10">
      <c r="A18" s="146"/>
      <c r="B18" s="147"/>
      <c r="C18" s="148"/>
      <c r="D18" s="146"/>
      <c r="E18" s="146"/>
      <c r="F18" s="146"/>
      <c r="G18" s="146"/>
      <c r="H18" s="146"/>
      <c r="I18" s="146"/>
      <c r="J18" s="146"/>
    </row>
    <row r="19" spans="1:10">
      <c r="A19" s="146"/>
      <c r="B19" s="147"/>
      <c r="C19" s="148"/>
      <c r="D19" s="146"/>
      <c r="E19" s="146"/>
      <c r="F19" s="146"/>
      <c r="G19" s="146"/>
      <c r="H19" s="146"/>
      <c r="I19" s="146"/>
      <c r="J19" s="146"/>
    </row>
    <row r="21" spans="1:10">
      <c r="A21" s="146"/>
      <c r="B21" s="147"/>
      <c r="C21" s="148"/>
      <c r="D21" s="146"/>
      <c r="E21" s="146"/>
      <c r="F21" s="146"/>
      <c r="G21" s="146"/>
      <c r="H21" s="146"/>
      <c r="I21" s="146"/>
      <c r="J21" s="146"/>
    </row>
    <row r="22" spans="1:10">
      <c r="A22" s="146"/>
      <c r="B22" s="147"/>
      <c r="C22" s="148"/>
      <c r="D22" s="146"/>
      <c r="E22" s="146"/>
      <c r="F22" s="146"/>
      <c r="G22" s="146"/>
      <c r="H22" s="146"/>
      <c r="I22" s="146"/>
      <c r="J22" s="146"/>
    </row>
    <row r="23" spans="1:10">
      <c r="A23" s="146"/>
      <c r="B23" s="147"/>
      <c r="C23" s="148"/>
      <c r="D23" s="146"/>
      <c r="E23" s="146"/>
      <c r="F23" s="146"/>
      <c r="G23" s="146"/>
      <c r="H23" s="146"/>
      <c r="I23" s="146"/>
      <c r="J23" s="146"/>
    </row>
    <row r="25" spans="1:10">
      <c r="A25" s="146"/>
      <c r="C25" s="148"/>
      <c r="D25" s="146"/>
      <c r="E25" s="146"/>
      <c r="F25" s="146"/>
      <c r="G25" s="146"/>
      <c r="H25" s="146"/>
      <c r="I25" s="146"/>
      <c r="J25" s="146"/>
    </row>
    <row r="26" spans="1:10">
      <c r="A26" s="146"/>
      <c r="C26" s="148"/>
      <c r="D26" s="146"/>
      <c r="E26" s="146"/>
      <c r="F26" s="146"/>
      <c r="G26" s="146"/>
      <c r="H26" s="146"/>
      <c r="I26" s="146"/>
      <c r="J26" s="146"/>
    </row>
    <row r="27" spans="1:10">
      <c r="A27" s="146"/>
      <c r="C27" s="148"/>
      <c r="D27" s="146"/>
      <c r="E27" s="146"/>
      <c r="F27" s="146"/>
      <c r="G27" s="146"/>
      <c r="H27" s="146"/>
      <c r="I27" s="146"/>
      <c r="J27" s="146"/>
    </row>
    <row r="28" spans="1:10">
      <c r="A28" s="406"/>
      <c r="B28" s="406"/>
      <c r="C28" s="406"/>
      <c r="D28" s="406"/>
      <c r="E28" s="406"/>
      <c r="F28" s="406"/>
      <c r="G28" s="406"/>
      <c r="H28" s="406"/>
      <c r="I28" s="406"/>
      <c r="J28" s="406"/>
    </row>
    <row r="29" spans="1:10">
      <c r="A29" s="146"/>
      <c r="B29" s="147"/>
      <c r="C29" s="148"/>
      <c r="D29" s="146"/>
      <c r="E29" s="146"/>
      <c r="F29" s="146"/>
      <c r="G29" s="146"/>
      <c r="H29" s="146"/>
      <c r="I29" s="146"/>
      <c r="J29" s="146"/>
    </row>
    <row r="31" spans="1:10">
      <c r="A31" s="146"/>
      <c r="B31" s="147"/>
      <c r="C31" s="148"/>
      <c r="D31" s="146"/>
      <c r="E31" s="146"/>
      <c r="F31" s="146"/>
      <c r="G31" s="146"/>
      <c r="H31" s="146"/>
      <c r="I31" s="146"/>
      <c r="J31" s="146"/>
    </row>
    <row r="32" spans="1:10">
      <c r="A32" s="146"/>
      <c r="B32" s="147"/>
      <c r="C32" s="148"/>
      <c r="D32" s="146"/>
      <c r="E32" s="146"/>
      <c r="F32" s="146"/>
      <c r="G32" s="146"/>
      <c r="H32" s="146"/>
      <c r="I32" s="146"/>
      <c r="J32" s="146"/>
    </row>
    <row r="33" spans="1:10">
      <c r="A33" s="407"/>
      <c r="B33" s="407"/>
      <c r="C33" s="407"/>
      <c r="D33" s="407"/>
      <c r="E33" s="407"/>
      <c r="F33" s="407"/>
      <c r="G33" s="407"/>
      <c r="H33" s="407"/>
      <c r="I33" s="407"/>
      <c r="J33" s="407"/>
    </row>
    <row r="34" spans="1:10">
      <c r="B34" s="141"/>
      <c r="C34" s="141"/>
      <c r="D34" s="141"/>
      <c r="E34" s="141"/>
      <c r="F34" s="141"/>
      <c r="G34" s="141"/>
      <c r="H34" s="141"/>
      <c r="I34" s="141"/>
      <c r="J34" s="141"/>
    </row>
    <row r="37" spans="1:10">
      <c r="B37" s="144"/>
      <c r="C37" s="145"/>
    </row>
    <row r="39" spans="1:10">
      <c r="B39" s="149"/>
      <c r="C39" s="149"/>
      <c r="D39" s="149"/>
      <c r="E39" s="149"/>
      <c r="F39" s="149"/>
      <c r="G39" s="149"/>
      <c r="H39" s="149"/>
      <c r="I39" s="149"/>
    </row>
    <row r="50" spans="1:10">
      <c r="A50" s="408"/>
      <c r="B50" s="408"/>
      <c r="C50" s="408"/>
      <c r="D50" s="408"/>
      <c r="E50" s="408"/>
      <c r="F50" s="408"/>
      <c r="G50" s="408"/>
      <c r="H50" s="408"/>
      <c r="I50" s="408"/>
      <c r="J50" s="408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5"/>
  <sheetViews>
    <sheetView showGridLines="0" topLeftCell="A22" zoomScaleNormal="100" zoomScaleSheetLayoutView="100" workbookViewId="0">
      <selection activeCell="D1" sqref="D1"/>
    </sheetView>
  </sheetViews>
  <sheetFormatPr defaultColWidth="9.140625" defaultRowHeight="12.75"/>
  <cols>
    <col min="1" max="1" width="18.42578125" style="76" customWidth="1"/>
    <col min="2" max="10" width="9" style="76" customWidth="1"/>
    <col min="11" max="12" width="7.7109375" style="76" customWidth="1"/>
    <col min="13" max="13" width="9.28515625" style="76" bestFit="1" customWidth="1"/>
    <col min="14" max="14" width="9.85546875" style="76" bestFit="1" customWidth="1"/>
    <col min="15" max="16384" width="9.140625" style="76"/>
  </cols>
  <sheetData>
    <row r="1" spans="1:10" ht="18">
      <c r="A1" s="462" t="s">
        <v>294</v>
      </c>
      <c r="B1" s="462"/>
      <c r="C1" s="462"/>
      <c r="D1" s="462"/>
      <c r="E1" s="462"/>
      <c r="F1" s="462"/>
      <c r="G1" s="462"/>
      <c r="H1" s="462"/>
      <c r="I1" s="462"/>
      <c r="J1" s="462"/>
    </row>
    <row r="2" spans="1:10" ht="6" customHeight="1">
      <c r="A2" s="253"/>
      <c r="B2" s="254"/>
      <c r="C2" s="254"/>
      <c r="D2" s="254"/>
      <c r="E2" s="254"/>
      <c r="F2" s="254"/>
      <c r="G2" s="254"/>
      <c r="H2" s="254"/>
      <c r="I2" s="254"/>
      <c r="J2" s="254"/>
    </row>
    <row r="3" spans="1:10" ht="15.75" customHeight="1">
      <c r="A3" s="299">
        <f>'3.1'!A4</f>
        <v>2023</v>
      </c>
      <c r="B3" s="464" t="str">
        <f>'3.1'!D5</f>
        <v>Říjen</v>
      </c>
      <c r="C3" s="463"/>
      <c r="D3" s="465"/>
      <c r="E3" s="463" t="str">
        <f>'3.1'!E5</f>
        <v>Listopad</v>
      </c>
      <c r="F3" s="463"/>
      <c r="G3" s="463"/>
      <c r="H3" s="464" t="str">
        <f>'3.1'!F5</f>
        <v>Prosinec</v>
      </c>
      <c r="I3" s="463"/>
      <c r="J3" s="463"/>
    </row>
    <row r="4" spans="1:10" ht="28.5" customHeight="1">
      <c r="A4" s="273"/>
      <c r="B4" s="466" t="s">
        <v>60</v>
      </c>
      <c r="C4" s="467"/>
      <c r="D4" s="222" t="s">
        <v>183</v>
      </c>
      <c r="E4" s="467" t="s">
        <v>60</v>
      </c>
      <c r="F4" s="467"/>
      <c r="G4" s="219" t="s">
        <v>183</v>
      </c>
      <c r="H4" s="466" t="s">
        <v>60</v>
      </c>
      <c r="I4" s="467"/>
      <c r="J4" s="219" t="s">
        <v>183</v>
      </c>
    </row>
    <row r="5" spans="1:10" ht="15" customHeight="1">
      <c r="A5" s="261" t="s">
        <v>175</v>
      </c>
      <c r="B5" s="221" t="s">
        <v>259</v>
      </c>
      <c r="C5" s="219" t="s">
        <v>260</v>
      </c>
      <c r="D5" s="222" t="s">
        <v>228</v>
      </c>
      <c r="E5" s="219" t="s">
        <v>259</v>
      </c>
      <c r="F5" s="219" t="s">
        <v>260</v>
      </c>
      <c r="G5" s="219" t="s">
        <v>228</v>
      </c>
      <c r="H5" s="221" t="s">
        <v>259</v>
      </c>
      <c r="I5" s="219" t="s">
        <v>260</v>
      </c>
      <c r="J5" s="219" t="s">
        <v>228</v>
      </c>
    </row>
    <row r="6" spans="1:10" ht="12.6" customHeight="1">
      <c r="A6" s="154">
        <v>1</v>
      </c>
      <c r="B6" s="155">
        <v>8929.8550735451445</v>
      </c>
      <c r="C6" s="156">
        <v>97993.689745677417</v>
      </c>
      <c r="D6" s="267">
        <v>13.3</v>
      </c>
      <c r="E6" s="156">
        <v>18179.400337879666</v>
      </c>
      <c r="F6" s="156">
        <v>198729.83087000003</v>
      </c>
      <c r="G6" s="255">
        <v>9.3000000000000007</v>
      </c>
      <c r="H6" s="155">
        <v>34917.661119200326</v>
      </c>
      <c r="I6" s="156">
        <v>380893.23182141938</v>
      </c>
      <c r="J6" s="255">
        <v>-1.6</v>
      </c>
    </row>
    <row r="7" spans="1:10" ht="12.6" customHeight="1">
      <c r="A7" s="154">
        <v>2</v>
      </c>
      <c r="B7" s="155">
        <v>12062.812235748468</v>
      </c>
      <c r="C7" s="156">
        <v>132334.15574567742</v>
      </c>
      <c r="D7" s="267">
        <v>15.4</v>
      </c>
      <c r="E7" s="156">
        <v>18376.064867080688</v>
      </c>
      <c r="F7" s="156">
        <v>200881.98887000003</v>
      </c>
      <c r="G7" s="255">
        <v>10.1</v>
      </c>
      <c r="H7" s="155">
        <v>33603.542442011749</v>
      </c>
      <c r="I7" s="156">
        <v>366549.45682141936</v>
      </c>
      <c r="J7" s="255">
        <v>-3.6</v>
      </c>
    </row>
    <row r="8" spans="1:10" ht="12.6" customHeight="1">
      <c r="A8" s="154">
        <v>3</v>
      </c>
      <c r="B8" s="155">
        <v>10417.507338787536</v>
      </c>
      <c r="C8" s="156">
        <v>114312.05874567741</v>
      </c>
      <c r="D8" s="267">
        <v>17.600000000000001</v>
      </c>
      <c r="E8" s="156">
        <v>19668.276107255191</v>
      </c>
      <c r="F8" s="156">
        <v>215028.09987000003</v>
      </c>
      <c r="G8" s="255">
        <v>6.8</v>
      </c>
      <c r="H8" s="155">
        <v>33849.741997307545</v>
      </c>
      <c r="I8" s="156">
        <v>369184.46382141934</v>
      </c>
      <c r="J8" s="255">
        <v>-4.8</v>
      </c>
    </row>
    <row r="9" spans="1:10" ht="12.6" customHeight="1">
      <c r="A9" s="154">
        <v>4</v>
      </c>
      <c r="B9" s="155">
        <v>12229.951677639117</v>
      </c>
      <c r="C9" s="156">
        <v>134252.50874567742</v>
      </c>
      <c r="D9" s="267">
        <v>10.9</v>
      </c>
      <c r="E9" s="156">
        <v>16736.235842176236</v>
      </c>
      <c r="F9" s="156">
        <v>182953.89187000002</v>
      </c>
      <c r="G9" s="255">
        <v>6.7</v>
      </c>
      <c r="H9" s="155">
        <v>39884.228110855918</v>
      </c>
      <c r="I9" s="156">
        <v>434982.68282141938</v>
      </c>
      <c r="J9" s="255">
        <v>-5.7</v>
      </c>
    </row>
    <row r="10" spans="1:10" ht="12.6" customHeight="1">
      <c r="A10" s="154">
        <v>5</v>
      </c>
      <c r="B10" s="155">
        <v>13123.405272308413</v>
      </c>
      <c r="C10" s="156">
        <v>144051.56074567742</v>
      </c>
      <c r="D10" s="267">
        <v>10.3</v>
      </c>
      <c r="E10" s="156">
        <v>17277.206228474734</v>
      </c>
      <c r="F10" s="156">
        <v>188864.95787000004</v>
      </c>
      <c r="G10" s="255">
        <v>9.3000000000000007</v>
      </c>
      <c r="H10" s="155">
        <v>38519.212017497979</v>
      </c>
      <c r="I10" s="156">
        <v>420215.24282141938</v>
      </c>
      <c r="J10" s="255">
        <v>-2.9</v>
      </c>
    </row>
    <row r="11" spans="1:10" ht="12.6" customHeight="1">
      <c r="A11" s="154">
        <v>6</v>
      </c>
      <c r="B11" s="155">
        <v>12403.946535543922</v>
      </c>
      <c r="C11" s="156">
        <v>136188.61174567742</v>
      </c>
      <c r="D11" s="267">
        <v>11.5</v>
      </c>
      <c r="E11" s="156">
        <v>20473.369676415434</v>
      </c>
      <c r="F11" s="156">
        <v>223804.78387000004</v>
      </c>
      <c r="G11" s="255">
        <v>8.3000000000000007</v>
      </c>
      <c r="H11" s="155">
        <v>37299.402586535347</v>
      </c>
      <c r="I11" s="156">
        <v>406894.06382141938</v>
      </c>
      <c r="J11" s="255">
        <v>-0.8</v>
      </c>
    </row>
    <row r="12" spans="1:10" ht="12.6" customHeight="1">
      <c r="A12" s="154">
        <v>7</v>
      </c>
      <c r="B12" s="155">
        <v>9252.9054158540494</v>
      </c>
      <c r="C12" s="156">
        <v>101535.38074567741</v>
      </c>
      <c r="D12" s="267">
        <v>15.5</v>
      </c>
      <c r="E12" s="156">
        <v>20621.39440028687</v>
      </c>
      <c r="F12" s="156">
        <v>225426.29287000003</v>
      </c>
      <c r="G12" s="255">
        <v>7.5</v>
      </c>
      <c r="H12" s="155">
        <v>36380.597782497563</v>
      </c>
      <c r="I12" s="156">
        <v>396843.73082141933</v>
      </c>
      <c r="J12" s="255">
        <v>-0.9</v>
      </c>
    </row>
    <row r="13" spans="1:10" ht="12.6" customHeight="1">
      <c r="A13" s="154">
        <v>8</v>
      </c>
      <c r="B13" s="155">
        <v>11933.728760114824</v>
      </c>
      <c r="C13" s="156">
        <v>131006.55474567741</v>
      </c>
      <c r="D13" s="267">
        <v>9.5</v>
      </c>
      <c r="E13" s="156">
        <v>22328.663200178384</v>
      </c>
      <c r="F13" s="156">
        <v>244090.64387000003</v>
      </c>
      <c r="G13" s="255">
        <v>5.6</v>
      </c>
      <c r="H13" s="155">
        <v>33608.279413376651</v>
      </c>
      <c r="I13" s="156">
        <v>366547.81382141938</v>
      </c>
      <c r="J13" s="255">
        <v>-2.1</v>
      </c>
    </row>
    <row r="14" spans="1:10" ht="12.6" customHeight="1">
      <c r="A14" s="154">
        <v>9</v>
      </c>
      <c r="B14" s="155">
        <v>16326.771558405026</v>
      </c>
      <c r="C14" s="156">
        <v>179292.49474567742</v>
      </c>
      <c r="D14" s="267">
        <v>10.8</v>
      </c>
      <c r="E14" s="156">
        <v>22136.606250270892</v>
      </c>
      <c r="F14" s="156">
        <v>241991.25987000004</v>
      </c>
      <c r="G14" s="255">
        <v>5.5</v>
      </c>
      <c r="H14" s="155">
        <v>29979.316136939626</v>
      </c>
      <c r="I14" s="156">
        <v>326966.82982141938</v>
      </c>
      <c r="J14" s="255">
        <v>-0.3</v>
      </c>
    </row>
    <row r="15" spans="1:10" ht="12.6" customHeight="1">
      <c r="A15" s="154">
        <v>10</v>
      </c>
      <c r="B15" s="155">
        <v>15156.316557656224</v>
      </c>
      <c r="C15" s="156">
        <v>166346.74474567742</v>
      </c>
      <c r="D15" s="267">
        <v>13.7</v>
      </c>
      <c r="E15" s="156">
        <v>22000.026035817402</v>
      </c>
      <c r="F15" s="156">
        <v>240500.43687000003</v>
      </c>
      <c r="G15" s="255">
        <v>5.5</v>
      </c>
      <c r="H15" s="155">
        <v>29204.814777852756</v>
      </c>
      <c r="I15" s="156">
        <v>318517.51782141934</v>
      </c>
      <c r="J15" s="255">
        <v>2</v>
      </c>
    </row>
    <row r="16" spans="1:10" ht="12.6" customHeight="1">
      <c r="A16" s="154">
        <v>11</v>
      </c>
      <c r="B16" s="155">
        <v>12437.021151208522</v>
      </c>
      <c r="C16" s="156">
        <v>136485.50274567743</v>
      </c>
      <c r="D16" s="267">
        <v>15.7</v>
      </c>
      <c r="E16" s="156">
        <v>20763.316982202643</v>
      </c>
      <c r="F16" s="156">
        <v>226980.92387000003</v>
      </c>
      <c r="G16" s="255">
        <v>3.8</v>
      </c>
      <c r="H16" s="155">
        <v>29820.165201635347</v>
      </c>
      <c r="I16" s="156">
        <v>325223.53382141935</v>
      </c>
      <c r="J16" s="255">
        <v>4.8</v>
      </c>
    </row>
    <row r="17" spans="1:10" ht="12.6" customHeight="1">
      <c r="A17" s="154">
        <v>12</v>
      </c>
      <c r="B17" s="155">
        <v>13147.815052953603</v>
      </c>
      <c r="C17" s="156">
        <v>144304.05174567743</v>
      </c>
      <c r="D17" s="267">
        <v>15.1</v>
      </c>
      <c r="E17" s="156">
        <v>21483.503133605725</v>
      </c>
      <c r="F17" s="156">
        <v>234850.58787000005</v>
      </c>
      <c r="G17" s="255">
        <v>3.1</v>
      </c>
      <c r="H17" s="155">
        <v>30230.613683374551</v>
      </c>
      <c r="I17" s="156">
        <v>329704.66582141933</v>
      </c>
      <c r="J17" s="255">
        <v>4.5999999999999996</v>
      </c>
    </row>
    <row r="18" spans="1:10" ht="12.6" customHeight="1">
      <c r="A18" s="154">
        <v>13</v>
      </c>
      <c r="B18" s="155">
        <v>11130.423094627955</v>
      </c>
      <c r="C18" s="156">
        <v>122139.05274567741</v>
      </c>
      <c r="D18" s="268">
        <v>16.899999999999999</v>
      </c>
      <c r="E18" s="156">
        <v>24422.353991711527</v>
      </c>
      <c r="F18" s="156">
        <v>266972.63587000006</v>
      </c>
      <c r="G18" s="256">
        <v>5.0999999999999996</v>
      </c>
      <c r="H18" s="155">
        <v>29795.574936562305</v>
      </c>
      <c r="I18" s="156">
        <v>324977.05782141938</v>
      </c>
      <c r="J18" s="256">
        <v>4.0999999999999996</v>
      </c>
    </row>
    <row r="19" spans="1:10" ht="12.6" customHeight="1">
      <c r="A19" s="154">
        <v>14</v>
      </c>
      <c r="B19" s="155">
        <v>10479.160617987161</v>
      </c>
      <c r="C19" s="156">
        <v>114993.29974567742</v>
      </c>
      <c r="D19" s="268">
        <v>13.2</v>
      </c>
      <c r="E19" s="156">
        <v>22847.879908340135</v>
      </c>
      <c r="F19" s="156">
        <v>249769.56887000005</v>
      </c>
      <c r="G19" s="256">
        <v>9</v>
      </c>
      <c r="H19" s="155">
        <v>30027.499420806085</v>
      </c>
      <c r="I19" s="156">
        <v>327496.62182141934</v>
      </c>
      <c r="J19" s="256">
        <v>3.8</v>
      </c>
    </row>
    <row r="20" spans="1:10" ht="12.6" customHeight="1">
      <c r="A20" s="154">
        <v>15</v>
      </c>
      <c r="B20" s="155">
        <v>13740.037923208753</v>
      </c>
      <c r="C20" s="156">
        <v>150781.66874567742</v>
      </c>
      <c r="D20" s="268">
        <v>6</v>
      </c>
      <c r="E20" s="156">
        <v>22714.592065656358</v>
      </c>
      <c r="F20" s="156">
        <v>248310.07287000003</v>
      </c>
      <c r="G20" s="256">
        <v>7.5</v>
      </c>
      <c r="H20" s="155">
        <v>28202.358827793523</v>
      </c>
      <c r="I20" s="156">
        <v>307590.26582141937</v>
      </c>
      <c r="J20" s="256">
        <v>1.8</v>
      </c>
    </row>
    <row r="21" spans="1:10" ht="12.6" customHeight="1">
      <c r="A21" s="154">
        <v>16</v>
      </c>
      <c r="B21" s="155">
        <v>19821.476779078072</v>
      </c>
      <c r="C21" s="156">
        <v>217509.96074567741</v>
      </c>
      <c r="D21" s="268">
        <v>3.8</v>
      </c>
      <c r="E21" s="156">
        <v>21942.599323061153</v>
      </c>
      <c r="F21" s="156">
        <v>239871.56387000004</v>
      </c>
      <c r="G21" s="256">
        <v>5.9</v>
      </c>
      <c r="H21" s="155">
        <v>25219.401818131009</v>
      </c>
      <c r="I21" s="156">
        <v>275062.95782141935</v>
      </c>
      <c r="J21" s="256">
        <v>3.2</v>
      </c>
    </row>
    <row r="22" spans="1:10" ht="12.6" customHeight="1">
      <c r="A22" s="154">
        <v>17</v>
      </c>
      <c r="B22" s="155">
        <v>22103.488187778585</v>
      </c>
      <c r="C22" s="156">
        <v>242488.62574567742</v>
      </c>
      <c r="D22" s="268">
        <v>3.4</v>
      </c>
      <c r="E22" s="156">
        <v>22477.96925715014</v>
      </c>
      <c r="F22" s="156">
        <v>245723.85787000004</v>
      </c>
      <c r="G22" s="256">
        <v>3</v>
      </c>
      <c r="H22" s="155">
        <v>25841.403464617681</v>
      </c>
      <c r="I22" s="156">
        <v>281845.68982141936</v>
      </c>
      <c r="J22" s="256">
        <v>2.9</v>
      </c>
    </row>
    <row r="23" spans="1:10" ht="12.6" customHeight="1">
      <c r="A23" s="154">
        <v>18</v>
      </c>
      <c r="B23" s="155">
        <v>20846.544775312559</v>
      </c>
      <c r="C23" s="257">
        <v>228765.5917456774</v>
      </c>
      <c r="D23" s="269">
        <v>4.7</v>
      </c>
      <c r="E23" s="156">
        <v>22634.366378232768</v>
      </c>
      <c r="F23" s="257">
        <v>247429.19487000004</v>
      </c>
      <c r="G23" s="258">
        <v>1.9</v>
      </c>
      <c r="H23" s="155">
        <v>28652.942793936803</v>
      </c>
      <c r="I23" s="257">
        <v>312507.30282141938</v>
      </c>
      <c r="J23" s="258">
        <v>2.7</v>
      </c>
    </row>
    <row r="24" spans="1:10" ht="12.6" customHeight="1">
      <c r="A24" s="154">
        <v>19</v>
      </c>
      <c r="B24" s="155">
        <v>20060.290593418918</v>
      </c>
      <c r="C24" s="257">
        <v>220136.19074567742</v>
      </c>
      <c r="D24" s="269">
        <v>8.8000000000000007</v>
      </c>
      <c r="E24" s="156">
        <v>22975.414709049652</v>
      </c>
      <c r="F24" s="257">
        <v>251152.21587000004</v>
      </c>
      <c r="G24" s="258">
        <v>4.5999999999999996</v>
      </c>
      <c r="H24" s="155">
        <v>27842.058177709456</v>
      </c>
      <c r="I24" s="257">
        <v>303665.36382141936</v>
      </c>
      <c r="J24" s="258">
        <v>4.3</v>
      </c>
    </row>
    <row r="25" spans="1:10" ht="12.6" customHeight="1">
      <c r="A25" s="154">
        <v>20</v>
      </c>
      <c r="B25" s="155">
        <v>16491.52067701297</v>
      </c>
      <c r="C25" s="156">
        <v>180973.75974567741</v>
      </c>
      <c r="D25" s="268">
        <v>14.2</v>
      </c>
      <c r="E25" s="156">
        <v>24550.513073123388</v>
      </c>
      <c r="F25" s="156">
        <v>268316.53987000004</v>
      </c>
      <c r="G25" s="256">
        <v>7.8</v>
      </c>
      <c r="H25" s="155">
        <v>27724.566708809631</v>
      </c>
      <c r="I25" s="156">
        <v>302385.68582141935</v>
      </c>
      <c r="J25" s="256">
        <v>3.3</v>
      </c>
    </row>
    <row r="26" spans="1:10" ht="12.6" customHeight="1">
      <c r="A26" s="154">
        <v>21</v>
      </c>
      <c r="B26" s="155">
        <v>12309.392425327771</v>
      </c>
      <c r="C26" s="156">
        <v>135077.4507456774</v>
      </c>
      <c r="D26" s="268">
        <v>14.4</v>
      </c>
      <c r="E26" s="156">
        <v>27255.315336305237</v>
      </c>
      <c r="F26" s="156">
        <v>297749.28386999998</v>
      </c>
      <c r="G26" s="256">
        <v>4.9000000000000004</v>
      </c>
      <c r="H26" s="155">
        <v>26384.415099855509</v>
      </c>
      <c r="I26" s="156">
        <v>287772.23682141938</v>
      </c>
      <c r="J26" s="256">
        <v>4.9000000000000004</v>
      </c>
    </row>
    <row r="27" spans="1:10" ht="12.6" customHeight="1">
      <c r="A27" s="154">
        <v>22</v>
      </c>
      <c r="B27" s="155">
        <v>14040.369484690766</v>
      </c>
      <c r="C27" s="156">
        <v>154066.10074567742</v>
      </c>
      <c r="D27" s="268">
        <v>10.5</v>
      </c>
      <c r="E27" s="156">
        <v>30060.828787453505</v>
      </c>
      <c r="F27" s="156">
        <v>328615.54687000002</v>
      </c>
      <c r="G27" s="256">
        <v>-0.8</v>
      </c>
      <c r="H27" s="155">
        <v>26483.177068915273</v>
      </c>
      <c r="I27" s="156">
        <v>288852.35482141934</v>
      </c>
      <c r="J27" s="256">
        <v>1.9</v>
      </c>
    </row>
    <row r="28" spans="1:10" ht="12.6" customHeight="1">
      <c r="A28" s="154">
        <v>23</v>
      </c>
      <c r="B28" s="265">
        <v>18499.629474468904</v>
      </c>
      <c r="C28" s="259">
        <v>203005.41074567742</v>
      </c>
      <c r="D28" s="267">
        <v>9.6999999999999993</v>
      </c>
      <c r="E28" s="259">
        <v>28450.975007324927</v>
      </c>
      <c r="F28" s="259">
        <v>311015.88887000002</v>
      </c>
      <c r="G28" s="255">
        <v>3.8</v>
      </c>
      <c r="H28" s="265">
        <v>25448.865010891677</v>
      </c>
      <c r="I28" s="259">
        <v>277570.82782141934</v>
      </c>
      <c r="J28" s="255">
        <v>1.4</v>
      </c>
    </row>
    <row r="29" spans="1:10" ht="12.6" customHeight="1">
      <c r="A29" s="154">
        <v>24</v>
      </c>
      <c r="B29" s="266">
        <v>19052.317791469894</v>
      </c>
      <c r="C29" s="260">
        <v>209019.56974567741</v>
      </c>
      <c r="D29" s="267">
        <v>11.3</v>
      </c>
      <c r="E29" s="260">
        <v>27652.541818171438</v>
      </c>
      <c r="F29" s="260">
        <v>302292.33087000001</v>
      </c>
      <c r="G29" s="255">
        <v>2</v>
      </c>
      <c r="H29" s="266">
        <v>21817.656322225183</v>
      </c>
      <c r="I29" s="260">
        <v>237964.19282141936</v>
      </c>
      <c r="J29" s="255">
        <v>6.4</v>
      </c>
    </row>
    <row r="30" spans="1:10" ht="12.6" customHeight="1">
      <c r="A30" s="154">
        <v>25</v>
      </c>
      <c r="B30" s="155">
        <v>18274.536479276056</v>
      </c>
      <c r="C30" s="156">
        <v>200468.1657456774</v>
      </c>
      <c r="D30" s="268">
        <v>10.7</v>
      </c>
      <c r="E30" s="156">
        <v>26611.339621931285</v>
      </c>
      <c r="F30" s="156">
        <v>290911.50787000003</v>
      </c>
      <c r="G30" s="256">
        <v>-0.4</v>
      </c>
      <c r="H30" s="155">
        <v>19571.942022329342</v>
      </c>
      <c r="I30" s="156">
        <v>213470.23582141937</v>
      </c>
      <c r="J30" s="256">
        <v>8.9</v>
      </c>
    </row>
    <row r="31" spans="1:10" ht="12.6" customHeight="1">
      <c r="A31" s="154">
        <v>26</v>
      </c>
      <c r="B31" s="155">
        <v>18554.16042156058</v>
      </c>
      <c r="C31" s="156">
        <v>203505.0267456774</v>
      </c>
      <c r="D31" s="268">
        <v>10.5</v>
      </c>
      <c r="E31" s="156">
        <v>28525.140903380667</v>
      </c>
      <c r="F31" s="156">
        <v>311831.32887000003</v>
      </c>
      <c r="G31" s="256">
        <v>-1.5</v>
      </c>
      <c r="H31" s="155">
        <v>20170.741650466087</v>
      </c>
      <c r="I31" s="156">
        <v>220002.38882141936</v>
      </c>
      <c r="J31" s="256">
        <v>7.4</v>
      </c>
    </row>
    <row r="32" spans="1:10" ht="12.6" customHeight="1">
      <c r="A32" s="154">
        <v>27</v>
      </c>
      <c r="B32" s="155">
        <v>17819.283018567454</v>
      </c>
      <c r="C32" s="156">
        <v>195494.78274567742</v>
      </c>
      <c r="D32" s="268">
        <v>9.1999999999999993</v>
      </c>
      <c r="E32" s="156">
        <v>31104.195563483452</v>
      </c>
      <c r="F32" s="156">
        <v>340022.66886999999</v>
      </c>
      <c r="G32" s="256">
        <v>0.5</v>
      </c>
      <c r="H32" s="155">
        <v>22419.169942051492</v>
      </c>
      <c r="I32" s="156">
        <v>244526.69582141936</v>
      </c>
      <c r="J32" s="256">
        <v>3.5</v>
      </c>
    </row>
    <row r="33" spans="1:15" ht="12.6" customHeight="1">
      <c r="A33" s="154">
        <v>28</v>
      </c>
      <c r="B33" s="155">
        <v>15478.195139288122</v>
      </c>
      <c r="C33" s="156">
        <v>169843.05274567741</v>
      </c>
      <c r="D33" s="268">
        <v>9.6999999999999993</v>
      </c>
      <c r="E33" s="156">
        <v>34537.150667139947</v>
      </c>
      <c r="F33" s="156">
        <v>377572.17187000002</v>
      </c>
      <c r="G33" s="256">
        <v>-1.5</v>
      </c>
      <c r="H33" s="155">
        <v>22592.299517552314</v>
      </c>
      <c r="I33" s="156">
        <v>246413.24882141937</v>
      </c>
      <c r="J33" s="256">
        <v>5</v>
      </c>
    </row>
    <row r="34" spans="1:15" ht="12.6" customHeight="1">
      <c r="A34" s="154">
        <v>29</v>
      </c>
      <c r="B34" s="155">
        <v>15057.345408074929</v>
      </c>
      <c r="C34" s="156">
        <v>165225.39774567742</v>
      </c>
      <c r="D34" s="268">
        <v>10.3</v>
      </c>
      <c r="E34" s="156">
        <v>36353.051660169855</v>
      </c>
      <c r="F34" s="156">
        <v>397414.08587000001</v>
      </c>
      <c r="G34" s="256">
        <v>-3</v>
      </c>
      <c r="H34" s="155">
        <v>21158.48003848036</v>
      </c>
      <c r="I34" s="156">
        <v>230773.10582141936</v>
      </c>
      <c r="J34" s="256">
        <v>7.2</v>
      </c>
    </row>
    <row r="35" spans="1:15" ht="12.6" customHeight="1">
      <c r="A35" s="154">
        <v>30</v>
      </c>
      <c r="B35" s="155">
        <v>16636.934210565836</v>
      </c>
      <c r="C35" s="156">
        <v>182559.40874567741</v>
      </c>
      <c r="D35" s="268">
        <v>12.4</v>
      </c>
      <c r="E35" s="156">
        <v>35953.999113804923</v>
      </c>
      <c r="F35" s="156">
        <v>393049.48887</v>
      </c>
      <c r="G35" s="256">
        <v>-1.8</v>
      </c>
      <c r="H35" s="155">
        <v>20702.898955004817</v>
      </c>
      <c r="I35" s="156">
        <v>225804.22582141936</v>
      </c>
      <c r="J35" s="256">
        <v>5.5</v>
      </c>
    </row>
    <row r="36" spans="1:15" ht="12.6" customHeight="1">
      <c r="A36" s="159">
        <v>31</v>
      </c>
      <c r="B36" s="160">
        <v>17724.311953808083</v>
      </c>
      <c r="C36" s="161">
        <v>194493.60674567742</v>
      </c>
      <c r="D36" s="270">
        <v>10.1</v>
      </c>
      <c r="E36" s="161"/>
      <c r="F36" s="161"/>
      <c r="G36" s="262"/>
      <c r="H36" s="160">
        <v>22449.642006447782</v>
      </c>
      <c r="I36" s="161">
        <v>244856.88782141937</v>
      </c>
      <c r="J36" s="262">
        <v>2.5</v>
      </c>
    </row>
    <row r="37" spans="1:15" ht="12.6" customHeight="1">
      <c r="A37" s="263" t="s">
        <v>0</v>
      </c>
      <c r="B37" s="169">
        <f>SUM(B6:B36)</f>
        <v>465541.45508528827</v>
      </c>
      <c r="C37" s="170">
        <f>SUM(C6:C36)</f>
        <v>5108649.4381159991</v>
      </c>
      <c r="D37" s="271">
        <f>AVERAGE(D6:D36)</f>
        <v>11.261290322580644</v>
      </c>
      <c r="E37" s="170">
        <f>SUM(E6:E36)</f>
        <v>731114.29024713417</v>
      </c>
      <c r="F37" s="170">
        <f>SUM(F6:F36)</f>
        <v>7992123.6511000004</v>
      </c>
      <c r="G37" s="264">
        <f>AVERAGE(G6:G36)</f>
        <v>4.2833333333333323</v>
      </c>
      <c r="H37" s="169">
        <f>SUM(H6:H36)</f>
        <v>879802.66905167163</v>
      </c>
      <c r="I37" s="170">
        <f>SUM(I6:I36)</f>
        <v>9596060.5804639999</v>
      </c>
      <c r="J37" s="264">
        <f>AVERAGE(J6:J36)</f>
        <v>2.2387096774193549</v>
      </c>
      <c r="M37" s="41"/>
      <c r="N37" s="41"/>
      <c r="O37" s="77"/>
    </row>
    <row r="38" spans="1:15" ht="12.95" customHeight="1">
      <c r="A38" s="154" t="s">
        <v>176</v>
      </c>
      <c r="B38" s="155">
        <f>MAX(B6:B36)</f>
        <v>22103.488187778585</v>
      </c>
      <c r="C38" s="156">
        <f>MAX(C6:C36)</f>
        <v>242488.62574567742</v>
      </c>
      <c r="D38" s="268">
        <f>VLOOKUP(B38,$B$6:$D$36,3,FALSE)</f>
        <v>3.4</v>
      </c>
      <c r="E38" s="156">
        <f>MAX(E6:E36)</f>
        <v>36353.051660169855</v>
      </c>
      <c r="F38" s="156">
        <f>MAX(F6:F36)</f>
        <v>397414.08587000001</v>
      </c>
      <c r="G38" s="256">
        <f>VLOOKUP(E38,$E$6:$G$36,3,FALSE)</f>
        <v>-3</v>
      </c>
      <c r="H38" s="155">
        <f>MAX(H6:H36)</f>
        <v>39884.228110855918</v>
      </c>
      <c r="I38" s="156">
        <f>MAX(I6:I36)</f>
        <v>434982.68282141938</v>
      </c>
      <c r="J38" s="256">
        <f>VLOOKUP(H38,$H$6:$J$36,3,FALSE)</f>
        <v>-5.7</v>
      </c>
    </row>
    <row r="39" spans="1:15" ht="12.95" customHeight="1">
      <c r="A39" s="154" t="s">
        <v>177</v>
      </c>
      <c r="B39" s="155">
        <f>MIN(B6:B36)</f>
        <v>8929.8550735451445</v>
      </c>
      <c r="C39" s="156">
        <f>MIN(C6:C36)</f>
        <v>97993.689745677417</v>
      </c>
      <c r="D39" s="268">
        <f>VLOOKUP(B39,$B$6:$D$36,3,FALSE)</f>
        <v>13.3</v>
      </c>
      <c r="E39" s="156">
        <f>MIN(E6:E36)</f>
        <v>16736.235842176236</v>
      </c>
      <c r="F39" s="156">
        <f>MIN(F6:F36)</f>
        <v>182953.89187000002</v>
      </c>
      <c r="G39" s="256">
        <f>VLOOKUP(E39,$E$6:$G$36,3,FALSE)</f>
        <v>6.7</v>
      </c>
      <c r="H39" s="155">
        <f>MIN(H6:H36)</f>
        <v>19571.942022329342</v>
      </c>
      <c r="I39" s="156">
        <f>MIN(I6:I36)</f>
        <v>213470.23582141937</v>
      </c>
      <c r="J39" s="256">
        <f>VLOOKUP(H39,$H$6:$J$36,3,FALSE)</f>
        <v>8.9</v>
      </c>
    </row>
    <row r="40" spans="1:15" ht="12.95" customHeight="1">
      <c r="A40" s="159" t="s">
        <v>178</v>
      </c>
      <c r="B40" s="160">
        <f t="shared" ref="B40:J40" si="0">AVERAGE(B6:B36)</f>
        <v>15017.466293073816</v>
      </c>
      <c r="C40" s="161">
        <f t="shared" si="0"/>
        <v>164795.14316503223</v>
      </c>
      <c r="D40" s="270">
        <f t="shared" si="0"/>
        <v>11.261290322580644</v>
      </c>
      <c r="E40" s="161">
        <f t="shared" si="0"/>
        <v>24370.476341571139</v>
      </c>
      <c r="F40" s="161">
        <f>AVERAGE(F6:F36)</f>
        <v>266404.12170333334</v>
      </c>
      <c r="G40" s="262">
        <f>AVERAGE(G6:G36)</f>
        <v>4.2833333333333323</v>
      </c>
      <c r="H40" s="160">
        <f>AVERAGE(H6:H36)</f>
        <v>28380.731259731343</v>
      </c>
      <c r="I40" s="161">
        <f t="shared" si="0"/>
        <v>309550.34130529029</v>
      </c>
      <c r="J40" s="262">
        <f t="shared" si="0"/>
        <v>2.2387096774193549</v>
      </c>
    </row>
    <row r="41" spans="1:15" ht="15" customHeight="1">
      <c r="A41" s="43"/>
      <c r="B41" s="459" t="str">
        <f>B3</f>
        <v>Říjen</v>
      </c>
      <c r="C41" s="460"/>
      <c r="D41" s="461"/>
      <c r="E41" s="459" t="str">
        <f>E3</f>
        <v>Listopad</v>
      </c>
      <c r="F41" s="460"/>
      <c r="G41" s="461"/>
      <c r="H41" s="459" t="str">
        <f>H3</f>
        <v>Prosinec</v>
      </c>
      <c r="I41" s="460"/>
      <c r="J41" s="460"/>
    </row>
    <row r="42" spans="1:15" ht="15" customHeight="1">
      <c r="A42" s="43"/>
      <c r="B42" s="298" t="s">
        <v>267</v>
      </c>
      <c r="C42" s="79"/>
      <c r="D42" s="296"/>
      <c r="E42" s="298" t="s">
        <v>267</v>
      </c>
      <c r="F42" s="79"/>
      <c r="G42" s="79"/>
      <c r="H42" s="298" t="s">
        <v>267</v>
      </c>
      <c r="I42" s="79"/>
      <c r="J42" s="79"/>
    </row>
    <row r="43" spans="1:15" ht="21" customHeight="1">
      <c r="A43" s="43"/>
      <c r="B43" s="292"/>
      <c r="C43" s="79"/>
      <c r="D43" s="296"/>
      <c r="E43" s="79"/>
      <c r="F43" s="79"/>
      <c r="G43" s="79"/>
      <c r="H43" s="292"/>
      <c r="I43" s="79"/>
      <c r="J43" s="79"/>
    </row>
    <row r="44" spans="1:15" ht="21" customHeight="1">
      <c r="B44" s="292"/>
      <c r="C44" s="79"/>
      <c r="D44" s="296"/>
      <c r="E44" s="79"/>
      <c r="F44" s="79"/>
      <c r="G44" s="79"/>
      <c r="H44" s="292"/>
      <c r="I44" s="79"/>
      <c r="J44" s="79"/>
    </row>
    <row r="45" spans="1:15" ht="21" customHeight="1">
      <c r="B45" s="293" t="s">
        <v>265</v>
      </c>
      <c r="C45" s="81">
        <f>B38</f>
        <v>22103.488187778585</v>
      </c>
      <c r="D45" s="296"/>
      <c r="E45" s="80" t="s">
        <v>265</v>
      </c>
      <c r="F45" s="81">
        <f>E38</f>
        <v>36353.051660169855</v>
      </c>
      <c r="G45" s="79"/>
      <c r="H45" s="293" t="s">
        <v>265</v>
      </c>
      <c r="I45" s="81">
        <f>H38</f>
        <v>39884.228110855918</v>
      </c>
      <c r="J45" s="79"/>
    </row>
    <row r="46" spans="1:15" ht="21" customHeight="1">
      <c r="B46" s="294" t="s">
        <v>266</v>
      </c>
      <c r="C46" s="81">
        <f t="shared" ref="C46:C47" si="1">B39</f>
        <v>8929.8550735451445</v>
      </c>
      <c r="D46" s="296"/>
      <c r="E46" s="82" t="s">
        <v>266</v>
      </c>
      <c r="F46" s="81">
        <f t="shared" ref="F46:F47" si="2">E39</f>
        <v>16736.235842176236</v>
      </c>
      <c r="G46" s="79"/>
      <c r="H46" s="294" t="s">
        <v>266</v>
      </c>
      <c r="I46" s="81">
        <f t="shared" ref="I46:I47" si="3">H39</f>
        <v>19571.942022329342</v>
      </c>
      <c r="J46" s="79"/>
    </row>
    <row r="47" spans="1:15" ht="21" customHeight="1">
      <c r="B47" s="294" t="s">
        <v>62</v>
      </c>
      <c r="C47" s="81">
        <f t="shared" si="1"/>
        <v>15017.466293073816</v>
      </c>
      <c r="D47" s="296"/>
      <c r="E47" s="82" t="s">
        <v>62</v>
      </c>
      <c r="F47" s="81">
        <f t="shared" si="2"/>
        <v>24370.476341571139</v>
      </c>
      <c r="G47" s="79"/>
      <c r="H47" s="294" t="s">
        <v>62</v>
      </c>
      <c r="I47" s="81">
        <f t="shared" si="3"/>
        <v>28380.731259731343</v>
      </c>
      <c r="J47" s="79"/>
    </row>
    <row r="48" spans="1:15" ht="21" customHeight="1">
      <c r="B48" s="292"/>
      <c r="C48" s="79"/>
      <c r="D48" s="296"/>
      <c r="E48" s="79"/>
      <c r="F48" s="79"/>
      <c r="G48" s="79"/>
      <c r="H48" s="292"/>
      <c r="I48" s="79"/>
      <c r="J48" s="79"/>
    </row>
    <row r="49" spans="1:10" ht="21" customHeight="1">
      <c r="B49" s="292"/>
      <c r="C49" s="79"/>
      <c r="D49" s="296"/>
      <c r="E49" s="79"/>
      <c r="F49" s="79"/>
      <c r="G49" s="79"/>
      <c r="H49" s="292"/>
      <c r="I49" s="79"/>
      <c r="J49" s="79"/>
    </row>
    <row r="50" spans="1:10" ht="21" customHeight="1">
      <c r="B50" s="292"/>
      <c r="C50" s="79"/>
      <c r="D50" s="296"/>
      <c r="E50" s="79"/>
      <c r="F50" s="79"/>
      <c r="G50" s="79"/>
      <c r="H50" s="292"/>
      <c r="I50" s="79"/>
      <c r="J50" s="79"/>
    </row>
    <row r="51" spans="1:10" ht="21" customHeight="1">
      <c r="A51" s="279"/>
      <c r="B51" s="295"/>
      <c r="C51" s="279"/>
      <c r="D51" s="297"/>
      <c r="E51" s="279"/>
      <c r="F51" s="279"/>
      <c r="G51" s="279"/>
      <c r="H51" s="295"/>
      <c r="I51" s="279"/>
      <c r="J51" s="279"/>
    </row>
    <row r="52" spans="1:10" ht="12.75" customHeight="1">
      <c r="A52" s="132" t="s">
        <v>179</v>
      </c>
      <c r="B52" s="282">
        <v>960.32629624990147</v>
      </c>
      <c r="C52" s="283">
        <v>10538.203075483998</v>
      </c>
      <c r="D52" s="288" t="s">
        <v>206</v>
      </c>
      <c r="E52" s="41">
        <v>1320.0761939480174</v>
      </c>
      <c r="F52" s="41">
        <v>14430.318640523081</v>
      </c>
      <c r="G52" s="274" t="s">
        <v>206</v>
      </c>
      <c r="H52" s="282">
        <v>1184.4034225842079</v>
      </c>
      <c r="I52" s="283">
        <v>12918.359303317196</v>
      </c>
      <c r="J52" s="284" t="s">
        <v>206</v>
      </c>
    </row>
    <row r="53" spans="1:10" ht="12.95" customHeight="1">
      <c r="A53" s="276" t="s">
        <v>180</v>
      </c>
      <c r="B53" s="285">
        <v>738.78213272368316</v>
      </c>
      <c r="C53" s="277">
        <v>8107.0737868823035</v>
      </c>
      <c r="D53" s="289" t="s">
        <v>206</v>
      </c>
      <c r="E53" s="277">
        <v>1336.2051799952005</v>
      </c>
      <c r="F53" s="277">
        <v>14606.631499641704</v>
      </c>
      <c r="G53" s="278" t="s">
        <v>206</v>
      </c>
      <c r="H53" s="285">
        <v>1398.3917298521519</v>
      </c>
      <c r="I53" s="277">
        <v>15252.342629677776</v>
      </c>
      <c r="J53" s="278" t="s">
        <v>206</v>
      </c>
    </row>
    <row r="54" spans="1:10" ht="12.95" customHeight="1">
      <c r="A54" s="275" t="s">
        <v>181</v>
      </c>
      <c r="B54" s="286">
        <v>24389.909862733148</v>
      </c>
      <c r="C54" s="83">
        <v>267644.26229910011</v>
      </c>
      <c r="D54" s="290">
        <v>0</v>
      </c>
      <c r="E54" s="83">
        <v>31551.32880145048</v>
      </c>
      <c r="F54" s="83">
        <v>344901.09754586825</v>
      </c>
      <c r="G54" s="251">
        <v>0</v>
      </c>
      <c r="H54" s="286">
        <v>32891.671000465416</v>
      </c>
      <c r="I54" s="83">
        <v>358751.43212894682</v>
      </c>
      <c r="J54" s="251">
        <v>0</v>
      </c>
    </row>
    <row r="55" spans="1:10" ht="12.95" customHeight="1">
      <c r="A55" s="276" t="s">
        <v>182</v>
      </c>
      <c r="B55" s="287">
        <v>33255.295455417348</v>
      </c>
      <c r="C55" s="280">
        <v>364929.14774168778</v>
      </c>
      <c r="D55" s="291">
        <v>-12</v>
      </c>
      <c r="E55" s="280">
        <v>47585.790961392886</v>
      </c>
      <c r="F55" s="280">
        <v>520180.67554156866</v>
      </c>
      <c r="G55" s="281">
        <v>-12</v>
      </c>
      <c r="H55" s="287">
        <v>49672.371758691239</v>
      </c>
      <c r="I55" s="280">
        <v>541779.54368508013</v>
      </c>
      <c r="J55" s="281">
        <v>-12</v>
      </c>
    </row>
  </sheetData>
  <mergeCells count="10">
    <mergeCell ref="B41:D41"/>
    <mergeCell ref="E41:G41"/>
    <mergeCell ref="H41:J41"/>
    <mergeCell ref="A1:J1"/>
    <mergeCell ref="E3:G3"/>
    <mergeCell ref="H3:J3"/>
    <mergeCell ref="B3:D3"/>
    <mergeCell ref="B4:C4"/>
    <mergeCell ref="E4:F4"/>
    <mergeCell ref="H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7:D39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3"/>
  <sheetViews>
    <sheetView showGridLines="0" topLeftCell="A4" zoomScaleNormal="100" zoomScaleSheetLayoutView="100" workbookViewId="0">
      <selection activeCell="D1" sqref="D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2" width="9.140625" style="85"/>
    <col min="13" max="13" width="9.140625" style="84"/>
    <col min="14" max="14" width="11.140625" style="84" customWidth="1"/>
    <col min="15" max="16384" width="9.140625" style="84"/>
  </cols>
  <sheetData>
    <row r="1" spans="1:21" ht="20.25">
      <c r="A1" s="55" t="s">
        <v>287</v>
      </c>
    </row>
    <row r="2" spans="1:21" s="86" customFormat="1" ht="18">
      <c r="A2" s="462" t="s">
        <v>295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85"/>
      <c r="M2" s="84"/>
      <c r="N2" s="84"/>
      <c r="O2" s="84"/>
      <c r="P2" s="84"/>
      <c r="Q2" s="84"/>
      <c r="R2" s="84"/>
      <c r="S2" s="84"/>
      <c r="T2" s="84"/>
      <c r="U2" s="84"/>
    </row>
    <row r="3" spans="1:21" ht="6" customHeight="1">
      <c r="A3" s="477"/>
      <c r="B3" s="477"/>
      <c r="C3" s="477"/>
      <c r="D3" s="315"/>
      <c r="E3" s="315"/>
      <c r="F3" s="316"/>
      <c r="G3" s="317"/>
      <c r="H3" s="317"/>
      <c r="I3" s="317"/>
      <c r="J3" s="279"/>
      <c r="K3" s="279"/>
    </row>
    <row r="4" spans="1:21" ht="15" customHeight="1">
      <c r="A4" s="487" t="s">
        <v>2</v>
      </c>
      <c r="B4" s="487"/>
      <c r="C4" s="487"/>
      <c r="D4" s="481">
        <f>'3.1'!A4</f>
        <v>2023</v>
      </c>
      <c r="E4" s="482"/>
      <c r="F4" s="482"/>
      <c r="G4" s="482"/>
      <c r="H4" s="376"/>
      <c r="I4" s="481">
        <f>D4-1</f>
        <v>2022</v>
      </c>
      <c r="J4" s="482"/>
      <c r="K4" s="482"/>
    </row>
    <row r="5" spans="1:21" ht="50.1" customHeight="1">
      <c r="A5" s="322"/>
      <c r="B5" s="322"/>
      <c r="C5" s="322"/>
      <c r="D5" s="483"/>
      <c r="E5" s="484"/>
      <c r="F5" s="484"/>
      <c r="G5" s="484"/>
      <c r="H5" s="174"/>
      <c r="I5" s="483"/>
      <c r="J5" s="484"/>
      <c r="K5" s="484"/>
    </row>
    <row r="6" spans="1:21" ht="24.95" customHeight="1">
      <c r="A6" s="487" t="s">
        <v>158</v>
      </c>
      <c r="B6" s="487"/>
      <c r="C6" s="487" t="s">
        <v>184</v>
      </c>
      <c r="D6" s="485" t="s">
        <v>159</v>
      </c>
      <c r="E6" s="479" t="s">
        <v>60</v>
      </c>
      <c r="F6" s="479"/>
      <c r="G6" s="480" t="s">
        <v>33</v>
      </c>
      <c r="H6" s="480" t="s">
        <v>268</v>
      </c>
      <c r="I6" s="478" t="s">
        <v>60</v>
      </c>
      <c r="J6" s="479"/>
      <c r="K6" s="480" t="s">
        <v>33</v>
      </c>
    </row>
    <row r="7" spans="1:21" ht="22.5" customHeight="1">
      <c r="A7" s="488"/>
      <c r="B7" s="488"/>
      <c r="C7" s="488"/>
      <c r="D7" s="486"/>
      <c r="E7" s="219" t="s">
        <v>259</v>
      </c>
      <c r="F7" s="219" t="s">
        <v>260</v>
      </c>
      <c r="G7" s="467"/>
      <c r="H7" s="467"/>
      <c r="I7" s="221" t="s">
        <v>259</v>
      </c>
      <c r="J7" s="219" t="s">
        <v>260</v>
      </c>
      <c r="K7" s="467"/>
    </row>
    <row r="8" spans="1:21" ht="12.95" customHeight="1">
      <c r="A8" s="472" t="str">
        <f>'3.1'!D5</f>
        <v>Říjen</v>
      </c>
      <c r="B8" s="472"/>
      <c r="C8" s="164" t="s">
        <v>4</v>
      </c>
      <c r="D8" s="312">
        <v>1560</v>
      </c>
      <c r="E8" s="308">
        <v>268072.42394561518</v>
      </c>
      <c r="F8" s="308">
        <v>2941483.8696400002</v>
      </c>
      <c r="G8" s="309">
        <f t="shared" ref="G8:G13" si="0">E8/$E$14</f>
        <v>0.5758292826488387</v>
      </c>
      <c r="H8" s="309">
        <f>(E8-I8)/I8</f>
        <v>-2.2766239964705434E-2</v>
      </c>
      <c r="I8" s="312">
        <v>274317.60435285541</v>
      </c>
      <c r="J8" s="308">
        <v>3006535.6889510001</v>
      </c>
      <c r="K8" s="309">
        <f>I8/$I$14</f>
        <v>0.54041087508551799</v>
      </c>
      <c r="M8" s="392"/>
      <c r="N8" s="392"/>
      <c r="O8" s="392"/>
      <c r="P8" s="392"/>
      <c r="Q8" s="392"/>
      <c r="R8" s="392"/>
      <c r="S8" s="392"/>
      <c r="T8" s="392"/>
      <c r="U8" s="392"/>
    </row>
    <row r="9" spans="1:21" ht="12.95" customHeight="1">
      <c r="A9" s="473"/>
      <c r="B9" s="473"/>
      <c r="C9" s="154" t="s">
        <v>5</v>
      </c>
      <c r="D9" s="313">
        <v>6112</v>
      </c>
      <c r="E9" s="129">
        <v>42293.54418597382</v>
      </c>
      <c r="F9" s="129">
        <v>464149.26970999996</v>
      </c>
      <c r="G9" s="307">
        <f t="shared" si="0"/>
        <v>9.0848065798170369E-2</v>
      </c>
      <c r="H9" s="307">
        <f t="shared" ref="H9:H12" si="1">(E9-I9)/I9</f>
        <v>-8.4335128278286847E-2</v>
      </c>
      <c r="I9" s="313">
        <v>46188.890162893113</v>
      </c>
      <c r="J9" s="129">
        <v>506240.72078000003</v>
      </c>
      <c r="K9" s="307">
        <f t="shared" ref="K9:K13" si="2">I9/$I$14</f>
        <v>9.0992988259151503E-2</v>
      </c>
      <c r="L9" s="90"/>
      <c r="M9" s="392"/>
      <c r="N9" s="392"/>
      <c r="O9" s="392"/>
      <c r="P9" s="392"/>
      <c r="Q9" s="392"/>
      <c r="R9" s="392"/>
      <c r="S9" s="392"/>
      <c r="T9" s="392"/>
      <c r="U9" s="392"/>
    </row>
    <row r="10" spans="1:21" ht="12.95" customHeight="1">
      <c r="A10" s="473"/>
      <c r="B10" s="473"/>
      <c r="C10" s="154" t="s">
        <v>6</v>
      </c>
      <c r="D10" s="313">
        <v>202068</v>
      </c>
      <c r="E10" s="129">
        <v>52028.391648088618</v>
      </c>
      <c r="F10" s="129">
        <v>570930.89633785805</v>
      </c>
      <c r="G10" s="307">
        <f t="shared" si="0"/>
        <v>0.1117588709764854</v>
      </c>
      <c r="H10" s="307">
        <f t="shared" si="1"/>
        <v>-0.15655282307261137</v>
      </c>
      <c r="I10" s="313">
        <v>61685.417974394004</v>
      </c>
      <c r="J10" s="129">
        <v>676076.77136547398</v>
      </c>
      <c r="K10" s="307">
        <f t="shared" si="2"/>
        <v>0.12152144149187999</v>
      </c>
      <c r="L10" s="90"/>
      <c r="M10" s="392"/>
      <c r="N10" s="392"/>
      <c r="O10" s="392"/>
      <c r="P10" s="392"/>
      <c r="Q10" s="392"/>
      <c r="R10" s="392"/>
      <c r="S10" s="392"/>
      <c r="T10" s="392"/>
      <c r="U10" s="392"/>
    </row>
    <row r="11" spans="1:21" ht="12.95" customHeight="1">
      <c r="A11" s="473"/>
      <c r="B11" s="473"/>
      <c r="C11" s="154" t="s">
        <v>7</v>
      </c>
      <c r="D11" s="313">
        <v>2544970</v>
      </c>
      <c r="E11" s="129">
        <v>89853.224317131884</v>
      </c>
      <c r="F11" s="129">
        <v>986077.78617914417</v>
      </c>
      <c r="G11" s="307">
        <f t="shared" si="0"/>
        <v>0.19300798247236334</v>
      </c>
      <c r="H11" s="307">
        <f t="shared" si="1"/>
        <v>-0.17515728153190588</v>
      </c>
      <c r="I11" s="313">
        <v>108933.76677193461</v>
      </c>
      <c r="J11" s="129">
        <v>1193939.5577775189</v>
      </c>
      <c r="K11" s="307">
        <f t="shared" si="2"/>
        <v>0.21460158332332024</v>
      </c>
      <c r="L11" s="90"/>
      <c r="M11" s="392"/>
      <c r="N11" s="392"/>
      <c r="O11" s="392"/>
      <c r="P11" s="392"/>
      <c r="Q11" s="392"/>
      <c r="R11" s="392"/>
      <c r="S11" s="392"/>
      <c r="T11" s="392"/>
      <c r="U11" s="392"/>
    </row>
    <row r="12" spans="1:21" ht="12.95" customHeight="1">
      <c r="A12" s="473"/>
      <c r="B12" s="473"/>
      <c r="C12" s="154" t="s">
        <v>93</v>
      </c>
      <c r="D12" s="313">
        <v>275</v>
      </c>
      <c r="E12" s="129">
        <v>7747.0545106837853</v>
      </c>
      <c r="F12" s="129">
        <v>85007.189199999993</v>
      </c>
      <c r="G12" s="307">
        <f t="shared" si="0"/>
        <v>1.6640953873097778E-2</v>
      </c>
      <c r="H12" s="307">
        <f t="shared" si="1"/>
        <v>0.1193665788491115</v>
      </c>
      <c r="I12" s="313">
        <v>6920.9271181287195</v>
      </c>
      <c r="J12" s="129">
        <v>75830.590579999989</v>
      </c>
      <c r="K12" s="307">
        <f t="shared" si="2"/>
        <v>1.3634357478202807E-2</v>
      </c>
      <c r="L12" s="90"/>
      <c r="M12" s="392"/>
      <c r="N12" s="392"/>
      <c r="O12" s="392"/>
      <c r="P12" s="392"/>
      <c r="Q12" s="392"/>
      <c r="R12" s="392"/>
      <c r="S12" s="392"/>
      <c r="T12" s="392"/>
      <c r="U12" s="392"/>
    </row>
    <row r="13" spans="1:21" ht="12.95" customHeight="1">
      <c r="A13" s="473"/>
      <c r="B13" s="473"/>
      <c r="C13" s="154" t="s">
        <v>94</v>
      </c>
      <c r="D13" s="313"/>
      <c r="E13" s="129">
        <v>5546.8543719377476</v>
      </c>
      <c r="F13" s="129">
        <v>61000.470352599994</v>
      </c>
      <c r="G13" s="307">
        <f t="shared" si="0"/>
        <v>1.1914844231044349E-2</v>
      </c>
      <c r="H13" s="307">
        <f>(E13-I13)/I13</f>
        <v>-0.41995060083762858</v>
      </c>
      <c r="I13" s="313">
        <v>9562.7275538044887</v>
      </c>
      <c r="J13" s="129">
        <v>105004.85303699989</v>
      </c>
      <c r="K13" s="307">
        <f t="shared" si="2"/>
        <v>1.8838754361927577E-2</v>
      </c>
      <c r="L13" s="90"/>
      <c r="M13" s="392"/>
      <c r="N13" s="392"/>
      <c r="O13" s="392"/>
      <c r="P13" s="392"/>
      <c r="Q13" s="392"/>
      <c r="R13" s="392"/>
      <c r="S13" s="392"/>
      <c r="T13" s="392"/>
      <c r="U13" s="392"/>
    </row>
    <row r="14" spans="1:21" ht="12.95" customHeight="1">
      <c r="A14" s="474"/>
      <c r="B14" s="474"/>
      <c r="C14" s="318" t="s">
        <v>0</v>
      </c>
      <c r="D14" s="321">
        <v>2754985</v>
      </c>
      <c r="E14" s="319">
        <v>465541.49297943106</v>
      </c>
      <c r="F14" s="319">
        <v>5108649.4814196024</v>
      </c>
      <c r="G14" s="320">
        <f>SUM(G8:G13)</f>
        <v>1</v>
      </c>
      <c r="H14" s="320">
        <f>(E14-I14)/I14</f>
        <v>-8.2874443282101071E-2</v>
      </c>
      <c r="I14" s="321">
        <v>507609.3339340103</v>
      </c>
      <c r="J14" s="319">
        <v>5563628.1824909924</v>
      </c>
      <c r="K14" s="320">
        <f>SUM(K8:K13)</f>
        <v>1</v>
      </c>
      <c r="L14" s="90"/>
      <c r="M14" s="392"/>
      <c r="N14" s="392"/>
      <c r="O14" s="392"/>
      <c r="P14" s="392"/>
      <c r="Q14" s="392"/>
      <c r="R14" s="392"/>
      <c r="S14" s="392"/>
      <c r="T14" s="392"/>
      <c r="U14" s="392"/>
    </row>
    <row r="15" spans="1:21" ht="12.95" customHeight="1">
      <c r="A15" s="472" t="str">
        <f>'3.1'!E5</f>
        <v>Listopad</v>
      </c>
      <c r="B15" s="472"/>
      <c r="C15" s="164" t="s">
        <v>4</v>
      </c>
      <c r="D15" s="312">
        <v>1561</v>
      </c>
      <c r="E15" s="308">
        <v>300629.09717924974</v>
      </c>
      <c r="F15" s="308">
        <v>3285838.3969570003</v>
      </c>
      <c r="G15" s="309">
        <f>E15/$E$21</f>
        <v>0.41119303872475788</v>
      </c>
      <c r="H15" s="309">
        <f>(E15-I15)/I15</f>
        <v>-6.002416403110758E-2</v>
      </c>
      <c r="I15" s="312">
        <v>319826.41007933184</v>
      </c>
      <c r="J15" s="308">
        <v>3495535.1040229998</v>
      </c>
      <c r="K15" s="309">
        <f>I15/$I$21</f>
        <v>0.43046976865622893</v>
      </c>
      <c r="L15" s="90"/>
      <c r="M15" s="392"/>
      <c r="N15" s="392"/>
      <c r="O15" s="392"/>
      <c r="P15" s="392"/>
      <c r="Q15" s="392"/>
      <c r="R15" s="392"/>
      <c r="S15" s="392"/>
      <c r="T15" s="392"/>
      <c r="U15" s="392"/>
    </row>
    <row r="16" spans="1:21" ht="12.95" customHeight="1">
      <c r="A16" s="473"/>
      <c r="B16" s="473"/>
      <c r="C16" s="154" t="s">
        <v>5</v>
      </c>
      <c r="D16" s="313">
        <v>6104</v>
      </c>
      <c r="E16" s="129">
        <v>73387.875540685709</v>
      </c>
      <c r="F16" s="129">
        <v>802342.61417000019</v>
      </c>
      <c r="G16" s="307">
        <f t="shared" ref="G16:G20" si="3">E16/$E$21</f>
        <v>0.10037811985689507</v>
      </c>
      <c r="H16" s="307">
        <f t="shared" ref="H16:H18" si="4">(E16-I16)/I16</f>
        <v>2.1888109410093878E-2</v>
      </c>
      <c r="I16" s="313">
        <v>71815.959951868295</v>
      </c>
      <c r="J16" s="129">
        <v>785047.95411999989</v>
      </c>
      <c r="K16" s="307">
        <f t="shared" ref="K16:K20" si="5">I16/$I$21</f>
        <v>9.6660559266001478E-2</v>
      </c>
      <c r="L16" s="91"/>
      <c r="M16" s="392"/>
      <c r="N16" s="392"/>
      <c r="O16" s="392"/>
      <c r="P16" s="392"/>
      <c r="Q16" s="392"/>
      <c r="R16" s="392"/>
      <c r="S16" s="392"/>
      <c r="T16" s="392"/>
      <c r="U16" s="392"/>
    </row>
    <row r="17" spans="1:21" ht="12.95" customHeight="1">
      <c r="A17" s="473"/>
      <c r="B17" s="473"/>
      <c r="C17" s="154" t="s">
        <v>6</v>
      </c>
      <c r="D17" s="313">
        <v>202267</v>
      </c>
      <c r="E17" s="129">
        <v>121908.17761306895</v>
      </c>
      <c r="F17" s="129">
        <v>1332719.9214665915</v>
      </c>
      <c r="G17" s="307">
        <f t="shared" si="3"/>
        <v>0.16674298818196789</v>
      </c>
      <c r="H17" s="307">
        <f t="shared" si="4"/>
        <v>3.0604633509318732E-2</v>
      </c>
      <c r="I17" s="313">
        <v>118288.01622787063</v>
      </c>
      <c r="J17" s="129">
        <v>1292949.130804582</v>
      </c>
      <c r="K17" s="307">
        <f>I17/$I$21</f>
        <v>0.15920953797338169</v>
      </c>
      <c r="L17" s="90"/>
      <c r="M17" s="392"/>
      <c r="N17" s="392"/>
      <c r="O17" s="392"/>
      <c r="P17" s="392"/>
      <c r="Q17" s="392"/>
      <c r="R17" s="392"/>
      <c r="S17" s="392"/>
      <c r="T17" s="392"/>
      <c r="U17" s="392"/>
    </row>
    <row r="18" spans="1:21" ht="12.95" customHeight="1">
      <c r="A18" s="473"/>
      <c r="B18" s="473"/>
      <c r="C18" s="154" t="s">
        <v>7</v>
      </c>
      <c r="D18" s="313">
        <v>2543286</v>
      </c>
      <c r="E18" s="129">
        <v>217553.61738354625</v>
      </c>
      <c r="F18" s="129">
        <v>2378352.9700264493</v>
      </c>
      <c r="G18" s="307">
        <f t="shared" si="3"/>
        <v>0.29756445353047556</v>
      </c>
      <c r="H18" s="307">
        <f t="shared" si="4"/>
        <v>2.9627086076586397E-2</v>
      </c>
      <c r="I18" s="313">
        <v>211293.60360219199</v>
      </c>
      <c r="J18" s="129">
        <v>2309424.0632713293</v>
      </c>
      <c r="K18" s="307">
        <f>I18/$I$21</f>
        <v>0.28439023731221985</v>
      </c>
      <c r="L18" s="90"/>
      <c r="M18" s="392"/>
      <c r="N18" s="392"/>
      <c r="O18" s="392"/>
      <c r="P18" s="392"/>
      <c r="Q18" s="392"/>
      <c r="R18" s="392"/>
      <c r="S18" s="392"/>
      <c r="T18" s="392"/>
      <c r="U18" s="392"/>
    </row>
    <row r="19" spans="1:21" ht="12.95" customHeight="1">
      <c r="A19" s="473"/>
      <c r="B19" s="473"/>
      <c r="C19" s="154" t="s">
        <v>93</v>
      </c>
      <c r="D19" s="313">
        <v>277</v>
      </c>
      <c r="E19" s="129">
        <v>7792.3951263170375</v>
      </c>
      <c r="F19" s="129">
        <v>85178.013680000004</v>
      </c>
      <c r="G19" s="307">
        <f t="shared" si="3"/>
        <v>1.0658245196484784E-2</v>
      </c>
      <c r="H19" s="307">
        <f>(E19-I19)/I19</f>
        <v>3.3695632736190931E-2</v>
      </c>
      <c r="I19" s="313">
        <v>7538.3844910813623</v>
      </c>
      <c r="J19" s="129">
        <v>82376.548189999987</v>
      </c>
      <c r="K19" s="307">
        <f>I19/$I$21</f>
        <v>1.0146274746705802E-2</v>
      </c>
      <c r="L19" s="90"/>
      <c r="M19" s="392"/>
      <c r="N19" s="392"/>
      <c r="O19" s="392"/>
      <c r="P19" s="392"/>
      <c r="Q19" s="392"/>
      <c r="R19" s="392"/>
      <c r="S19" s="392"/>
      <c r="T19" s="392"/>
      <c r="U19" s="392"/>
    </row>
    <row r="20" spans="1:21" ht="12.95" customHeight="1">
      <c r="A20" s="473"/>
      <c r="B20" s="473"/>
      <c r="C20" s="154" t="s">
        <v>94</v>
      </c>
      <c r="D20" s="313"/>
      <c r="E20" s="129">
        <v>9843.1043431659473</v>
      </c>
      <c r="F20" s="129">
        <v>107691.69618</v>
      </c>
      <c r="G20" s="307">
        <f t="shared" si="3"/>
        <v>1.346315450941863E-2</v>
      </c>
      <c r="H20" s="307">
        <f t="shared" ref="H20" si="6">(E20-I20)/I20</f>
        <v>-0.3072280887493764</v>
      </c>
      <c r="I20" s="313">
        <v>14208.290179370471</v>
      </c>
      <c r="J20" s="129">
        <v>155762.80444400007</v>
      </c>
      <c r="K20" s="307">
        <f t="shared" si="5"/>
        <v>1.91236220454623E-2</v>
      </c>
      <c r="L20" s="90"/>
      <c r="M20" s="392"/>
      <c r="N20" s="392"/>
      <c r="O20" s="392"/>
      <c r="P20" s="392"/>
      <c r="Q20" s="392"/>
      <c r="R20" s="392"/>
      <c r="S20" s="392"/>
      <c r="T20" s="392"/>
      <c r="U20" s="392"/>
    </row>
    <row r="21" spans="1:21" ht="12.95" customHeight="1">
      <c r="A21" s="474"/>
      <c r="B21" s="474"/>
      <c r="C21" s="318" t="s">
        <v>0</v>
      </c>
      <c r="D21" s="321">
        <v>2753495</v>
      </c>
      <c r="E21" s="319">
        <v>731114.26718603377</v>
      </c>
      <c r="F21" s="319">
        <v>7992123.6124800416</v>
      </c>
      <c r="G21" s="320">
        <f>SUM(G15:G20)</f>
        <v>0.99999999999999978</v>
      </c>
      <c r="H21" s="320">
        <f>(E21-I21)/I21</f>
        <v>-1.5958096209833114E-2</v>
      </c>
      <c r="I21" s="321">
        <v>742970.66453171452</v>
      </c>
      <c r="J21" s="319">
        <v>8121095.6048529092</v>
      </c>
      <c r="K21" s="320">
        <f>SUM(K15:K20)</f>
        <v>1</v>
      </c>
      <c r="L21" s="90"/>
      <c r="M21" s="392"/>
      <c r="N21" s="392"/>
      <c r="O21" s="392"/>
      <c r="P21" s="392"/>
      <c r="Q21" s="392"/>
      <c r="R21" s="392"/>
      <c r="S21" s="392"/>
      <c r="T21" s="392"/>
      <c r="U21" s="392"/>
    </row>
    <row r="22" spans="1:21" ht="12.95" customHeight="1">
      <c r="A22" s="472" t="str">
        <f>'3.1'!F5</f>
        <v>Prosinec</v>
      </c>
      <c r="B22" s="472"/>
      <c r="C22" s="164" t="s">
        <v>4</v>
      </c>
      <c r="D22" s="312">
        <v>1561</v>
      </c>
      <c r="E22" s="308">
        <v>311367.90980988852</v>
      </c>
      <c r="F22" s="308">
        <v>3395958.2830699999</v>
      </c>
      <c r="G22" s="309">
        <f>E22/$E$28</f>
        <v>0.35390650939762508</v>
      </c>
      <c r="H22" s="309">
        <f>(E22-I22)/I22</f>
        <v>-0.11279531087783878</v>
      </c>
      <c r="I22" s="312">
        <v>350953.85949545581</v>
      </c>
      <c r="J22" s="308">
        <v>3823394.1218799995</v>
      </c>
      <c r="K22" s="309">
        <f>I22/$I$28</f>
        <v>0.36324686179065563</v>
      </c>
      <c r="L22" s="92"/>
      <c r="M22" s="392"/>
      <c r="N22" s="392"/>
      <c r="O22" s="392"/>
      <c r="P22" s="392"/>
      <c r="Q22" s="392"/>
      <c r="R22" s="392"/>
      <c r="S22" s="392"/>
      <c r="T22" s="392"/>
      <c r="U22" s="392"/>
    </row>
    <row r="23" spans="1:21" ht="12.95" customHeight="1">
      <c r="A23" s="473"/>
      <c r="B23" s="473"/>
      <c r="C23" s="154" t="s">
        <v>5</v>
      </c>
      <c r="D23" s="313">
        <v>6103</v>
      </c>
      <c r="E23" s="129">
        <v>86938.798225710154</v>
      </c>
      <c r="F23" s="129">
        <v>948303.01454999996</v>
      </c>
      <c r="G23" s="307">
        <f t="shared" ref="G23:G27" si="7">E23/$E$28</f>
        <v>9.8816241628983614E-2</v>
      </c>
      <c r="H23" s="307">
        <f t="shared" ref="H23:H26" si="8">(E23-I23)/I23</f>
        <v>-6.5459829068940462E-2</v>
      </c>
      <c r="I23" s="313">
        <v>93028.422886407498</v>
      </c>
      <c r="J23" s="129">
        <v>1014091.1393600005</v>
      </c>
      <c r="K23" s="307">
        <f t="shared" ref="K23:K27" si="9">I23/$I$28</f>
        <v>9.6286966951731376E-2</v>
      </c>
      <c r="L23" s="92"/>
      <c r="M23" s="392"/>
      <c r="N23" s="392"/>
      <c r="O23" s="392"/>
      <c r="P23" s="392"/>
      <c r="Q23" s="392"/>
      <c r="R23" s="392"/>
      <c r="S23" s="392"/>
      <c r="T23" s="392"/>
      <c r="U23" s="392"/>
    </row>
    <row r="24" spans="1:21" ht="12.95" customHeight="1">
      <c r="A24" s="473"/>
      <c r="B24" s="473"/>
      <c r="C24" s="154" t="s">
        <v>6</v>
      </c>
      <c r="D24" s="313">
        <v>202362</v>
      </c>
      <c r="E24" s="129">
        <v>162475.30314812259</v>
      </c>
      <c r="F24" s="129">
        <v>1772126.076884602</v>
      </c>
      <c r="G24" s="307">
        <f t="shared" si="7"/>
        <v>0.18467242637682663</v>
      </c>
      <c r="H24" s="307">
        <f t="shared" si="8"/>
        <v>-6.2973508899275443E-2</v>
      </c>
      <c r="I24" s="313">
        <v>173394.5674868412</v>
      </c>
      <c r="J24" s="129">
        <v>1890044.2982861868</v>
      </c>
      <c r="K24" s="307">
        <f t="shared" si="9"/>
        <v>0.17946812889219318</v>
      </c>
      <c r="L24" s="92"/>
      <c r="M24" s="392"/>
      <c r="N24" s="392"/>
      <c r="O24" s="392"/>
      <c r="P24" s="392"/>
      <c r="Q24" s="392"/>
      <c r="R24" s="392"/>
      <c r="S24" s="392"/>
      <c r="T24" s="392"/>
      <c r="U24" s="392"/>
    </row>
    <row r="25" spans="1:21" ht="12.95" customHeight="1">
      <c r="A25" s="473"/>
      <c r="B25" s="473"/>
      <c r="C25" s="154" t="s">
        <v>7</v>
      </c>
      <c r="D25" s="313">
        <v>2542162</v>
      </c>
      <c r="E25" s="129">
        <v>298377.55649472633</v>
      </c>
      <c r="F25" s="129">
        <v>3254317.1081664846</v>
      </c>
      <c r="G25" s="307">
        <f t="shared" si="7"/>
        <v>0.33914143421560672</v>
      </c>
      <c r="H25" s="307">
        <f t="shared" si="8"/>
        <v>-7.9464519686110999E-2</v>
      </c>
      <c r="I25" s="313">
        <v>324134.77033278934</v>
      </c>
      <c r="J25" s="129">
        <v>3532158.6091712257</v>
      </c>
      <c r="K25" s="307">
        <f t="shared" si="9"/>
        <v>0.33548836958194261</v>
      </c>
      <c r="L25" s="92"/>
      <c r="M25" s="392"/>
      <c r="N25" s="392"/>
      <c r="O25" s="392"/>
      <c r="P25" s="392"/>
      <c r="Q25" s="392"/>
      <c r="R25" s="392"/>
      <c r="S25" s="392"/>
      <c r="T25" s="392"/>
      <c r="U25" s="392"/>
    </row>
    <row r="26" spans="1:21" ht="12.95" customHeight="1">
      <c r="A26" s="473"/>
      <c r="B26" s="473"/>
      <c r="C26" s="154" t="s">
        <v>93</v>
      </c>
      <c r="D26" s="313">
        <v>278</v>
      </c>
      <c r="E26" s="129">
        <v>7485.546254499166</v>
      </c>
      <c r="F26" s="129">
        <v>81640.775629999989</v>
      </c>
      <c r="G26" s="307">
        <f t="shared" si="7"/>
        <v>8.5082099420000432E-3</v>
      </c>
      <c r="H26" s="307">
        <f t="shared" si="8"/>
        <v>-8.9208939476148504E-3</v>
      </c>
      <c r="I26" s="313">
        <v>7552.9250982953372</v>
      </c>
      <c r="J26" s="129">
        <v>81927.769120000012</v>
      </c>
      <c r="K26" s="307">
        <f t="shared" si="9"/>
        <v>7.8174844500639683E-3</v>
      </c>
      <c r="L26" s="92"/>
      <c r="M26" s="392"/>
      <c r="N26" s="392"/>
      <c r="O26" s="392"/>
      <c r="P26" s="392"/>
      <c r="Q26" s="392"/>
      <c r="R26" s="392"/>
      <c r="S26" s="392"/>
      <c r="T26" s="392"/>
      <c r="U26" s="392"/>
    </row>
    <row r="27" spans="1:21" ht="12.95" customHeight="1">
      <c r="A27" s="473"/>
      <c r="B27" s="473"/>
      <c r="C27" s="154" t="s">
        <v>94</v>
      </c>
      <c r="D27" s="313"/>
      <c r="E27" s="129">
        <v>13157.606677814621</v>
      </c>
      <c r="F27" s="129">
        <v>143715.3222621</v>
      </c>
      <c r="G27" s="307">
        <f t="shared" si="7"/>
        <v>1.4955178438957972E-2</v>
      </c>
      <c r="H27" s="307">
        <f t="shared" ref="H27" si="10">(E27-I27)/I27</f>
        <v>-0.23025443694699796</v>
      </c>
      <c r="I27" s="313">
        <v>17093.449198496561</v>
      </c>
      <c r="J27" s="129">
        <v>186138.17571799998</v>
      </c>
      <c r="K27" s="307">
        <f t="shared" si="9"/>
        <v>1.7692188333413298E-2</v>
      </c>
      <c r="L27" s="92"/>
      <c r="M27" s="392"/>
      <c r="N27" s="392"/>
      <c r="O27" s="392"/>
      <c r="P27" s="392"/>
      <c r="Q27" s="392"/>
      <c r="R27" s="392"/>
      <c r="S27" s="392"/>
      <c r="T27" s="392"/>
      <c r="U27" s="392"/>
    </row>
    <row r="28" spans="1:21" ht="12.95" customHeight="1">
      <c r="A28" s="474"/>
      <c r="B28" s="474"/>
      <c r="C28" s="318" t="s">
        <v>0</v>
      </c>
      <c r="D28" s="321">
        <v>2752466</v>
      </c>
      <c r="E28" s="319">
        <v>879802.72061076132</v>
      </c>
      <c r="F28" s="319">
        <v>9596060.5805631876</v>
      </c>
      <c r="G28" s="320">
        <f>SUM(G22:G27)</f>
        <v>1</v>
      </c>
      <c r="H28" s="320">
        <f>(E28-I28)/I28</f>
        <v>-8.9380074873124285E-2</v>
      </c>
      <c r="I28" s="321">
        <v>966157.9944982857</v>
      </c>
      <c r="J28" s="319">
        <v>10527754.113535414</v>
      </c>
      <c r="K28" s="320">
        <f>SUM(K22:K27)</f>
        <v>1</v>
      </c>
      <c r="M28" s="392"/>
      <c r="N28" s="392"/>
      <c r="O28" s="392"/>
      <c r="P28" s="392"/>
      <c r="Q28" s="392"/>
      <c r="R28" s="392"/>
      <c r="S28" s="392"/>
      <c r="T28" s="392"/>
      <c r="U28" s="392"/>
    </row>
    <row r="29" spans="1:21" ht="12.95" customHeight="1">
      <c r="A29" s="475" t="str">
        <f>'3.1'!G5</f>
        <v>IV. čtvrtletí</v>
      </c>
      <c r="B29" s="472"/>
      <c r="C29" s="164" t="s">
        <v>4</v>
      </c>
      <c r="D29" s="312">
        <f>D22</f>
        <v>1561</v>
      </c>
      <c r="E29" s="308">
        <f>E8+E15+E22</f>
        <v>880069.4309347535</v>
      </c>
      <c r="F29" s="308">
        <f>F8+F15+F22</f>
        <v>9623280.5496670008</v>
      </c>
      <c r="G29" s="309">
        <f>E29/$E$35</f>
        <v>0.42383194226246412</v>
      </c>
      <c r="H29" s="309">
        <f>(E29-I29)/I29</f>
        <v>-6.88060409263688E-2</v>
      </c>
      <c r="I29" s="312">
        <f>I8+I15+I22</f>
        <v>945097.87392764306</v>
      </c>
      <c r="J29" s="308">
        <f>J8+J15+J22</f>
        <v>10325464.914853999</v>
      </c>
      <c r="K29" s="309">
        <f>I29/$I$35</f>
        <v>0.42634622446469123</v>
      </c>
      <c r="M29" s="392"/>
      <c r="N29" s="392"/>
      <c r="O29" s="392"/>
      <c r="P29" s="392"/>
      <c r="Q29" s="392"/>
      <c r="R29" s="392"/>
      <c r="S29" s="392"/>
      <c r="T29" s="392"/>
      <c r="U29" s="392"/>
    </row>
    <row r="30" spans="1:21" ht="12.95" customHeight="1">
      <c r="A30" s="473"/>
      <c r="B30" s="473"/>
      <c r="C30" s="154" t="s">
        <v>5</v>
      </c>
      <c r="D30" s="313">
        <f t="shared" ref="D30:D33" si="11">D23</f>
        <v>6103</v>
      </c>
      <c r="E30" s="129">
        <f>E9+E16+E23</f>
        <v>202620.21795236968</v>
      </c>
      <c r="F30" s="129">
        <f t="shared" ref="F30" si="12">F9+F16+F23</f>
        <v>2214794.8984300001</v>
      </c>
      <c r="G30" s="307">
        <f t="shared" ref="G30:G34" si="13">E30/$E$35</f>
        <v>9.7579710756665716E-2</v>
      </c>
      <c r="H30" s="307">
        <f t="shared" ref="H30:H32" si="14">(E30-I30)/I30</f>
        <v>-3.9866012260316074E-2</v>
      </c>
      <c r="I30" s="313">
        <f>I9+I16+I23</f>
        <v>211033.27300116891</v>
      </c>
      <c r="J30" s="129">
        <f t="shared" ref="J30" si="15">J9+J16+J23</f>
        <v>2305379.8142600004</v>
      </c>
      <c r="K30" s="307">
        <f t="shared" ref="K30:K34" si="16">I30/$I$35</f>
        <v>9.5199917027178921E-2</v>
      </c>
      <c r="M30" s="392"/>
      <c r="N30" s="392"/>
      <c r="O30" s="392"/>
      <c r="P30" s="392"/>
      <c r="Q30" s="392"/>
      <c r="R30" s="392"/>
      <c r="S30" s="392"/>
      <c r="T30" s="392"/>
      <c r="U30" s="392"/>
    </row>
    <row r="31" spans="1:21" ht="12.95" customHeight="1">
      <c r="A31" s="473"/>
      <c r="B31" s="473"/>
      <c r="C31" s="154" t="s">
        <v>6</v>
      </c>
      <c r="D31" s="313">
        <f t="shared" si="11"/>
        <v>202362</v>
      </c>
      <c r="E31" s="129">
        <f t="shared" ref="E31:F31" si="17">E10+E17+E24</f>
        <v>336411.87240928016</v>
      </c>
      <c r="F31" s="129">
        <f t="shared" si="17"/>
        <v>3675776.8946890514</v>
      </c>
      <c r="G31" s="307">
        <f t="shared" si="13"/>
        <v>0.16201232797273266</v>
      </c>
      <c r="H31" s="307">
        <f t="shared" si="14"/>
        <v>-4.7984337004978082E-2</v>
      </c>
      <c r="I31" s="313">
        <f t="shared" ref="I31:J31" si="18">I10+I17+I24</f>
        <v>353368.00168910588</v>
      </c>
      <c r="J31" s="129">
        <f t="shared" si="18"/>
        <v>3859070.200456243</v>
      </c>
      <c r="K31" s="307">
        <f t="shared" si="16"/>
        <v>0.15940900675258241</v>
      </c>
      <c r="M31" s="392"/>
      <c r="N31" s="392"/>
      <c r="O31" s="392"/>
      <c r="P31" s="392"/>
      <c r="Q31" s="392"/>
      <c r="R31" s="392"/>
      <c r="S31" s="392"/>
      <c r="T31" s="392"/>
      <c r="U31" s="392"/>
    </row>
    <row r="32" spans="1:21" ht="12.95" customHeight="1">
      <c r="A32" s="473"/>
      <c r="B32" s="473"/>
      <c r="C32" s="154" t="s">
        <v>7</v>
      </c>
      <c r="D32" s="313">
        <f t="shared" si="11"/>
        <v>2542162</v>
      </c>
      <c r="E32" s="129">
        <f>E11+E18+E25</f>
        <v>605784.39819540444</v>
      </c>
      <c r="F32" s="129">
        <f t="shared" ref="E32:F34" si="19">F11+F18+F25</f>
        <v>6618747.8643720783</v>
      </c>
      <c r="G32" s="307">
        <f t="shared" si="13"/>
        <v>0.29173922994547369</v>
      </c>
      <c r="H32" s="307">
        <f t="shared" si="14"/>
        <v>-5.9869660357743271E-2</v>
      </c>
      <c r="I32" s="313">
        <f>I11+I18+I25</f>
        <v>644362.14070691587</v>
      </c>
      <c r="J32" s="129">
        <f t="shared" ref="J32" si="20">J11+J18+J25</f>
        <v>7035522.2302200738</v>
      </c>
      <c r="K32" s="307">
        <f t="shared" si="16"/>
        <v>0.29068033423532225</v>
      </c>
      <c r="M32" s="392"/>
      <c r="N32" s="392"/>
      <c r="O32" s="392"/>
      <c r="P32" s="392"/>
      <c r="Q32" s="392"/>
      <c r="R32" s="392"/>
      <c r="S32" s="392"/>
      <c r="T32" s="392"/>
      <c r="U32" s="392"/>
    </row>
    <row r="33" spans="1:21" ht="12.95" customHeight="1">
      <c r="A33" s="473"/>
      <c r="B33" s="473"/>
      <c r="C33" s="154" t="s">
        <v>93</v>
      </c>
      <c r="D33" s="313">
        <f t="shared" si="11"/>
        <v>278</v>
      </c>
      <c r="E33" s="129">
        <f>E12+E19+E26</f>
        <v>23024.995891499988</v>
      </c>
      <c r="F33" s="129">
        <f t="shared" si="19"/>
        <v>251825.97850999999</v>
      </c>
      <c r="G33" s="307">
        <f t="shared" si="13"/>
        <v>1.1088589588794827E-2</v>
      </c>
      <c r="H33" s="307">
        <f>(E33-I33)/I33</f>
        <v>4.6008917560351824E-2</v>
      </c>
      <c r="I33" s="313">
        <f>I12+I19+I26</f>
        <v>22012.236707505421</v>
      </c>
      <c r="J33" s="129">
        <f t="shared" ref="J33" si="21">J12+J19+J26</f>
        <v>240134.90788999997</v>
      </c>
      <c r="K33" s="307">
        <f t="shared" si="16"/>
        <v>9.9300128284771985E-3</v>
      </c>
      <c r="M33" s="392"/>
      <c r="N33" s="392"/>
      <c r="O33" s="392"/>
      <c r="P33" s="392"/>
      <c r="Q33" s="392"/>
      <c r="R33" s="392"/>
      <c r="S33" s="392"/>
      <c r="T33" s="392"/>
      <c r="U33" s="392"/>
    </row>
    <row r="34" spans="1:21" ht="12.95" customHeight="1">
      <c r="A34" s="473"/>
      <c r="B34" s="473"/>
      <c r="C34" s="154" t="s">
        <v>94</v>
      </c>
      <c r="D34" s="313"/>
      <c r="E34" s="129">
        <f t="shared" si="19"/>
        <v>28547.565392918317</v>
      </c>
      <c r="F34" s="129">
        <f t="shared" si="19"/>
        <v>312407.48879470001</v>
      </c>
      <c r="G34" s="307">
        <f t="shared" si="13"/>
        <v>1.3748199473868893E-2</v>
      </c>
      <c r="H34" s="307">
        <f t="shared" ref="H34" si="22">(E34-I34)/I34</f>
        <v>-0.30140859439933454</v>
      </c>
      <c r="I34" s="313">
        <f t="shared" ref="I34:J34" si="23">I13+I20+I27</f>
        <v>40864.466931671515</v>
      </c>
      <c r="J34" s="129">
        <f t="shared" si="23"/>
        <v>446905.83319899993</v>
      </c>
      <c r="K34" s="307">
        <f t="shared" si="16"/>
        <v>1.8434504691748191E-2</v>
      </c>
      <c r="M34" s="392"/>
      <c r="N34" s="392"/>
      <c r="O34" s="392"/>
      <c r="P34" s="392"/>
      <c r="Q34" s="392"/>
      <c r="R34" s="392"/>
      <c r="S34" s="392"/>
      <c r="T34" s="392"/>
      <c r="U34" s="392"/>
    </row>
    <row r="35" spans="1:21" ht="12.95" customHeight="1">
      <c r="A35" s="474"/>
      <c r="B35" s="474"/>
      <c r="C35" s="318" t="s">
        <v>0</v>
      </c>
      <c r="D35" s="321">
        <f>SUM(D29:D34)</f>
        <v>2752466</v>
      </c>
      <c r="E35" s="319">
        <f>SUM(E29:E34)</f>
        <v>2076458.4807762264</v>
      </c>
      <c r="F35" s="319">
        <f>SUM(F29:F34)</f>
        <v>22696833.674462833</v>
      </c>
      <c r="G35" s="320">
        <f>SUM(G29:G34)</f>
        <v>0.99999999999999989</v>
      </c>
      <c r="H35" s="320">
        <f>(E35-I35)/I35</f>
        <v>-6.3281954219684522E-2</v>
      </c>
      <c r="I35" s="321">
        <f>SUM(I29:I34)</f>
        <v>2216737.9929640102</v>
      </c>
      <c r="J35" s="319">
        <f>SUM(J29:J34)</f>
        <v>24212477.900879312</v>
      </c>
      <c r="K35" s="320">
        <f>SUM(K29:K34)</f>
        <v>1.0000000000000002</v>
      </c>
      <c r="M35" s="392"/>
      <c r="N35" s="392"/>
      <c r="O35" s="392"/>
      <c r="P35" s="392"/>
      <c r="Q35" s="392"/>
      <c r="R35" s="392"/>
      <c r="S35" s="392"/>
      <c r="T35" s="392"/>
      <c r="U35" s="392"/>
    </row>
    <row r="36" spans="1:21" ht="20.100000000000001" customHeight="1">
      <c r="A36" s="126"/>
      <c r="B36" s="303"/>
      <c r="C36" s="101"/>
      <c r="D36" s="88"/>
      <c r="E36" s="88"/>
      <c r="F36" s="88"/>
      <c r="G36" s="476" t="s">
        <v>270</v>
      </c>
      <c r="H36" s="476"/>
      <c r="I36" s="476"/>
      <c r="J36" s="476"/>
      <c r="K36" s="476"/>
    </row>
    <row r="37" spans="1:21" ht="15" customHeight="1">
      <c r="A37" s="468" t="s">
        <v>269</v>
      </c>
      <c r="B37" s="468"/>
      <c r="C37" s="468"/>
      <c r="D37" s="468"/>
      <c r="E37" s="468"/>
      <c r="F37" s="119"/>
      <c r="G37" s="476"/>
      <c r="H37" s="476"/>
      <c r="I37" s="476"/>
      <c r="J37" s="476"/>
      <c r="K37" s="476"/>
      <c r="M37" s="93"/>
      <c r="N37" s="93"/>
      <c r="O37" s="93"/>
      <c r="P37" s="93"/>
      <c r="Q37" s="93"/>
      <c r="R37" s="93"/>
      <c r="S37" s="93"/>
    </row>
    <row r="38" spans="1:21" ht="15" customHeight="1">
      <c r="A38" s="469" t="str">
        <f>A29</f>
        <v>IV. čtvrtletí</v>
      </c>
      <c r="B38" s="470"/>
      <c r="C38" s="470"/>
      <c r="D38" s="470"/>
      <c r="E38" s="470"/>
      <c r="F38" s="125"/>
      <c r="G38" s="471" t="str">
        <f>A29</f>
        <v>IV. čtvrtletí</v>
      </c>
      <c r="H38" s="471"/>
      <c r="I38" s="471"/>
      <c r="J38" s="471"/>
      <c r="K38" s="471"/>
      <c r="M38" s="93"/>
      <c r="N38" s="93"/>
      <c r="O38" s="93"/>
      <c r="P38" s="93"/>
      <c r="Q38" s="93"/>
      <c r="R38" s="93"/>
      <c r="S38" s="93"/>
    </row>
    <row r="39" spans="1:21" ht="15" customHeight="1">
      <c r="A39" s="126"/>
      <c r="B39" s="126"/>
      <c r="C39" s="126"/>
      <c r="D39" s="76"/>
      <c r="E39" s="76"/>
      <c r="F39" s="76"/>
      <c r="G39" s="126"/>
      <c r="H39" s="126"/>
      <c r="I39" s="126"/>
      <c r="J39" s="126"/>
      <c r="K39" s="126"/>
      <c r="M39" s="93"/>
      <c r="N39" s="93"/>
      <c r="O39" s="93"/>
      <c r="P39" s="93"/>
      <c r="Q39" s="93"/>
      <c r="R39" s="93"/>
      <c r="S39" s="93"/>
      <c r="T39" s="93"/>
    </row>
    <row r="40" spans="1:21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1" ht="15" customHeight="1">
      <c r="A41" s="94"/>
      <c r="B41" s="94"/>
      <c r="C41" s="94"/>
      <c r="D41" s="76"/>
      <c r="E41" s="76"/>
      <c r="F41" s="76"/>
      <c r="G41" s="94"/>
      <c r="H41" s="94"/>
      <c r="I41" s="94"/>
      <c r="J41" s="94"/>
      <c r="K41" s="94"/>
    </row>
    <row r="42" spans="1:21" ht="15" customHeight="1">
      <c r="A42" s="94"/>
      <c r="B42" s="94"/>
      <c r="C42" s="94">
        <f>D4</f>
        <v>2023</v>
      </c>
      <c r="D42" s="94">
        <f>I4</f>
        <v>2022</v>
      </c>
      <c r="E42" s="76"/>
      <c r="F42" s="76"/>
      <c r="G42" s="76"/>
      <c r="H42" s="94"/>
      <c r="I42" s="94">
        <f>D4</f>
        <v>2023</v>
      </c>
      <c r="J42" s="94">
        <f>I4</f>
        <v>2022</v>
      </c>
      <c r="K42" s="94"/>
    </row>
    <row r="43" spans="1:21" ht="15" customHeight="1">
      <c r="A43" s="94"/>
      <c r="B43" s="94" t="str">
        <f>A8</f>
        <v>Říjen</v>
      </c>
      <c r="C43" s="78">
        <f>E14</f>
        <v>465541.49297943106</v>
      </c>
      <c r="D43" s="78">
        <f>I14</f>
        <v>507609.3339340103</v>
      </c>
      <c r="E43" s="76"/>
      <c r="F43" s="76"/>
      <c r="G43" s="76"/>
      <c r="H43" s="94" t="str">
        <f>A8</f>
        <v>Říjen</v>
      </c>
      <c r="I43" s="95">
        <f>E14/E35</f>
        <v>0.22419975997083327</v>
      </c>
      <c r="J43" s="95">
        <f>I14/I35</f>
        <v>0.2289893237474058</v>
      </c>
      <c r="K43" s="94"/>
    </row>
    <row r="44" spans="1:21" ht="15" customHeight="1">
      <c r="A44" s="94"/>
      <c r="B44" s="94" t="str">
        <f>A15</f>
        <v>Listopad</v>
      </c>
      <c r="C44" s="78">
        <f>E21</f>
        <v>731114.26718603377</v>
      </c>
      <c r="D44" s="78">
        <f>I21</f>
        <v>742970.66453171452</v>
      </c>
      <c r="E44" s="76"/>
      <c r="F44" s="76"/>
      <c r="G44" s="76"/>
      <c r="H44" s="94" t="str">
        <f>A15</f>
        <v>Listopad</v>
      </c>
      <c r="I44" s="95">
        <f>E21/E35</f>
        <v>0.35209674258101564</v>
      </c>
      <c r="J44" s="95">
        <f>I21/I35</f>
        <v>0.33516395121567127</v>
      </c>
      <c r="K44" s="94"/>
    </row>
    <row r="45" spans="1:21" ht="15" customHeight="1">
      <c r="A45" s="94"/>
      <c r="B45" s="94" t="str">
        <f>A22</f>
        <v>Prosinec</v>
      </c>
      <c r="C45" s="78">
        <f>E28</f>
        <v>879802.72061076132</v>
      </c>
      <c r="D45" s="78">
        <f>I28</f>
        <v>966157.9944982857</v>
      </c>
      <c r="E45" s="76"/>
      <c r="F45" s="76"/>
      <c r="G45" s="76"/>
      <c r="H45" s="94" t="str">
        <f>A22</f>
        <v>Prosinec</v>
      </c>
      <c r="I45" s="95">
        <f>E28/E35</f>
        <v>0.423703497448151</v>
      </c>
      <c r="J45" s="95">
        <f>I28/I35</f>
        <v>0.43584672503692307</v>
      </c>
      <c r="K45" s="94"/>
    </row>
    <row r="46" spans="1:21" ht="15" customHeight="1">
      <c r="A46" s="94"/>
      <c r="B46" s="94"/>
      <c r="C46" s="78">
        <f>SUM(C43:C45)</f>
        <v>2076458.4807762261</v>
      </c>
      <c r="D46" s="78">
        <f>SUM(D43:D45)</f>
        <v>2216737.9929640107</v>
      </c>
      <c r="E46" s="94"/>
      <c r="F46" s="94"/>
      <c r="G46" s="94"/>
      <c r="H46" s="94"/>
      <c r="I46" s="96">
        <f>SUM(I43:I45)</f>
        <v>1</v>
      </c>
      <c r="J46" s="96">
        <f>SUM(J43:J45)</f>
        <v>1.0000000000000002</v>
      </c>
      <c r="K46" s="94"/>
    </row>
    <row r="47" spans="1:21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1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21">
    <mergeCell ref="A2:K2"/>
    <mergeCell ref="A3:C3"/>
    <mergeCell ref="I6:J6"/>
    <mergeCell ref="E6:F6"/>
    <mergeCell ref="G6:G7"/>
    <mergeCell ref="H6:H7"/>
    <mergeCell ref="K6:K7"/>
    <mergeCell ref="I4:K5"/>
    <mergeCell ref="D6:D7"/>
    <mergeCell ref="C6:C7"/>
    <mergeCell ref="A6:B7"/>
    <mergeCell ref="A4:C4"/>
    <mergeCell ref="D4:G5"/>
    <mergeCell ref="A37:E37"/>
    <mergeCell ref="A38:E38"/>
    <mergeCell ref="G38:K38"/>
    <mergeCell ref="A8:B14"/>
    <mergeCell ref="A15:B21"/>
    <mergeCell ref="A22:B28"/>
    <mergeCell ref="A29:B35"/>
    <mergeCell ref="G36:K3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2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62" t="s">
        <v>296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</row>
    <row r="2" spans="1:21" ht="6" customHeight="1">
      <c r="A2" s="477"/>
      <c r="B2" s="477"/>
      <c r="C2" s="477"/>
      <c r="D2" s="315"/>
      <c r="E2" s="315"/>
      <c r="F2" s="316"/>
      <c r="G2" s="317"/>
      <c r="H2" s="317"/>
      <c r="I2" s="317"/>
      <c r="J2" s="279"/>
      <c r="K2" s="279"/>
    </row>
    <row r="3" spans="1:21" ht="15" customHeight="1">
      <c r="A3" s="487" t="s">
        <v>254</v>
      </c>
      <c r="B3" s="487"/>
      <c r="C3" s="487"/>
      <c r="D3" s="341">
        <f>'3.1'!A4</f>
        <v>2023</v>
      </c>
      <c r="E3" s="482"/>
      <c r="F3" s="482"/>
      <c r="G3" s="482"/>
      <c r="H3" s="340"/>
      <c r="I3" s="481">
        <f>D3-1</f>
        <v>2022</v>
      </c>
      <c r="J3" s="482"/>
      <c r="K3" s="482"/>
    </row>
    <row r="4" spans="1:21" ht="50.1" customHeight="1">
      <c r="A4" s="488"/>
      <c r="B4" s="488"/>
      <c r="C4" s="488"/>
      <c r="D4" s="343"/>
      <c r="E4" s="484"/>
      <c r="F4" s="484"/>
      <c r="G4" s="484"/>
      <c r="H4" s="174"/>
      <c r="I4" s="483"/>
      <c r="J4" s="484"/>
      <c r="K4" s="484"/>
    </row>
    <row r="5" spans="1:21" ht="24.95" customHeight="1">
      <c r="A5" s="487" t="s">
        <v>158</v>
      </c>
      <c r="B5" s="487"/>
      <c r="C5" s="489" t="s">
        <v>184</v>
      </c>
      <c r="D5" s="485" t="s">
        <v>159</v>
      </c>
      <c r="E5" s="479" t="s">
        <v>60</v>
      </c>
      <c r="F5" s="479"/>
      <c r="G5" s="480" t="s">
        <v>33</v>
      </c>
      <c r="H5" s="480" t="s">
        <v>268</v>
      </c>
      <c r="I5" s="478" t="s">
        <v>60</v>
      </c>
      <c r="J5" s="479"/>
      <c r="K5" s="480" t="s">
        <v>33</v>
      </c>
    </row>
    <row r="6" spans="1:21" ht="22.5" customHeight="1">
      <c r="A6" s="488"/>
      <c r="B6" s="488"/>
      <c r="C6" s="490"/>
      <c r="D6" s="486"/>
      <c r="E6" s="219" t="s">
        <v>259</v>
      </c>
      <c r="F6" s="219" t="s">
        <v>260</v>
      </c>
      <c r="G6" s="467"/>
      <c r="H6" s="467"/>
      <c r="I6" s="221" t="s">
        <v>259</v>
      </c>
      <c r="J6" s="219" t="s">
        <v>260</v>
      </c>
      <c r="K6" s="467"/>
    </row>
    <row r="7" spans="1:21" ht="12.95" customHeight="1">
      <c r="A7" s="422" t="str">
        <f>'3.1'!D5</f>
        <v>Říjen</v>
      </c>
      <c r="B7" s="422"/>
      <c r="C7" s="164" t="s">
        <v>4</v>
      </c>
      <c r="D7" s="312">
        <v>133</v>
      </c>
      <c r="E7" s="308">
        <v>10074.514885615212</v>
      </c>
      <c r="F7" s="308">
        <v>110612.44157000001</v>
      </c>
      <c r="G7" s="309">
        <f t="shared" ref="G7:G12" si="0">E7/$E$13</f>
        <v>0.24497453941326286</v>
      </c>
      <c r="H7" s="309">
        <f>(E7-I7)/I7</f>
        <v>-0.10201537916869224</v>
      </c>
      <c r="I7" s="312">
        <v>11219.028312855455</v>
      </c>
      <c r="J7" s="308">
        <v>123028.35811</v>
      </c>
      <c r="K7" s="309">
        <f>I7/$I$13</f>
        <v>0.23995448172784362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2.95" customHeight="1">
      <c r="A8" s="423"/>
      <c r="B8" s="423"/>
      <c r="C8" s="154" t="s">
        <v>5</v>
      </c>
      <c r="D8" s="313">
        <v>1438</v>
      </c>
      <c r="E8" s="129">
        <v>7731.7967959738207</v>
      </c>
      <c r="F8" s="129">
        <v>84890.570680000004</v>
      </c>
      <c r="G8" s="307">
        <f t="shared" si="0"/>
        <v>0.18800839349943183</v>
      </c>
      <c r="H8" s="307">
        <f t="shared" ref="H8:H11" si="1">(E8-I8)/I8</f>
        <v>-0.12265323490224816</v>
      </c>
      <c r="I8" s="313">
        <v>8812.7033728931146</v>
      </c>
      <c r="J8" s="129">
        <v>96640.473370000007</v>
      </c>
      <c r="K8" s="307">
        <f t="shared" ref="K8:K12" si="2">I8/$I$13</f>
        <v>0.1884875954935146</v>
      </c>
      <c r="L8" s="93"/>
      <c r="M8" s="89"/>
      <c r="N8" s="89"/>
      <c r="O8" s="89"/>
      <c r="P8" s="89"/>
      <c r="Q8" s="89"/>
      <c r="R8" s="89"/>
      <c r="S8" s="89"/>
    </row>
    <row r="9" spans="1:21" ht="12.95" customHeight="1">
      <c r="A9" s="423"/>
      <c r="B9" s="423"/>
      <c r="C9" s="154" t="s">
        <v>6</v>
      </c>
      <c r="D9" s="313">
        <v>37394</v>
      </c>
      <c r="E9" s="129">
        <v>9301.9964380886213</v>
      </c>
      <c r="F9" s="129">
        <v>102130.437067858</v>
      </c>
      <c r="G9" s="307">
        <f t="shared" si="0"/>
        <v>0.22618977875532884</v>
      </c>
      <c r="H9" s="307">
        <f t="shared" si="1"/>
        <v>-9.9005436728457213E-2</v>
      </c>
      <c r="I9" s="313">
        <v>10324.142694394011</v>
      </c>
      <c r="J9" s="129">
        <v>113214.980115474</v>
      </c>
      <c r="K9" s="307">
        <f t="shared" si="2"/>
        <v>0.22081451623390119</v>
      </c>
      <c r="L9" s="93"/>
      <c r="M9" s="89"/>
      <c r="N9" s="89"/>
      <c r="O9" s="89"/>
      <c r="P9" s="89"/>
      <c r="Q9" s="89"/>
      <c r="R9" s="89"/>
      <c r="S9" s="89"/>
    </row>
    <row r="10" spans="1:21" ht="12.95" customHeight="1">
      <c r="A10" s="423"/>
      <c r="B10" s="423"/>
      <c r="C10" s="154" t="s">
        <v>7</v>
      </c>
      <c r="D10" s="313">
        <v>363704</v>
      </c>
      <c r="E10" s="129">
        <v>11815.932587131882</v>
      </c>
      <c r="F10" s="129">
        <v>129731.9739391442</v>
      </c>
      <c r="G10" s="307">
        <f t="shared" si="0"/>
        <v>0.28731930779156656</v>
      </c>
      <c r="H10" s="307">
        <f t="shared" si="1"/>
        <v>-0.17185334707610464</v>
      </c>
      <c r="I10" s="313">
        <v>14267.922891934621</v>
      </c>
      <c r="J10" s="129">
        <v>156462.63852751881</v>
      </c>
      <c r="K10" s="307">
        <f t="shared" si="2"/>
        <v>0.30516475646504748</v>
      </c>
      <c r="L10" s="93"/>
      <c r="M10" s="89"/>
      <c r="N10" s="89"/>
      <c r="O10" s="89"/>
      <c r="P10" s="89"/>
      <c r="Q10" s="89"/>
      <c r="R10" s="89"/>
      <c r="S10" s="89"/>
    </row>
    <row r="11" spans="1:21" ht="12.95" customHeight="1">
      <c r="A11" s="423"/>
      <c r="B11" s="423"/>
      <c r="C11" s="154" t="s">
        <v>93</v>
      </c>
      <c r="D11" s="313">
        <v>39</v>
      </c>
      <c r="E11" s="129">
        <v>1124.7355106837867</v>
      </c>
      <c r="F11" s="129">
        <v>12348.932839999999</v>
      </c>
      <c r="G11" s="307">
        <f t="shared" si="0"/>
        <v>2.7349362904303853E-2</v>
      </c>
      <c r="H11" s="307">
        <f t="shared" si="1"/>
        <v>0.1899619441201075</v>
      </c>
      <c r="I11" s="313">
        <v>945.18611812871791</v>
      </c>
      <c r="J11" s="129">
        <v>10364.95046</v>
      </c>
      <c r="K11" s="307">
        <f t="shared" si="2"/>
        <v>2.0215801118181113E-2</v>
      </c>
      <c r="L11" s="93"/>
      <c r="M11" s="89"/>
      <c r="N11" s="89"/>
      <c r="O11" s="89"/>
      <c r="P11" s="89"/>
      <c r="Q11" s="89"/>
      <c r="R11" s="89"/>
      <c r="S11" s="89"/>
    </row>
    <row r="12" spans="1:21" ht="12.95" customHeight="1">
      <c r="A12" s="423"/>
      <c r="B12" s="423"/>
      <c r="C12" s="154" t="s">
        <v>94</v>
      </c>
      <c r="D12" s="313"/>
      <c r="E12" s="129">
        <v>1075.7664179847404</v>
      </c>
      <c r="F12" s="129">
        <v>11811.281070999999</v>
      </c>
      <c r="G12" s="307">
        <f t="shared" si="0"/>
        <v>2.615861763610609E-2</v>
      </c>
      <c r="H12" s="307">
        <f>(E12-I12)/I12</f>
        <v>-9.2819786553737849E-2</v>
      </c>
      <c r="I12" s="313">
        <v>1185.8354073861915</v>
      </c>
      <c r="J12" s="129">
        <v>13003.920620000001</v>
      </c>
      <c r="K12" s="307">
        <f t="shared" si="2"/>
        <v>2.5362848961512016E-2</v>
      </c>
      <c r="L12" s="93"/>
      <c r="M12" s="89"/>
      <c r="N12" s="89"/>
      <c r="O12" s="89"/>
      <c r="P12" s="89"/>
      <c r="Q12" s="89"/>
      <c r="R12" s="89"/>
      <c r="S12" s="89"/>
    </row>
    <row r="13" spans="1:21" ht="12.95" customHeight="1">
      <c r="A13" s="424"/>
      <c r="B13" s="424"/>
      <c r="C13" s="318" t="s">
        <v>0</v>
      </c>
      <c r="D13" s="321">
        <v>402708</v>
      </c>
      <c r="E13" s="319">
        <v>41124.742635478062</v>
      </c>
      <c r="F13" s="319">
        <v>451525.63716800226</v>
      </c>
      <c r="G13" s="320">
        <f>SUM(G7:G12)</f>
        <v>1</v>
      </c>
      <c r="H13" s="320">
        <f>(E13-I13)/I13</f>
        <v>-0.12041702453146924</v>
      </c>
      <c r="I13" s="321">
        <v>46754.81879759211</v>
      </c>
      <c r="J13" s="319">
        <v>512715.32120299287</v>
      </c>
      <c r="K13" s="320">
        <f>SUM(K7:K12)</f>
        <v>1</v>
      </c>
      <c r="L13" s="93"/>
      <c r="M13" s="89"/>
      <c r="N13" s="89"/>
      <c r="O13" s="89"/>
      <c r="P13" s="89"/>
      <c r="Q13" s="89"/>
      <c r="R13" s="89"/>
      <c r="S13" s="89"/>
    </row>
    <row r="14" spans="1:21" ht="12.95" customHeight="1">
      <c r="A14" s="422" t="str">
        <f>'3.1'!E5</f>
        <v>Listopad</v>
      </c>
      <c r="B14" s="422"/>
      <c r="C14" s="164" t="s">
        <v>4</v>
      </c>
      <c r="D14" s="312">
        <v>134</v>
      </c>
      <c r="E14" s="308">
        <v>16824.460809249696</v>
      </c>
      <c r="F14" s="308">
        <v>184045.77160000001</v>
      </c>
      <c r="G14" s="309">
        <f>E14/$E$20</f>
        <v>0.19928890330916965</v>
      </c>
      <c r="H14" s="309">
        <f>(E14-I14)/I14</f>
        <v>-3.3621971610119782E-2</v>
      </c>
      <c r="I14" s="312">
        <v>17409.813049331824</v>
      </c>
      <c r="J14" s="308">
        <v>190703.86418999999</v>
      </c>
      <c r="K14" s="309">
        <f>I14/$I$20</f>
        <v>0.20811974716698672</v>
      </c>
      <c r="L14" s="93"/>
      <c r="M14" s="89"/>
      <c r="N14" s="89"/>
      <c r="O14" s="89"/>
      <c r="P14" s="89"/>
      <c r="Q14" s="89"/>
      <c r="R14" s="89"/>
      <c r="S14" s="89"/>
    </row>
    <row r="15" spans="1:21" ht="12.95" customHeight="1">
      <c r="A15" s="423"/>
      <c r="B15" s="423"/>
      <c r="C15" s="154" t="s">
        <v>5</v>
      </c>
      <c r="D15" s="313">
        <v>1439</v>
      </c>
      <c r="E15" s="129">
        <v>16280.08302068571</v>
      </c>
      <c r="F15" s="129">
        <v>178090.77637999997</v>
      </c>
      <c r="G15" s="307">
        <f t="shared" ref="G15:G19" si="3">E15/$E$20</f>
        <v>0.19284064599508424</v>
      </c>
      <c r="H15" s="307">
        <f t="shared" ref="H15:H17" si="4">(E15-I15)/I15</f>
        <v>4.8601168615768416E-2</v>
      </c>
      <c r="I15" s="313">
        <v>15525.524391868294</v>
      </c>
      <c r="J15" s="129">
        <v>170063.53687000001</v>
      </c>
      <c r="K15" s="307">
        <f t="shared" ref="K15:K19" si="5">I15/$I$20</f>
        <v>0.18559465296466951</v>
      </c>
      <c r="L15" s="97"/>
      <c r="M15" s="89"/>
      <c r="N15" s="89"/>
      <c r="O15" s="89"/>
      <c r="P15" s="89"/>
      <c r="Q15" s="89"/>
      <c r="R15" s="89"/>
      <c r="S15" s="89"/>
    </row>
    <row r="16" spans="1:21" ht="12.95" customHeight="1">
      <c r="A16" s="423"/>
      <c r="B16" s="423"/>
      <c r="C16" s="154" t="s">
        <v>6</v>
      </c>
      <c r="D16" s="313">
        <v>37475</v>
      </c>
      <c r="E16" s="129">
        <v>21788.960913068968</v>
      </c>
      <c r="F16" s="129">
        <v>238353.38926659134</v>
      </c>
      <c r="G16" s="307">
        <f t="shared" si="3"/>
        <v>0.2580943409624506</v>
      </c>
      <c r="H16" s="307">
        <f t="shared" si="4"/>
        <v>6.4345545481609409E-2</v>
      </c>
      <c r="I16" s="313">
        <v>20471.698317870636</v>
      </c>
      <c r="J16" s="129">
        <v>224242.95204458199</v>
      </c>
      <c r="K16" s="307">
        <f>I16/$I$20</f>
        <v>0.24472202348879221</v>
      </c>
      <c r="L16" s="93"/>
      <c r="M16" s="89"/>
      <c r="N16" s="89"/>
      <c r="O16" s="89"/>
      <c r="P16" s="89"/>
      <c r="Q16" s="89"/>
      <c r="R16" s="89"/>
      <c r="S16" s="89"/>
    </row>
    <row r="17" spans="1:20" ht="12.95" customHeight="1">
      <c r="A17" s="423"/>
      <c r="B17" s="423"/>
      <c r="C17" s="154" t="s">
        <v>7</v>
      </c>
      <c r="D17" s="313">
        <v>363278</v>
      </c>
      <c r="E17" s="129">
        <v>26950.44199354625</v>
      </c>
      <c r="F17" s="129">
        <v>294815.76551644929</v>
      </c>
      <c r="G17" s="307">
        <f t="shared" si="3"/>
        <v>0.31923305534037771</v>
      </c>
      <c r="H17" s="307">
        <f t="shared" si="4"/>
        <v>-2.4167555474657633E-2</v>
      </c>
      <c r="I17" s="313">
        <v>27617.899102191972</v>
      </c>
      <c r="J17" s="129">
        <v>302521.02819132968</v>
      </c>
      <c r="K17" s="307">
        <f>I17/$I$20</f>
        <v>0.33014887420931499</v>
      </c>
      <c r="L17" s="93"/>
      <c r="M17" s="89"/>
      <c r="N17" s="89"/>
      <c r="O17" s="89"/>
      <c r="P17" s="89"/>
      <c r="Q17" s="89"/>
      <c r="R17" s="89"/>
      <c r="S17" s="89"/>
    </row>
    <row r="18" spans="1:20" ht="12.95" customHeight="1">
      <c r="A18" s="423"/>
      <c r="B18" s="423"/>
      <c r="C18" s="154" t="s">
        <v>93</v>
      </c>
      <c r="D18" s="313">
        <v>40</v>
      </c>
      <c r="E18" s="129">
        <v>1120.3011263170383</v>
      </c>
      <c r="F18" s="129">
        <v>12255.1769</v>
      </c>
      <c r="G18" s="307">
        <f t="shared" si="3"/>
        <v>1.3270177592675363E-2</v>
      </c>
      <c r="H18" s="307">
        <f>(E18-I18)/I18</f>
        <v>8.4955982474311062E-2</v>
      </c>
      <c r="I18" s="313">
        <v>1032.577491081362</v>
      </c>
      <c r="J18" s="129">
        <v>11310.6505</v>
      </c>
      <c r="K18" s="307">
        <f>I18/$I$20</f>
        <v>1.2343599886181561E-2</v>
      </c>
      <c r="L18" s="93"/>
      <c r="M18" s="89"/>
      <c r="N18" s="89"/>
      <c r="O18" s="89"/>
      <c r="P18" s="89"/>
      <c r="Q18" s="89"/>
      <c r="R18" s="89"/>
      <c r="S18" s="89"/>
    </row>
    <row r="19" spans="1:20" ht="12.95" customHeight="1">
      <c r="A19" s="423"/>
      <c r="B19" s="423"/>
      <c r="C19" s="154" t="s">
        <v>94</v>
      </c>
      <c r="D19" s="313"/>
      <c r="E19" s="129">
        <v>1458.218866997531</v>
      </c>
      <c r="F19" s="129">
        <v>15951.72026</v>
      </c>
      <c r="G19" s="307">
        <f t="shared" si="3"/>
        <v>1.7272876800242479E-2</v>
      </c>
      <c r="H19" s="307">
        <f t="shared" ref="H19" si="6">(E19-I19)/I19</f>
        <v>-8.5958110030577392E-2</v>
      </c>
      <c r="I19" s="313">
        <v>1595.3523388805656</v>
      </c>
      <c r="J19" s="129">
        <v>17475.175360000001</v>
      </c>
      <c r="K19" s="307">
        <f t="shared" si="5"/>
        <v>1.9071102284055088E-2</v>
      </c>
      <c r="L19" s="93"/>
      <c r="M19" s="89"/>
      <c r="N19" s="89"/>
      <c r="O19" s="89"/>
      <c r="P19" s="89"/>
      <c r="Q19" s="89"/>
      <c r="R19" s="89"/>
      <c r="S19" s="89"/>
    </row>
    <row r="20" spans="1:20" ht="12.95" customHeight="1">
      <c r="A20" s="424"/>
      <c r="B20" s="424"/>
      <c r="C20" s="318" t="s">
        <v>0</v>
      </c>
      <c r="D20" s="321">
        <v>402366</v>
      </c>
      <c r="E20" s="319">
        <v>84422.466729865191</v>
      </c>
      <c r="F20" s="319">
        <v>923512.59992304049</v>
      </c>
      <c r="G20" s="320">
        <f>SUM(G14:G19)</f>
        <v>1.0000000000000002</v>
      </c>
      <c r="H20" s="320">
        <f>(E20-I20)/I20</f>
        <v>9.1999483996305538E-3</v>
      </c>
      <c r="I20" s="321">
        <v>83652.864691224648</v>
      </c>
      <c r="J20" s="319">
        <v>916317.20715591172</v>
      </c>
      <c r="K20" s="320">
        <f>SUM(K14:K19)</f>
        <v>1.0000000000000002</v>
      </c>
      <c r="L20" s="93"/>
      <c r="M20" s="89"/>
      <c r="N20" s="89"/>
      <c r="O20" s="89"/>
      <c r="P20" s="89"/>
      <c r="Q20" s="89"/>
      <c r="R20" s="89"/>
      <c r="S20" s="89"/>
    </row>
    <row r="21" spans="1:20" ht="12.95" customHeight="1">
      <c r="A21" s="422" t="str">
        <f>'3.1'!F5</f>
        <v>Prosinec</v>
      </c>
      <c r="B21" s="422"/>
      <c r="C21" s="164" t="s">
        <v>4</v>
      </c>
      <c r="D21" s="312">
        <v>135</v>
      </c>
      <c r="E21" s="308">
        <v>19631.207629888529</v>
      </c>
      <c r="F21" s="308">
        <v>214292.35563000001</v>
      </c>
      <c r="G21" s="309">
        <f>E21/$E$27</f>
        <v>0.18414277350004274</v>
      </c>
      <c r="H21" s="309">
        <f>(E21-I21)/I21</f>
        <v>-0.11494812940774805</v>
      </c>
      <c r="I21" s="312">
        <v>22180.855475455777</v>
      </c>
      <c r="J21" s="308">
        <v>240807.48931999982</v>
      </c>
      <c r="K21" s="309">
        <f>I21/$I$27</f>
        <v>0.19187873942915123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2.95" customHeight="1">
      <c r="A22" s="423"/>
      <c r="B22" s="423"/>
      <c r="C22" s="154" t="s">
        <v>5</v>
      </c>
      <c r="D22" s="313">
        <v>1439</v>
      </c>
      <c r="E22" s="129">
        <v>20487.066765710162</v>
      </c>
      <c r="F22" s="129">
        <v>223634.82524999999</v>
      </c>
      <c r="G22" s="307">
        <f t="shared" ref="G22:G26" si="7">E22/$E$27</f>
        <v>0.19217082139026007</v>
      </c>
      <c r="H22" s="307">
        <f t="shared" ref="H22:H26" si="8">(E22-I22)/I22</f>
        <v>-6.1968870692058704E-2</v>
      </c>
      <c r="I22" s="313">
        <v>21840.497746407487</v>
      </c>
      <c r="J22" s="129">
        <v>238999.21881000019</v>
      </c>
      <c r="K22" s="307">
        <f t="shared" ref="K22:K26" si="9">I22/$I$27</f>
        <v>0.18893442503708369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23"/>
      <c r="B23" s="423"/>
      <c r="C23" s="154" t="s">
        <v>6</v>
      </c>
      <c r="D23" s="313">
        <v>37486</v>
      </c>
      <c r="E23" s="129">
        <v>28137.489318122603</v>
      </c>
      <c r="F23" s="129">
        <v>307146.09263460204</v>
      </c>
      <c r="G23" s="307">
        <f t="shared" si="7"/>
        <v>0.26393258224615612</v>
      </c>
      <c r="H23" s="307">
        <f t="shared" si="8"/>
        <v>-6.9920632298280577E-2</v>
      </c>
      <c r="I23" s="313">
        <v>30252.78303684124</v>
      </c>
      <c r="J23" s="129">
        <v>331504.43719618686</v>
      </c>
      <c r="K23" s="307">
        <f t="shared" si="9"/>
        <v>0.26170613120652991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23"/>
      <c r="B24" s="423"/>
      <c r="C24" s="154" t="s">
        <v>7</v>
      </c>
      <c r="D24" s="313">
        <v>363047</v>
      </c>
      <c r="E24" s="129">
        <v>35486.091964726322</v>
      </c>
      <c r="F24" s="129">
        <v>387362.72332648444</v>
      </c>
      <c r="G24" s="307">
        <f t="shared" si="7"/>
        <v>0.33286324093039965</v>
      </c>
      <c r="H24" s="307">
        <f t="shared" si="8"/>
        <v>-9.5778161177961188E-2</v>
      </c>
      <c r="I24" s="313">
        <v>39244.895932789332</v>
      </c>
      <c r="J24" s="129">
        <v>430325.85493122513</v>
      </c>
      <c r="K24" s="307">
        <f t="shared" si="9"/>
        <v>0.3394937210129001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23"/>
      <c r="B25" s="423"/>
      <c r="C25" s="154" t="s">
        <v>93</v>
      </c>
      <c r="D25" s="313">
        <v>40</v>
      </c>
      <c r="E25" s="129">
        <v>1150.0322544991654</v>
      </c>
      <c r="F25" s="129">
        <v>12553.640069999999</v>
      </c>
      <c r="G25" s="307">
        <f t="shared" si="7"/>
        <v>1.0787422401643959E-2</v>
      </c>
      <c r="H25" s="307">
        <f t="shared" si="8"/>
        <v>0.22163977124921441</v>
      </c>
      <c r="I25" s="313">
        <v>941.38409829533862</v>
      </c>
      <c r="J25" s="129">
        <v>9957.2848199999935</v>
      </c>
      <c r="K25" s="307">
        <f t="shared" si="9"/>
        <v>8.1435810399394029E-3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23"/>
      <c r="B26" s="423"/>
      <c r="C26" s="154" t="s">
        <v>94</v>
      </c>
      <c r="D26" s="313"/>
      <c r="E26" s="129">
        <v>1716.7356733658069</v>
      </c>
      <c r="F26" s="129">
        <v>18739.719390000002</v>
      </c>
      <c r="G26" s="307">
        <f t="shared" si="7"/>
        <v>1.6103159531497355E-2</v>
      </c>
      <c r="H26" s="307">
        <f t="shared" si="8"/>
        <v>0.5087134511668171</v>
      </c>
      <c r="I26" s="313">
        <v>1137.8805379100374</v>
      </c>
      <c r="J26" s="129">
        <v>12319.157729999986</v>
      </c>
      <c r="K26" s="307">
        <f t="shared" si="9"/>
        <v>9.8434022743956462E-3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24"/>
      <c r="B27" s="424"/>
      <c r="C27" s="318" t="s">
        <v>0</v>
      </c>
      <c r="D27" s="321">
        <v>402147</v>
      </c>
      <c r="E27" s="319">
        <v>106608.6236063126</v>
      </c>
      <c r="F27" s="319">
        <v>1163729.3563010865</v>
      </c>
      <c r="G27" s="320">
        <f>SUM(G21:G26)</f>
        <v>0.99999999999999989</v>
      </c>
      <c r="H27" s="320">
        <f>(E27-I27)/I27</f>
        <v>-7.7766485044203082E-2</v>
      </c>
      <c r="I27" s="321">
        <v>115598.29682769922</v>
      </c>
      <c r="J27" s="319">
        <v>1263913.442807412</v>
      </c>
      <c r="K27" s="320">
        <f>SUM(K21:K26)</f>
        <v>0.99999999999999989</v>
      </c>
      <c r="M27" s="89"/>
      <c r="N27" s="89"/>
      <c r="O27" s="89"/>
      <c r="P27" s="89"/>
      <c r="Q27" s="89"/>
      <c r="R27" s="89"/>
      <c r="S27" s="89"/>
    </row>
    <row r="28" spans="1:20" ht="12.95" customHeight="1">
      <c r="A28" s="491" t="str">
        <f>'3.1'!G5</f>
        <v>IV. čtvrtletí</v>
      </c>
      <c r="B28" s="491"/>
      <c r="C28" s="164" t="s">
        <v>4</v>
      </c>
      <c r="D28" s="312">
        <f>D21</f>
        <v>135</v>
      </c>
      <c r="E28" s="308">
        <f>E7+E14+E21</f>
        <v>46530.183324753438</v>
      </c>
      <c r="F28" s="308">
        <f>F7+F14+F21</f>
        <v>508950.56880000001</v>
      </c>
      <c r="G28" s="309">
        <f>E28/$E$34</f>
        <v>0.20042650976783494</v>
      </c>
      <c r="H28" s="309">
        <f>(E28-I28)/I28</f>
        <v>-8.422631464549668E-2</v>
      </c>
      <c r="I28" s="312">
        <f>I7+I14+I21</f>
        <v>50809.69683764306</v>
      </c>
      <c r="J28" s="308">
        <f>J7+J14+J21</f>
        <v>554539.71161999984</v>
      </c>
      <c r="K28" s="309">
        <f>I28/$I$34</f>
        <v>0.20653846208238655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92"/>
      <c r="B29" s="492"/>
      <c r="C29" s="154" t="s">
        <v>5</v>
      </c>
      <c r="D29" s="313">
        <f t="shared" ref="D29:D32" si="10">D22</f>
        <v>1439</v>
      </c>
      <c r="E29" s="129">
        <f>E8+E15+E22</f>
        <v>44498.946582369696</v>
      </c>
      <c r="F29" s="129">
        <f t="shared" ref="F29" si="11">F8+F15+F22</f>
        <v>486616.17230999994</v>
      </c>
      <c r="G29" s="307">
        <f t="shared" ref="G29:G33" si="12">E29/$E$34</f>
        <v>0.19167705593596959</v>
      </c>
      <c r="H29" s="307">
        <f t="shared" ref="H29:H31" si="13">(E29-I29)/I29</f>
        <v>-3.6375601756114512E-2</v>
      </c>
      <c r="I29" s="313">
        <f>I8+I15+I22</f>
        <v>46178.725511168901</v>
      </c>
      <c r="J29" s="129">
        <f t="shared" ref="J29" si="14">J8+J15+J22</f>
        <v>505703.2290500002</v>
      </c>
      <c r="K29" s="307">
        <f t="shared" ref="K29:K33" si="15">I29/$I$34</f>
        <v>0.18771383302045941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92"/>
      <c r="B30" s="492"/>
      <c r="C30" s="154" t="s">
        <v>6</v>
      </c>
      <c r="D30" s="313">
        <f t="shared" si="10"/>
        <v>37486</v>
      </c>
      <c r="E30" s="129">
        <f t="shared" ref="E30:F33" si="16">E9+E16+E23</f>
        <v>59228.446669280194</v>
      </c>
      <c r="F30" s="129">
        <f t="shared" si="16"/>
        <v>647629.91896905145</v>
      </c>
      <c r="G30" s="307">
        <f t="shared" si="12"/>
        <v>0.25512366375266332</v>
      </c>
      <c r="H30" s="307">
        <f t="shared" si="13"/>
        <v>-2.9815207274149026E-2</v>
      </c>
      <c r="I30" s="313">
        <f t="shared" ref="I30:J32" si="17">I9+I16+I23</f>
        <v>61048.624049105885</v>
      </c>
      <c r="J30" s="129">
        <f t="shared" si="17"/>
        <v>668962.36935624282</v>
      </c>
      <c r="K30" s="307">
        <f t="shared" si="15"/>
        <v>0.24815910560613028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92"/>
      <c r="B31" s="492"/>
      <c r="C31" s="154" t="s">
        <v>7</v>
      </c>
      <c r="D31" s="313">
        <f t="shared" si="10"/>
        <v>363047</v>
      </c>
      <c r="E31" s="129">
        <f>E10+E17+E24</f>
        <v>74252.466545404459</v>
      </c>
      <c r="F31" s="129">
        <f t="shared" si="16"/>
        <v>811910.46278207796</v>
      </c>
      <c r="G31" s="307">
        <f t="shared" si="12"/>
        <v>0.31983890128864445</v>
      </c>
      <c r="H31" s="307">
        <f t="shared" si="13"/>
        <v>-8.4779865842029442E-2</v>
      </c>
      <c r="I31" s="313">
        <f>I10+I17+I24</f>
        <v>81130.717926915924</v>
      </c>
      <c r="J31" s="129">
        <f t="shared" si="17"/>
        <v>889309.52165007358</v>
      </c>
      <c r="K31" s="307">
        <f t="shared" si="15"/>
        <v>0.32979164905882208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92"/>
      <c r="B32" s="492"/>
      <c r="C32" s="154" t="s">
        <v>93</v>
      </c>
      <c r="D32" s="313">
        <f t="shared" si="10"/>
        <v>40</v>
      </c>
      <c r="E32" s="129">
        <f>E11+E18+E25</f>
        <v>3395.0688914999905</v>
      </c>
      <c r="F32" s="129">
        <f t="shared" si="16"/>
        <v>37157.749810000001</v>
      </c>
      <c r="G32" s="307">
        <f t="shared" si="12"/>
        <v>1.4624094721386984E-2</v>
      </c>
      <c r="H32" s="307">
        <f>(E32-I32)/I32</f>
        <v>0.16303429345864595</v>
      </c>
      <c r="I32" s="313">
        <f>I11+I18+I25</f>
        <v>2919.1477075054186</v>
      </c>
      <c r="J32" s="129">
        <f t="shared" si="17"/>
        <v>31632.885779999993</v>
      </c>
      <c r="K32" s="307">
        <f t="shared" si="15"/>
        <v>1.1866165626337978E-2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92"/>
      <c r="B33" s="492"/>
      <c r="C33" s="154" t="s">
        <v>94</v>
      </c>
      <c r="D33" s="313"/>
      <c r="E33" s="129">
        <f t="shared" si="16"/>
        <v>4250.7209583480781</v>
      </c>
      <c r="F33" s="129">
        <f t="shared" si="16"/>
        <v>46502.720721000005</v>
      </c>
      <c r="G33" s="307">
        <f t="shared" si="12"/>
        <v>1.8309774533500751E-2</v>
      </c>
      <c r="H33" s="307">
        <f t="shared" ref="H33" si="18">(E33-I33)/I33</f>
        <v>8.462538800620753E-2</v>
      </c>
      <c r="I33" s="313">
        <f t="shared" ref="I33:J33" si="19">I12+I19+I26</f>
        <v>3919.0682841767948</v>
      </c>
      <c r="J33" s="129">
        <f t="shared" si="19"/>
        <v>42798.25370999999</v>
      </c>
      <c r="K33" s="307">
        <f t="shared" si="15"/>
        <v>1.5930784605863838E-2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93"/>
      <c r="B34" s="493"/>
      <c r="C34" s="318" t="s">
        <v>0</v>
      </c>
      <c r="D34" s="321">
        <f>SUM(D28:D33)</f>
        <v>402147</v>
      </c>
      <c r="E34" s="319">
        <f>SUM(E28:E33)</f>
        <v>232155.83297165585</v>
      </c>
      <c r="F34" s="319">
        <f>SUM(F28:F33)</f>
        <v>2538767.5933921291</v>
      </c>
      <c r="G34" s="320">
        <f>SUM(G28:G33)</f>
        <v>1</v>
      </c>
      <c r="H34" s="320">
        <f>(E34-I34)/I34</f>
        <v>-5.6300043303988953E-2</v>
      </c>
      <c r="I34" s="321">
        <f>SUM(I28:I33)</f>
        <v>246005.98031651595</v>
      </c>
      <c r="J34" s="319">
        <f>SUM(J28:J33)</f>
        <v>2692945.9711663164</v>
      </c>
      <c r="K34" s="320">
        <f>SUM(K28:K33)</f>
        <v>1.0000000000000002</v>
      </c>
      <c r="M34" s="89"/>
      <c r="N34" s="89"/>
      <c r="O34" s="89"/>
      <c r="P34" s="89"/>
      <c r="Q34" s="89"/>
      <c r="R34" s="89"/>
      <c r="S34" s="89"/>
    </row>
    <row r="35" spans="1:20" ht="20.100000000000001" customHeight="1">
      <c r="A35" s="126"/>
      <c r="B35" s="303"/>
      <c r="C35" s="101"/>
      <c r="D35" s="88"/>
      <c r="E35" s="88"/>
      <c r="F35" s="88"/>
      <c r="G35" s="476" t="s">
        <v>270</v>
      </c>
      <c r="H35" s="476"/>
      <c r="I35" s="476"/>
      <c r="J35" s="476"/>
      <c r="K35" s="476"/>
    </row>
    <row r="36" spans="1:20" ht="15" customHeight="1">
      <c r="A36" s="468" t="s">
        <v>269</v>
      </c>
      <c r="B36" s="468"/>
      <c r="C36" s="468"/>
      <c r="D36" s="468"/>
      <c r="E36" s="468"/>
      <c r="F36" s="119"/>
      <c r="G36" s="476"/>
      <c r="H36" s="476"/>
      <c r="I36" s="476"/>
      <c r="J36" s="476"/>
      <c r="K36" s="476"/>
      <c r="M36" s="93"/>
      <c r="N36" s="93"/>
      <c r="O36" s="93"/>
      <c r="P36" s="93"/>
      <c r="Q36" s="93"/>
      <c r="R36" s="93"/>
      <c r="S36" s="93"/>
    </row>
    <row r="37" spans="1:20" ht="15" customHeight="1">
      <c r="A37" s="469" t="str">
        <f>A28</f>
        <v>IV. čtvrtletí</v>
      </c>
      <c r="B37" s="470"/>
      <c r="C37" s="470"/>
      <c r="D37" s="470"/>
      <c r="E37" s="470"/>
      <c r="F37" s="125"/>
      <c r="G37" s="471" t="str">
        <f>A28</f>
        <v>IV. čtvrtletí</v>
      </c>
      <c r="H37" s="471"/>
      <c r="I37" s="471"/>
      <c r="J37" s="471"/>
      <c r="K37" s="471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2023</v>
      </c>
      <c r="D41" s="94">
        <f>I3</f>
        <v>2022</v>
      </c>
      <c r="E41" s="76"/>
      <c r="F41" s="76"/>
      <c r="G41" s="76"/>
      <c r="H41" s="94"/>
      <c r="I41" s="94">
        <f>D3</f>
        <v>2023</v>
      </c>
      <c r="J41" s="94">
        <f>I3</f>
        <v>2022</v>
      </c>
      <c r="K41" s="94"/>
    </row>
    <row r="42" spans="1:20" ht="15" customHeight="1">
      <c r="A42" s="94"/>
      <c r="B42" s="94" t="str">
        <f>A7</f>
        <v>Říjen</v>
      </c>
      <c r="C42" s="78">
        <f>E13</f>
        <v>41124.742635478062</v>
      </c>
      <c r="D42" s="78">
        <f>I13</f>
        <v>46754.81879759211</v>
      </c>
      <c r="E42" s="76"/>
      <c r="F42" s="76"/>
      <c r="G42" s="76"/>
      <c r="H42" s="94" t="str">
        <f>A7</f>
        <v>Říjen</v>
      </c>
      <c r="I42" s="95">
        <f>E13/E34</f>
        <v>0.17714283595234509</v>
      </c>
      <c r="J42" s="95">
        <f>I13/I34</f>
        <v>0.19005561871884771</v>
      </c>
      <c r="K42" s="94"/>
    </row>
    <row r="43" spans="1:20" ht="15" customHeight="1">
      <c r="A43" s="94"/>
      <c r="B43" s="94" t="str">
        <f>A14</f>
        <v>Listopad</v>
      </c>
      <c r="C43" s="78">
        <f>E20</f>
        <v>84422.466729865191</v>
      </c>
      <c r="D43" s="78">
        <f>I20</f>
        <v>83652.864691224648</v>
      </c>
      <c r="E43" s="76"/>
      <c r="F43" s="76"/>
      <c r="G43" s="76"/>
      <c r="H43" s="94" t="str">
        <f>A14</f>
        <v>Listopad</v>
      </c>
      <c r="I43" s="95">
        <f>E20/E34</f>
        <v>0.36364568423388449</v>
      </c>
      <c r="J43" s="95">
        <f>I20/I34</f>
        <v>0.3400440289443179</v>
      </c>
      <c r="K43" s="94"/>
    </row>
    <row r="44" spans="1:20" ht="15" customHeight="1">
      <c r="A44" s="94"/>
      <c r="B44" s="94" t="str">
        <f>A21</f>
        <v>Prosinec</v>
      </c>
      <c r="C44" s="78">
        <f>E27</f>
        <v>106608.6236063126</v>
      </c>
      <c r="D44" s="78">
        <f>I27</f>
        <v>115598.29682769922</v>
      </c>
      <c r="E44" s="76"/>
      <c r="F44" s="76"/>
      <c r="G44" s="76"/>
      <c r="H44" s="94" t="str">
        <f>A21</f>
        <v>Prosinec</v>
      </c>
      <c r="I44" s="95">
        <f>E27/E34</f>
        <v>0.45921147981377042</v>
      </c>
      <c r="J44" s="95">
        <f>I27/I34</f>
        <v>0.46990035233683447</v>
      </c>
      <c r="K44" s="94"/>
    </row>
    <row r="45" spans="1:20" ht="15" customHeight="1">
      <c r="A45" s="94"/>
      <c r="B45" s="94"/>
      <c r="C45" s="78">
        <f>SUM(C42:C44)</f>
        <v>232155.83297165585</v>
      </c>
      <c r="D45" s="78">
        <f>SUM(D42:D44)</f>
        <v>246005.98031651595</v>
      </c>
      <c r="E45" s="94"/>
      <c r="F45" s="94"/>
      <c r="G45" s="94"/>
      <c r="H45" s="94"/>
      <c r="I45" s="96">
        <f>SUM(I42:I44)</f>
        <v>1</v>
      </c>
      <c r="J45" s="96">
        <f>SUM(J42:J44)</f>
        <v>1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D5:D6"/>
    <mergeCell ref="C5:C6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A1:K1"/>
    <mergeCell ref="A2:C2"/>
    <mergeCell ref="E3:G4"/>
    <mergeCell ref="I3:K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2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62" t="s">
        <v>297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</row>
    <row r="2" spans="1:21" ht="6" customHeight="1">
      <c r="A2" s="477"/>
      <c r="B2" s="477"/>
      <c r="C2" s="477"/>
      <c r="D2" s="315"/>
      <c r="E2" s="315"/>
      <c r="F2" s="316"/>
      <c r="G2" s="317"/>
      <c r="H2" s="317"/>
      <c r="I2" s="317"/>
      <c r="J2" s="279"/>
      <c r="K2" s="279"/>
    </row>
    <row r="3" spans="1:21" ht="15" customHeight="1">
      <c r="A3" s="487" t="s">
        <v>88</v>
      </c>
      <c r="B3" s="487"/>
      <c r="C3" s="487"/>
      <c r="D3" s="341">
        <f>'3.1'!A4</f>
        <v>2023</v>
      </c>
      <c r="E3" s="482"/>
      <c r="F3" s="482"/>
      <c r="G3" s="482"/>
      <c r="H3" s="340"/>
      <c r="I3" s="481">
        <f>D3-1</f>
        <v>2022</v>
      </c>
      <c r="J3" s="482"/>
      <c r="K3" s="482"/>
    </row>
    <row r="4" spans="1:21" ht="50.1" customHeight="1">
      <c r="A4" s="488"/>
      <c r="B4" s="488"/>
      <c r="C4" s="488"/>
      <c r="D4" s="343"/>
      <c r="E4" s="484"/>
      <c r="F4" s="484"/>
      <c r="G4" s="484"/>
      <c r="H4" s="174"/>
      <c r="I4" s="483"/>
      <c r="J4" s="484"/>
      <c r="K4" s="484"/>
    </row>
    <row r="5" spans="1:21" ht="24.95" customHeight="1">
      <c r="A5" s="487" t="s">
        <v>158</v>
      </c>
      <c r="B5" s="487"/>
      <c r="C5" s="489" t="s">
        <v>184</v>
      </c>
      <c r="D5" s="485" t="s">
        <v>159</v>
      </c>
      <c r="E5" s="479" t="s">
        <v>60</v>
      </c>
      <c r="F5" s="479"/>
      <c r="G5" s="480" t="s">
        <v>33</v>
      </c>
      <c r="H5" s="480" t="s">
        <v>268</v>
      </c>
      <c r="I5" s="478" t="s">
        <v>60</v>
      </c>
      <c r="J5" s="479"/>
      <c r="K5" s="480" t="s">
        <v>33</v>
      </c>
    </row>
    <row r="6" spans="1:21" ht="22.5" customHeight="1">
      <c r="A6" s="488"/>
      <c r="B6" s="488"/>
      <c r="C6" s="490"/>
      <c r="D6" s="486"/>
      <c r="E6" s="219" t="s">
        <v>259</v>
      </c>
      <c r="F6" s="219" t="s">
        <v>260</v>
      </c>
      <c r="G6" s="467"/>
      <c r="H6" s="467"/>
      <c r="I6" s="221" t="s">
        <v>259</v>
      </c>
      <c r="J6" s="219" t="s">
        <v>260</v>
      </c>
      <c r="K6" s="467"/>
    </row>
    <row r="7" spans="1:21" ht="12.95" customHeight="1">
      <c r="A7" s="422" t="str">
        <f>'3.1'!D5</f>
        <v>Říjen</v>
      </c>
      <c r="B7" s="422"/>
      <c r="C7" s="164" t="s">
        <v>4</v>
      </c>
      <c r="D7" s="312">
        <v>1235</v>
      </c>
      <c r="E7" s="308">
        <v>222634.34600000002</v>
      </c>
      <c r="F7" s="308">
        <v>2442917.3574000001</v>
      </c>
      <c r="G7" s="309">
        <f t="shared" ref="G7:G12" si="0">E7/$E$13</f>
        <v>0.58818431910119184</v>
      </c>
      <c r="H7" s="309">
        <f>(E7-I7)/I7</f>
        <v>1.4129306337252153E-2</v>
      </c>
      <c r="I7" s="312">
        <v>219532.50399999999</v>
      </c>
      <c r="J7" s="308">
        <v>2406013.3556300001</v>
      </c>
      <c r="K7" s="309">
        <f>I7/$I$13</f>
        <v>0.54157188008900736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2.95" customHeight="1">
      <c r="A8" s="423"/>
      <c r="B8" s="423"/>
      <c r="C8" s="154" t="s">
        <v>5</v>
      </c>
      <c r="D8" s="313">
        <v>4225</v>
      </c>
      <c r="E8" s="129">
        <v>32031.792000000001</v>
      </c>
      <c r="F8" s="129">
        <v>351476.65380999999</v>
      </c>
      <c r="G8" s="307">
        <f t="shared" si="0"/>
        <v>8.4625746681111835E-2</v>
      </c>
      <c r="H8" s="307">
        <f t="shared" ref="H8:H11" si="1">(E8-I8)/I8</f>
        <v>-8.1734212617521618E-2</v>
      </c>
      <c r="I8" s="313">
        <v>34882.92</v>
      </c>
      <c r="J8" s="129">
        <v>382308.16977000004</v>
      </c>
      <c r="K8" s="307">
        <f t="shared" ref="K8:K12" si="2">I8/$I$13</f>
        <v>8.6053810816982421E-2</v>
      </c>
      <c r="L8" s="93"/>
      <c r="M8" s="89"/>
      <c r="N8" s="89"/>
      <c r="O8" s="89"/>
      <c r="P8" s="89"/>
      <c r="Q8" s="89"/>
      <c r="R8" s="89"/>
      <c r="S8" s="89"/>
    </row>
    <row r="9" spans="1:21" ht="12.95" customHeight="1">
      <c r="A9" s="423"/>
      <c r="B9" s="423"/>
      <c r="C9" s="154" t="s">
        <v>6</v>
      </c>
      <c r="D9" s="313">
        <v>152879</v>
      </c>
      <c r="E9" s="129">
        <v>39950.853999999999</v>
      </c>
      <c r="F9" s="129">
        <v>438370.81619000004</v>
      </c>
      <c r="G9" s="307">
        <f t="shared" si="0"/>
        <v>0.10554735277683132</v>
      </c>
      <c r="H9" s="307">
        <f t="shared" si="1"/>
        <v>-0.17774096249094984</v>
      </c>
      <c r="I9" s="313">
        <v>48586.700999999994</v>
      </c>
      <c r="J9" s="129">
        <v>532494.64674</v>
      </c>
      <c r="K9" s="307">
        <f t="shared" si="2"/>
        <v>0.11986011423571449</v>
      </c>
      <c r="L9" s="93"/>
      <c r="M9" s="89"/>
      <c r="N9" s="89"/>
      <c r="O9" s="89"/>
      <c r="P9" s="89"/>
      <c r="Q9" s="89"/>
      <c r="R9" s="89"/>
      <c r="S9" s="89"/>
    </row>
    <row r="10" spans="1:21" ht="12.95" customHeight="1">
      <c r="A10" s="423"/>
      <c r="B10" s="423"/>
      <c r="C10" s="154" t="s">
        <v>7</v>
      </c>
      <c r="D10" s="313">
        <v>2072381</v>
      </c>
      <c r="E10" s="129">
        <v>74010</v>
      </c>
      <c r="F10" s="129">
        <v>812097.39999999991</v>
      </c>
      <c r="G10" s="307">
        <f t="shared" si="0"/>
        <v>0.19552922645942153</v>
      </c>
      <c r="H10" s="307">
        <f t="shared" si="1"/>
        <v>-0.18244482248193875</v>
      </c>
      <c r="I10" s="313">
        <v>90525.999999999985</v>
      </c>
      <c r="J10" s="129">
        <v>992137.50000000012</v>
      </c>
      <c r="K10" s="307">
        <f t="shared" si="2"/>
        <v>0.22332153609898911</v>
      </c>
      <c r="L10" s="93"/>
      <c r="M10" s="89"/>
      <c r="N10" s="89"/>
      <c r="O10" s="89"/>
      <c r="P10" s="89"/>
      <c r="Q10" s="89"/>
      <c r="R10" s="89"/>
      <c r="S10" s="89"/>
    </row>
    <row r="11" spans="1:21" ht="12.95" customHeight="1">
      <c r="A11" s="423"/>
      <c r="B11" s="423"/>
      <c r="C11" s="154" t="s">
        <v>93</v>
      </c>
      <c r="D11" s="313">
        <v>212</v>
      </c>
      <c r="E11" s="129">
        <v>6224.2349999999988</v>
      </c>
      <c r="F11" s="129">
        <v>68297.149359999996</v>
      </c>
      <c r="G11" s="307">
        <f t="shared" si="0"/>
        <v>1.6443992093658388E-2</v>
      </c>
      <c r="H11" s="307">
        <f t="shared" si="1"/>
        <v>0.1135381374201596</v>
      </c>
      <c r="I11" s="313">
        <v>5589.6019999999999</v>
      </c>
      <c r="J11" s="129">
        <v>61260.430120000005</v>
      </c>
      <c r="K11" s="307">
        <f t="shared" si="2"/>
        <v>1.378917112014208E-2</v>
      </c>
      <c r="L11" s="93"/>
      <c r="M11" s="89"/>
      <c r="N11" s="89"/>
      <c r="O11" s="89"/>
      <c r="P11" s="89"/>
      <c r="Q11" s="89"/>
      <c r="R11" s="89"/>
      <c r="S11" s="89"/>
    </row>
    <row r="12" spans="1:21" ht="12.95" customHeight="1">
      <c r="A12" s="423"/>
      <c r="B12" s="423"/>
      <c r="C12" s="154" t="s">
        <v>94</v>
      </c>
      <c r="D12" s="313"/>
      <c r="E12" s="129">
        <v>3659.9620439530072</v>
      </c>
      <c r="F12" s="129">
        <v>40159.951830000013</v>
      </c>
      <c r="G12" s="307">
        <f t="shared" si="0"/>
        <v>9.6693628877850945E-3</v>
      </c>
      <c r="H12" s="307">
        <f>(E12-I12)/I12</f>
        <v>-0.41384187057893518</v>
      </c>
      <c r="I12" s="313">
        <v>6243.9841064182956</v>
      </c>
      <c r="J12" s="129">
        <v>68432.248219999878</v>
      </c>
      <c r="K12" s="307">
        <f t="shared" si="2"/>
        <v>1.5403487639164526E-2</v>
      </c>
      <c r="L12" s="93"/>
      <c r="M12" s="89"/>
      <c r="N12" s="89"/>
      <c r="O12" s="89"/>
      <c r="P12" s="89"/>
      <c r="Q12" s="89"/>
      <c r="R12" s="89"/>
      <c r="S12" s="89"/>
    </row>
    <row r="13" spans="1:21" ht="12.95" customHeight="1">
      <c r="A13" s="424"/>
      <c r="B13" s="424"/>
      <c r="C13" s="318" t="s">
        <v>0</v>
      </c>
      <c r="D13" s="321">
        <v>2230932</v>
      </c>
      <c r="E13" s="319">
        <v>378511.18904395303</v>
      </c>
      <c r="F13" s="319">
        <v>4153319.3285900005</v>
      </c>
      <c r="G13" s="320">
        <f>SUM(G7:G12)</f>
        <v>1.0000000000000002</v>
      </c>
      <c r="H13" s="320">
        <f>(E13-I13)/I13</f>
        <v>-6.623842688343172E-2</v>
      </c>
      <c r="I13" s="321">
        <v>405361.71110641828</v>
      </c>
      <c r="J13" s="319">
        <v>4442646.3504799996</v>
      </c>
      <c r="K13" s="320">
        <f>SUM(K7:K12)</f>
        <v>1</v>
      </c>
      <c r="L13" s="93"/>
      <c r="M13" s="89"/>
      <c r="N13" s="89"/>
      <c r="O13" s="89"/>
      <c r="P13" s="89"/>
      <c r="Q13" s="89"/>
      <c r="R13" s="89"/>
      <c r="S13" s="89"/>
    </row>
    <row r="14" spans="1:21" ht="12.95" customHeight="1">
      <c r="A14" s="422" t="str">
        <f>'3.1'!E5</f>
        <v>Listopad</v>
      </c>
      <c r="B14" s="422"/>
      <c r="C14" s="164" t="s">
        <v>4</v>
      </c>
      <c r="D14" s="312">
        <v>1236</v>
      </c>
      <c r="E14" s="308">
        <v>260875.96900000004</v>
      </c>
      <c r="F14" s="308">
        <v>2851524.0464299996</v>
      </c>
      <c r="G14" s="309">
        <f>E14/$E$20</f>
        <v>0.43268970989029526</v>
      </c>
      <c r="H14" s="309">
        <f>(E14-I14)/I14</f>
        <v>-4.2113981324659591E-3</v>
      </c>
      <c r="I14" s="312">
        <v>261979.26800000004</v>
      </c>
      <c r="J14" s="308">
        <v>2862955.9047600003</v>
      </c>
      <c r="K14" s="309">
        <f>I14/$I$20</f>
        <v>0.43752675418491954</v>
      </c>
      <c r="L14" s="93"/>
      <c r="M14" s="89"/>
      <c r="N14" s="89"/>
      <c r="O14" s="89"/>
      <c r="P14" s="89"/>
      <c r="Q14" s="89"/>
      <c r="R14" s="89"/>
      <c r="S14" s="89"/>
    </row>
    <row r="15" spans="1:21" ht="12.95" customHeight="1">
      <c r="A15" s="423"/>
      <c r="B15" s="423"/>
      <c r="C15" s="154" t="s">
        <v>5</v>
      </c>
      <c r="D15" s="313">
        <v>4218</v>
      </c>
      <c r="E15" s="129">
        <v>53122.220999999998</v>
      </c>
      <c r="F15" s="129">
        <v>580656.83469000005</v>
      </c>
      <c r="G15" s="307">
        <f t="shared" ref="G15:G19" si="3">E15/$E$20</f>
        <v>8.8108684296705556E-2</v>
      </c>
      <c r="H15" s="307">
        <f t="shared" ref="H15:H17" si="4">(E15-I15)/I15</f>
        <v>1.054381914882944E-2</v>
      </c>
      <c r="I15" s="313">
        <v>52567.954000000012</v>
      </c>
      <c r="J15" s="129">
        <v>574470.13531999988</v>
      </c>
      <c r="K15" s="307">
        <f t="shared" ref="K15:K19" si="5">I15/$I$20</f>
        <v>8.7792772547796272E-2</v>
      </c>
      <c r="L15" s="97"/>
      <c r="M15" s="89"/>
      <c r="N15" s="89"/>
      <c r="O15" s="89"/>
      <c r="P15" s="89"/>
      <c r="Q15" s="89"/>
      <c r="R15" s="89"/>
      <c r="S15" s="89"/>
    </row>
    <row r="16" spans="1:21" ht="12.95" customHeight="1">
      <c r="A16" s="423"/>
      <c r="B16" s="423"/>
      <c r="C16" s="154" t="s">
        <v>6</v>
      </c>
      <c r="D16" s="313">
        <v>152983</v>
      </c>
      <c r="E16" s="129">
        <v>93802.486999999994</v>
      </c>
      <c r="F16" s="129">
        <v>1025311.60084</v>
      </c>
      <c r="G16" s="307">
        <f t="shared" si="3"/>
        <v>0.15558110255459437</v>
      </c>
      <c r="H16" s="307">
        <f t="shared" si="4"/>
        <v>1.9474622574797356E-2</v>
      </c>
      <c r="I16" s="313">
        <v>92010.615000000005</v>
      </c>
      <c r="J16" s="129">
        <v>1005508.2646700001</v>
      </c>
      <c r="K16" s="307">
        <f>I16/$I$20</f>
        <v>0.15366523480593994</v>
      </c>
      <c r="L16" s="93"/>
      <c r="M16" s="89"/>
      <c r="N16" s="89"/>
      <c r="O16" s="89"/>
      <c r="P16" s="89"/>
      <c r="Q16" s="89"/>
      <c r="R16" s="89"/>
      <c r="S16" s="89"/>
    </row>
    <row r="17" spans="1:20" ht="12.95" customHeight="1">
      <c r="A17" s="423"/>
      <c r="B17" s="423"/>
      <c r="C17" s="154" t="s">
        <v>7</v>
      </c>
      <c r="D17" s="313">
        <v>2071136</v>
      </c>
      <c r="E17" s="129">
        <v>181251</v>
      </c>
      <c r="F17" s="129">
        <v>1981178.2570000002</v>
      </c>
      <c r="G17" s="307">
        <f t="shared" si="3"/>
        <v>0.30062348367290931</v>
      </c>
      <c r="H17" s="307">
        <f t="shared" si="4"/>
        <v>3.5971593101181719E-2</v>
      </c>
      <c r="I17" s="313">
        <v>174957.5</v>
      </c>
      <c r="J17" s="129">
        <v>1911965.7</v>
      </c>
      <c r="K17" s="307">
        <f>I17/$I$20</f>
        <v>0.29219330094207324</v>
      </c>
      <c r="L17" s="93"/>
      <c r="M17" s="89"/>
      <c r="N17" s="89"/>
      <c r="O17" s="89"/>
      <c r="P17" s="89"/>
      <c r="Q17" s="89"/>
      <c r="R17" s="89"/>
      <c r="S17" s="89"/>
    </row>
    <row r="18" spans="1:20" ht="12.95" customHeight="1">
      <c r="A18" s="423"/>
      <c r="B18" s="423"/>
      <c r="C18" s="154" t="s">
        <v>93</v>
      </c>
      <c r="D18" s="313">
        <v>213</v>
      </c>
      <c r="E18" s="129">
        <v>6278.9699999999993</v>
      </c>
      <c r="F18" s="129">
        <v>68632.693780000001</v>
      </c>
      <c r="G18" s="307">
        <f t="shared" si="3"/>
        <v>1.0414319563906886E-2</v>
      </c>
      <c r="H18" s="307">
        <f>(E18-I18)/I18</f>
        <v>2.9875217039160767E-2</v>
      </c>
      <c r="I18" s="313">
        <v>6096.8260000000009</v>
      </c>
      <c r="J18" s="129">
        <v>66627.152690000003</v>
      </c>
      <c r="K18" s="307">
        <f>I18/$I$20</f>
        <v>1.0182196900444147E-2</v>
      </c>
      <c r="L18" s="93"/>
      <c r="M18" s="89"/>
      <c r="N18" s="89"/>
      <c r="O18" s="89"/>
      <c r="P18" s="89"/>
      <c r="Q18" s="89"/>
      <c r="R18" s="89"/>
      <c r="S18" s="89"/>
    </row>
    <row r="19" spans="1:20" ht="12.95" customHeight="1">
      <c r="A19" s="423"/>
      <c r="B19" s="423"/>
      <c r="C19" s="154" t="s">
        <v>94</v>
      </c>
      <c r="D19" s="313"/>
      <c r="E19" s="129">
        <v>7586.3233761684169</v>
      </c>
      <c r="F19" s="129">
        <v>82922.840319999988</v>
      </c>
      <c r="G19" s="307">
        <f t="shared" si="3"/>
        <v>1.2582700021588716E-2</v>
      </c>
      <c r="H19" s="307">
        <f t="shared" ref="H19" si="6">(E19-I19)/I19</f>
        <v>-0.32028136465525781</v>
      </c>
      <c r="I19" s="313">
        <v>11160.976000489905</v>
      </c>
      <c r="J19" s="129">
        <v>121969.07245000007</v>
      </c>
      <c r="K19" s="307">
        <f t="shared" si="5"/>
        <v>1.8639740618826877E-2</v>
      </c>
      <c r="L19" s="93"/>
      <c r="M19" s="89"/>
      <c r="N19" s="89"/>
      <c r="O19" s="89"/>
      <c r="P19" s="89"/>
      <c r="Q19" s="89"/>
      <c r="R19" s="89"/>
      <c r="S19" s="89"/>
    </row>
    <row r="20" spans="1:20" ht="12.95" customHeight="1">
      <c r="A20" s="424"/>
      <c r="B20" s="424"/>
      <c r="C20" s="318" t="s">
        <v>0</v>
      </c>
      <c r="D20" s="321">
        <v>2229786</v>
      </c>
      <c r="E20" s="319">
        <v>602916.97037616838</v>
      </c>
      <c r="F20" s="319">
        <v>6590226.2730600005</v>
      </c>
      <c r="G20" s="320">
        <f>SUM(G14:G19)</f>
        <v>1</v>
      </c>
      <c r="H20" s="320">
        <f>(E20-I20)/I20</f>
        <v>6.9205365200509239E-3</v>
      </c>
      <c r="I20" s="321">
        <v>598773.13900048996</v>
      </c>
      <c r="J20" s="319">
        <v>6543496.2298900001</v>
      </c>
      <c r="K20" s="320">
        <f>SUM(K14:K19)</f>
        <v>1</v>
      </c>
      <c r="L20" s="93"/>
      <c r="M20" s="89"/>
      <c r="N20" s="89"/>
      <c r="O20" s="89"/>
      <c r="P20" s="89"/>
      <c r="Q20" s="89"/>
      <c r="R20" s="89"/>
      <c r="S20" s="89"/>
    </row>
    <row r="21" spans="1:20" ht="12.95" customHeight="1">
      <c r="A21" s="422" t="str">
        <f>'3.1'!F5</f>
        <v>Prosinec</v>
      </c>
      <c r="B21" s="422"/>
      <c r="C21" s="164" t="s">
        <v>4</v>
      </c>
      <c r="D21" s="312">
        <v>1235</v>
      </c>
      <c r="E21" s="308">
        <v>260639.89300000001</v>
      </c>
      <c r="F21" s="308">
        <v>2842402.9293899997</v>
      </c>
      <c r="G21" s="309">
        <f>E21/$E$27</f>
        <v>0.36452763235737268</v>
      </c>
      <c r="H21" s="309">
        <f>(E21-I21)/I21</f>
        <v>-4.9696153491927055E-2</v>
      </c>
      <c r="I21" s="312">
        <v>274270.06000000006</v>
      </c>
      <c r="J21" s="308">
        <v>2985948.16041</v>
      </c>
      <c r="K21" s="309">
        <f>I21/$I$27</f>
        <v>0.35746671362597826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2.95" customHeight="1">
      <c r="A22" s="423"/>
      <c r="B22" s="423"/>
      <c r="C22" s="154" t="s">
        <v>5</v>
      </c>
      <c r="D22" s="313">
        <v>4218</v>
      </c>
      <c r="E22" s="129">
        <v>62080.027999999991</v>
      </c>
      <c r="F22" s="129">
        <v>677011.45146999997</v>
      </c>
      <c r="G22" s="307">
        <f t="shared" ref="G22:G26" si="7">E22/$E$27</f>
        <v>8.682433591821416E-2</v>
      </c>
      <c r="H22" s="307">
        <f t="shared" ref="H22:H26" si="8">(E22-I22)/I22</f>
        <v>-6.5823663190578224E-2</v>
      </c>
      <c r="I22" s="313">
        <v>66454.292999999991</v>
      </c>
      <c r="J22" s="129">
        <v>723480.17970000033</v>
      </c>
      <c r="K22" s="307">
        <f t="shared" ref="K22:K26" si="9">I22/$I$27</f>
        <v>8.6612434930184667E-2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23"/>
      <c r="B23" s="423"/>
      <c r="C23" s="154" t="s">
        <v>6</v>
      </c>
      <c r="D23" s="313">
        <v>153058</v>
      </c>
      <c r="E23" s="129">
        <v>125858.65200000002</v>
      </c>
      <c r="F23" s="129">
        <v>1372550.13283</v>
      </c>
      <c r="G23" s="307">
        <f t="shared" si="7"/>
        <v>0.1760243065525296</v>
      </c>
      <c r="H23" s="307">
        <f t="shared" si="8"/>
        <v>-6.2274820331801095E-2</v>
      </c>
      <c r="I23" s="313">
        <v>134216.99099999998</v>
      </c>
      <c r="J23" s="129">
        <v>1461204.27254</v>
      </c>
      <c r="K23" s="307">
        <f t="shared" si="9"/>
        <v>0.17493016439905065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23"/>
      <c r="B24" s="423"/>
      <c r="C24" s="154" t="s">
        <v>7</v>
      </c>
      <c r="D24" s="313">
        <v>2070265</v>
      </c>
      <c r="E24" s="129">
        <v>250016.7</v>
      </c>
      <c r="F24" s="129">
        <v>2726552.6570000001</v>
      </c>
      <c r="G24" s="307">
        <f t="shared" si="7"/>
        <v>0.34967017002575096</v>
      </c>
      <c r="H24" s="307">
        <f t="shared" si="8"/>
        <v>-7.8459848044493283E-2</v>
      </c>
      <c r="I24" s="313">
        <v>271303.09999999998</v>
      </c>
      <c r="J24" s="129">
        <v>2953645.9000000004</v>
      </c>
      <c r="K24" s="307">
        <f t="shared" si="9"/>
        <v>0.35359976059195131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23"/>
      <c r="B25" s="423"/>
      <c r="C25" s="154" t="s">
        <v>93</v>
      </c>
      <c r="D25" s="313">
        <v>214</v>
      </c>
      <c r="E25" s="129">
        <v>5992.338999999999</v>
      </c>
      <c r="F25" s="129">
        <v>65349.351559999988</v>
      </c>
      <c r="G25" s="307">
        <f t="shared" si="7"/>
        <v>8.3808089498898994E-3</v>
      </c>
      <c r="H25" s="307">
        <f t="shared" si="8"/>
        <v>-3.4891715725978205E-2</v>
      </c>
      <c r="I25" s="313">
        <v>6208.9809999999989</v>
      </c>
      <c r="J25" s="129">
        <v>67596.469299999997</v>
      </c>
      <c r="K25" s="307">
        <f t="shared" si="9"/>
        <v>8.092403644189743E-3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23"/>
      <c r="B26" s="423"/>
      <c r="C26" s="154" t="s">
        <v>94</v>
      </c>
      <c r="D26" s="313"/>
      <c r="E26" s="129">
        <v>10419.618904448815</v>
      </c>
      <c r="F26" s="129">
        <v>113630.95165000002</v>
      </c>
      <c r="G26" s="307">
        <f t="shared" si="7"/>
        <v>1.4572746196242674E-2</v>
      </c>
      <c r="H26" s="307">
        <f t="shared" si="8"/>
        <v>-0.29630417625944067</v>
      </c>
      <c r="I26" s="313">
        <v>14806.992670586533</v>
      </c>
      <c r="J26" s="129">
        <v>161202.04751000003</v>
      </c>
      <c r="K26" s="307">
        <f t="shared" si="9"/>
        <v>1.9298522808645299E-2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24"/>
      <c r="B27" s="424"/>
      <c r="C27" s="318" t="s">
        <v>0</v>
      </c>
      <c r="D27" s="321">
        <v>2228990</v>
      </c>
      <c r="E27" s="319">
        <v>715007.23090444889</v>
      </c>
      <c r="F27" s="319">
        <v>7797497.4739000006</v>
      </c>
      <c r="G27" s="320">
        <f>SUM(G21:G26)</f>
        <v>1</v>
      </c>
      <c r="H27" s="320">
        <f>(E27-I27)/I27</f>
        <v>-6.8103587208081351E-2</v>
      </c>
      <c r="I27" s="321">
        <v>767260.41767058661</v>
      </c>
      <c r="J27" s="319">
        <v>8353077.0294600008</v>
      </c>
      <c r="K27" s="320">
        <f>SUM(K21:K26)</f>
        <v>0.99999999999999989</v>
      </c>
      <c r="M27" s="89"/>
      <c r="N27" s="89"/>
      <c r="O27" s="89"/>
      <c r="P27" s="89"/>
      <c r="Q27" s="89"/>
      <c r="R27" s="89"/>
      <c r="S27" s="89"/>
    </row>
    <row r="28" spans="1:20" ht="12.95" customHeight="1">
      <c r="A28" s="491" t="str">
        <f>'3.1'!G5</f>
        <v>IV. čtvrtletí</v>
      </c>
      <c r="B28" s="422"/>
      <c r="C28" s="164" t="s">
        <v>4</v>
      </c>
      <c r="D28" s="312">
        <f>D21</f>
        <v>1235</v>
      </c>
      <c r="E28" s="308">
        <f>E7+E14+E21</f>
        <v>744150.2080000001</v>
      </c>
      <c r="F28" s="308">
        <f>F7+F14+F21</f>
        <v>8136844.3332199994</v>
      </c>
      <c r="G28" s="309">
        <f>E28/$E$34</f>
        <v>0.43865520151499887</v>
      </c>
      <c r="H28" s="309">
        <f>(E28-I28)/I28</f>
        <v>-1.5390187362958404E-2</v>
      </c>
      <c r="I28" s="312">
        <f>I7+I14+I21</f>
        <v>755781.83200000005</v>
      </c>
      <c r="J28" s="308">
        <f>J7+J14+J21</f>
        <v>8254917.4208000004</v>
      </c>
      <c r="K28" s="309">
        <f>I28/$I$34</f>
        <v>0.42665905557501693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23"/>
      <c r="B29" s="423"/>
      <c r="C29" s="154" t="s">
        <v>5</v>
      </c>
      <c r="D29" s="313">
        <f t="shared" ref="D29:D32" si="10">D22</f>
        <v>4218</v>
      </c>
      <c r="E29" s="129">
        <f>E8+E15+E22</f>
        <v>147234.041</v>
      </c>
      <c r="F29" s="129">
        <f t="shared" ref="F29" si="11">F8+F15+F22</f>
        <v>1609144.9399699999</v>
      </c>
      <c r="G29" s="307">
        <f t="shared" ref="G29:G33" si="12">E29/$E$34</f>
        <v>8.6790243730903577E-2</v>
      </c>
      <c r="H29" s="307">
        <f t="shared" ref="H29:H31" si="13">(E29-I29)/I29</f>
        <v>-4.3345692220976687E-2</v>
      </c>
      <c r="I29" s="313">
        <f>I8+I15+I22</f>
        <v>153905.16700000002</v>
      </c>
      <c r="J29" s="129">
        <f t="shared" ref="J29" si="14">J8+J15+J22</f>
        <v>1680258.4847900001</v>
      </c>
      <c r="K29" s="307">
        <f t="shared" ref="K29:K33" si="15">I29/$I$34</f>
        <v>8.6883582563195644E-2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23"/>
      <c r="B30" s="423"/>
      <c r="C30" s="154" t="s">
        <v>6</v>
      </c>
      <c r="D30" s="313">
        <f t="shared" si="10"/>
        <v>153058</v>
      </c>
      <c r="E30" s="129">
        <f t="shared" ref="E30:F33" si="16">E9+E16+E23</f>
        <v>259611.99300000002</v>
      </c>
      <c r="F30" s="129">
        <f t="shared" si="16"/>
        <v>2836232.5498600001</v>
      </c>
      <c r="G30" s="307">
        <f t="shared" si="12"/>
        <v>0.15303382285035316</v>
      </c>
      <c r="H30" s="307">
        <f t="shared" si="13"/>
        <v>-5.5318495481386842E-2</v>
      </c>
      <c r="I30" s="313">
        <f t="shared" ref="I30:J32" si="17">I9+I16+I23</f>
        <v>274814.30699999997</v>
      </c>
      <c r="J30" s="129">
        <f t="shared" si="17"/>
        <v>2999207.1839500004</v>
      </c>
      <c r="K30" s="307">
        <f t="shared" si="15"/>
        <v>0.1551400254923338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23"/>
      <c r="B31" s="423"/>
      <c r="C31" s="154" t="s">
        <v>7</v>
      </c>
      <c r="D31" s="313">
        <f t="shared" si="10"/>
        <v>2070265</v>
      </c>
      <c r="E31" s="129">
        <f>E10+E17+E24</f>
        <v>505277.7</v>
      </c>
      <c r="F31" s="129">
        <f t="shared" si="16"/>
        <v>5519828.3140000002</v>
      </c>
      <c r="G31" s="307">
        <f t="shared" si="12"/>
        <v>0.29784671015577424</v>
      </c>
      <c r="H31" s="307">
        <f t="shared" si="13"/>
        <v>-5.8699118048028708E-2</v>
      </c>
      <c r="I31" s="313">
        <f>I10+I17+I24</f>
        <v>536786.6</v>
      </c>
      <c r="J31" s="129">
        <f t="shared" si="17"/>
        <v>5857749.1000000006</v>
      </c>
      <c r="K31" s="307">
        <f t="shared" si="15"/>
        <v>0.30303039065554616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23"/>
      <c r="B32" s="423"/>
      <c r="C32" s="154" t="s">
        <v>93</v>
      </c>
      <c r="D32" s="313">
        <f t="shared" si="10"/>
        <v>214</v>
      </c>
      <c r="E32" s="129">
        <f>E11+E18+E25</f>
        <v>18495.543999999998</v>
      </c>
      <c r="F32" s="129">
        <f t="shared" si="16"/>
        <v>202279.19469999999</v>
      </c>
      <c r="G32" s="307">
        <f t="shared" si="12"/>
        <v>1.0902592639535386E-2</v>
      </c>
      <c r="H32" s="307">
        <f>(E32-I32)/I32</f>
        <v>3.3535696222422098E-2</v>
      </c>
      <c r="I32" s="313">
        <f>I11+I18+I25</f>
        <v>17895.409</v>
      </c>
      <c r="J32" s="129">
        <f t="shared" si="17"/>
        <v>195484.05210999999</v>
      </c>
      <c r="K32" s="307">
        <f t="shared" si="15"/>
        <v>1.0102436946471421E-2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23"/>
      <c r="B33" s="423"/>
      <c r="C33" s="154" t="s">
        <v>94</v>
      </c>
      <c r="D33" s="313"/>
      <c r="E33" s="129">
        <f t="shared" si="16"/>
        <v>21665.904324570241</v>
      </c>
      <c r="F33" s="129">
        <f t="shared" si="16"/>
        <v>236713.7438</v>
      </c>
      <c r="G33" s="307">
        <f t="shared" si="12"/>
        <v>1.2771429108434844E-2</v>
      </c>
      <c r="H33" s="307">
        <f t="shared" ref="H33" si="18">(E33-I33)/I33</f>
        <v>-0.32739550209115592</v>
      </c>
      <c r="I33" s="313">
        <f t="shared" ref="I33:J33" si="19">I12+I19+I26</f>
        <v>32211.952777494735</v>
      </c>
      <c r="J33" s="129">
        <f t="shared" si="19"/>
        <v>351603.36817999999</v>
      </c>
      <c r="K33" s="307">
        <f t="shared" si="15"/>
        <v>1.8184508767436137E-2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24"/>
      <c r="B34" s="424"/>
      <c r="C34" s="318" t="s">
        <v>0</v>
      </c>
      <c r="D34" s="321">
        <f>SUM(D28:D33)</f>
        <v>2228990</v>
      </c>
      <c r="E34" s="319">
        <f>SUM(E28:E33)</f>
        <v>1696435.3903245702</v>
      </c>
      <c r="F34" s="319">
        <f>SUM(F28:F33)</f>
        <v>18541043.075549997</v>
      </c>
      <c r="G34" s="320">
        <f>SUM(G28:G33)</f>
        <v>1</v>
      </c>
      <c r="H34" s="320">
        <f>(E34-I34)/I34</f>
        <v>-4.2316855428305294E-2</v>
      </c>
      <c r="I34" s="321">
        <f>SUM(I28:I33)</f>
        <v>1771395.2677774946</v>
      </c>
      <c r="J34" s="319">
        <f>SUM(J28:J33)</f>
        <v>19339219.609830003</v>
      </c>
      <c r="K34" s="320">
        <f>SUM(K28:K33)</f>
        <v>1</v>
      </c>
      <c r="M34" s="89"/>
      <c r="N34" s="89"/>
      <c r="O34" s="89"/>
      <c r="P34" s="89"/>
      <c r="Q34" s="89"/>
      <c r="R34" s="89"/>
      <c r="S34" s="89"/>
    </row>
    <row r="35" spans="1:20" ht="20.100000000000001" customHeight="1">
      <c r="A35" s="126"/>
      <c r="B35" s="303"/>
      <c r="C35" s="101"/>
      <c r="D35" s="88"/>
      <c r="E35" s="88"/>
      <c r="F35" s="88"/>
      <c r="G35" s="476" t="s">
        <v>270</v>
      </c>
      <c r="H35" s="476"/>
      <c r="I35" s="476"/>
      <c r="J35" s="476"/>
      <c r="K35" s="476"/>
    </row>
    <row r="36" spans="1:20" ht="15" customHeight="1">
      <c r="A36" s="468" t="s">
        <v>269</v>
      </c>
      <c r="B36" s="468"/>
      <c r="C36" s="468"/>
      <c r="D36" s="468"/>
      <c r="E36" s="468"/>
      <c r="F36" s="119"/>
      <c r="G36" s="476"/>
      <c r="H36" s="476"/>
      <c r="I36" s="476"/>
      <c r="J36" s="476"/>
      <c r="K36" s="476"/>
      <c r="M36" s="93"/>
      <c r="N36" s="93"/>
      <c r="O36" s="93"/>
      <c r="P36" s="93"/>
      <c r="Q36" s="93"/>
      <c r="R36" s="93"/>
      <c r="S36" s="93"/>
    </row>
    <row r="37" spans="1:20" ht="15" customHeight="1">
      <c r="A37" s="469" t="str">
        <f>A28</f>
        <v>IV. čtvrtletí</v>
      </c>
      <c r="B37" s="470"/>
      <c r="C37" s="470"/>
      <c r="D37" s="470"/>
      <c r="E37" s="470"/>
      <c r="F37" s="125"/>
      <c r="G37" s="471" t="str">
        <f>A28</f>
        <v>IV. čtvrtletí</v>
      </c>
      <c r="H37" s="471"/>
      <c r="I37" s="471"/>
      <c r="J37" s="471"/>
      <c r="K37" s="471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2023</v>
      </c>
      <c r="D41" s="94">
        <f>I3</f>
        <v>2022</v>
      </c>
      <c r="E41" s="76"/>
      <c r="F41" s="76"/>
      <c r="G41" s="76"/>
      <c r="H41" s="94"/>
      <c r="I41" s="94">
        <f>D3</f>
        <v>2023</v>
      </c>
      <c r="J41" s="94">
        <f>I3</f>
        <v>2022</v>
      </c>
      <c r="K41" s="94"/>
    </row>
    <row r="42" spans="1:20" ht="15" customHeight="1">
      <c r="A42" s="94"/>
      <c r="B42" s="94" t="str">
        <f>A7</f>
        <v>Říjen</v>
      </c>
      <c r="C42" s="78">
        <f>E13</f>
        <v>378511.18904395303</v>
      </c>
      <c r="D42" s="78">
        <f>I13</f>
        <v>405361.71110641828</v>
      </c>
      <c r="E42" s="76"/>
      <c r="F42" s="76"/>
      <c r="G42" s="76"/>
      <c r="H42" s="94" t="str">
        <f>A7</f>
        <v>Říjen</v>
      </c>
      <c r="I42" s="95">
        <f>E13/E34</f>
        <v>0.22312148827049313</v>
      </c>
      <c r="J42" s="95">
        <f>I13/I34</f>
        <v>0.22883752625974377</v>
      </c>
      <c r="K42" s="94"/>
    </row>
    <row r="43" spans="1:20" ht="15" customHeight="1">
      <c r="A43" s="94"/>
      <c r="B43" s="94" t="str">
        <f>A14</f>
        <v>Listopad</v>
      </c>
      <c r="C43" s="78">
        <f>E20</f>
        <v>602916.97037616838</v>
      </c>
      <c r="D43" s="78">
        <f>I20</f>
        <v>598773.13900048996</v>
      </c>
      <c r="E43" s="76"/>
      <c r="F43" s="76"/>
      <c r="G43" s="76"/>
      <c r="H43" s="94" t="str">
        <f>A14</f>
        <v>Listopad</v>
      </c>
      <c r="I43" s="95">
        <f>E20/E34</f>
        <v>0.35540225924007363</v>
      </c>
      <c r="J43" s="95">
        <f>I20/I34</f>
        <v>0.33802344958940128</v>
      </c>
      <c r="K43" s="94"/>
    </row>
    <row r="44" spans="1:20" ht="15" customHeight="1">
      <c r="A44" s="94"/>
      <c r="B44" s="94" t="str">
        <f>A21</f>
        <v>Prosinec</v>
      </c>
      <c r="C44" s="78">
        <f>E27</f>
        <v>715007.23090444889</v>
      </c>
      <c r="D44" s="78">
        <f>I27</f>
        <v>767260.41767058661</v>
      </c>
      <c r="E44" s="76"/>
      <c r="F44" s="76"/>
      <c r="G44" s="76"/>
      <c r="H44" s="94" t="str">
        <f>A21</f>
        <v>Prosinec</v>
      </c>
      <c r="I44" s="95">
        <f>E27/E34</f>
        <v>0.42147625248943332</v>
      </c>
      <c r="J44" s="95">
        <f>I27/I34</f>
        <v>0.43313902415085503</v>
      </c>
      <c r="K44" s="94"/>
    </row>
    <row r="45" spans="1:20" ht="15" customHeight="1">
      <c r="A45" s="94"/>
      <c r="B45" s="94"/>
      <c r="C45" s="78">
        <f>SUM(C42:C44)</f>
        <v>1696435.3903245702</v>
      </c>
      <c r="D45" s="78">
        <f>SUM(D42:D44)</f>
        <v>1771395.2677774949</v>
      </c>
      <c r="E45" s="94"/>
      <c r="F45" s="94"/>
      <c r="G45" s="94"/>
      <c r="H45" s="94"/>
      <c r="I45" s="96">
        <f>SUM(I42:I44)</f>
        <v>1</v>
      </c>
      <c r="J45" s="96">
        <f>SUM(J42:J44)</f>
        <v>1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  <mergeCell ref="A1:K1"/>
    <mergeCell ref="A2:C2"/>
    <mergeCell ref="E3:G4"/>
    <mergeCell ref="I3:K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2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62" t="s">
        <v>298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</row>
    <row r="2" spans="1:21" ht="6" customHeight="1">
      <c r="A2" s="477"/>
      <c r="B2" s="477"/>
      <c r="C2" s="477"/>
      <c r="D2" s="315"/>
      <c r="E2" s="315"/>
      <c r="F2" s="316"/>
      <c r="G2" s="317"/>
      <c r="H2" s="317"/>
      <c r="I2" s="317"/>
      <c r="J2" s="279"/>
      <c r="K2" s="279"/>
    </row>
    <row r="3" spans="1:21" ht="15" customHeight="1">
      <c r="A3" s="487" t="s">
        <v>207</v>
      </c>
      <c r="B3" s="487"/>
      <c r="C3" s="487"/>
      <c r="D3" s="341">
        <f>'3.1'!A4</f>
        <v>2023</v>
      </c>
      <c r="E3" s="482"/>
      <c r="F3" s="482"/>
      <c r="G3" s="482"/>
      <c r="H3" s="340"/>
      <c r="I3" s="481">
        <f>D3-1</f>
        <v>2022</v>
      </c>
      <c r="J3" s="482"/>
      <c r="K3" s="482"/>
    </row>
    <row r="4" spans="1:21" ht="50.1" customHeight="1">
      <c r="A4" s="488"/>
      <c r="B4" s="488"/>
      <c r="C4" s="488"/>
      <c r="D4" s="343"/>
      <c r="E4" s="484"/>
      <c r="F4" s="484"/>
      <c r="G4" s="484"/>
      <c r="H4" s="174"/>
      <c r="I4" s="483"/>
      <c r="J4" s="484"/>
      <c r="K4" s="484"/>
    </row>
    <row r="5" spans="1:21" ht="24.95" customHeight="1">
      <c r="A5" s="487" t="s">
        <v>158</v>
      </c>
      <c r="B5" s="487"/>
      <c r="C5" s="489" t="s">
        <v>184</v>
      </c>
      <c r="D5" s="485" t="s">
        <v>159</v>
      </c>
      <c r="E5" s="479" t="s">
        <v>60</v>
      </c>
      <c r="F5" s="479"/>
      <c r="G5" s="480" t="s">
        <v>33</v>
      </c>
      <c r="H5" s="480" t="s">
        <v>268</v>
      </c>
      <c r="I5" s="478" t="s">
        <v>60</v>
      </c>
      <c r="J5" s="479"/>
      <c r="K5" s="480" t="s">
        <v>33</v>
      </c>
    </row>
    <row r="6" spans="1:21" ht="22.5" customHeight="1">
      <c r="A6" s="488"/>
      <c r="B6" s="488"/>
      <c r="C6" s="490"/>
      <c r="D6" s="486"/>
      <c r="E6" s="219" t="s">
        <v>259</v>
      </c>
      <c r="F6" s="219" t="s">
        <v>260</v>
      </c>
      <c r="G6" s="467"/>
      <c r="H6" s="467"/>
      <c r="I6" s="221" t="s">
        <v>259</v>
      </c>
      <c r="J6" s="219" t="s">
        <v>260</v>
      </c>
      <c r="K6" s="467"/>
    </row>
    <row r="7" spans="1:21" ht="12.95" customHeight="1">
      <c r="A7" s="422" t="str">
        <f>'3.1'!D5</f>
        <v>Říjen</v>
      </c>
      <c r="B7" s="422"/>
      <c r="C7" s="164" t="s">
        <v>4</v>
      </c>
      <c r="D7" s="312">
        <v>97</v>
      </c>
      <c r="E7" s="308">
        <v>7412.838060000001</v>
      </c>
      <c r="F7" s="308">
        <v>81444.850670000014</v>
      </c>
      <c r="G7" s="309">
        <f t="shared" ref="G7:G12" si="0">E7/$E$13</f>
        <v>0.42604455868581037</v>
      </c>
      <c r="H7" s="309">
        <f>(E7-I7)/I7</f>
        <v>-0.19216426595338024</v>
      </c>
      <c r="I7" s="312">
        <v>9176.1700400000009</v>
      </c>
      <c r="J7" s="308">
        <v>100494.66093</v>
      </c>
      <c r="K7" s="309">
        <f>I7/$I$13</f>
        <v>0.47796231630641273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2.95" customHeight="1">
      <c r="A8" s="423"/>
      <c r="B8" s="423"/>
      <c r="C8" s="154" t="s">
        <v>5</v>
      </c>
      <c r="D8" s="313">
        <v>326</v>
      </c>
      <c r="E8" s="129">
        <v>2497.93039</v>
      </c>
      <c r="F8" s="129">
        <v>27444.76122</v>
      </c>
      <c r="G8" s="307">
        <f t="shared" si="0"/>
        <v>0.1435657493151043</v>
      </c>
      <c r="H8" s="307">
        <f t="shared" ref="H8:H11" si="1">(E8-I8)/I8</f>
        <v>1.2657189258242482E-2</v>
      </c>
      <c r="I8" s="313">
        <v>2466.7087899999997</v>
      </c>
      <c r="J8" s="129">
        <v>27014.654640000001</v>
      </c>
      <c r="K8" s="307">
        <f t="shared" ref="K8:K12" si="2">I8/$I$13</f>
        <v>0.12848430682762155</v>
      </c>
      <c r="L8" s="93"/>
      <c r="M8" s="89"/>
      <c r="N8" s="89"/>
      <c r="O8" s="89"/>
      <c r="P8" s="89"/>
      <c r="Q8" s="89"/>
      <c r="R8" s="89"/>
      <c r="S8" s="89"/>
    </row>
    <row r="9" spans="1:21" ht="12.95" customHeight="1">
      <c r="A9" s="423"/>
      <c r="B9" s="423"/>
      <c r="C9" s="154" t="s">
        <v>6</v>
      </c>
      <c r="D9" s="313">
        <v>10626</v>
      </c>
      <c r="E9" s="129">
        <v>2640.41021</v>
      </c>
      <c r="F9" s="129">
        <v>29010.182580000001</v>
      </c>
      <c r="G9" s="307">
        <f t="shared" si="0"/>
        <v>0.15175461726853881</v>
      </c>
      <c r="H9" s="307">
        <f t="shared" si="1"/>
        <v>-2.71873878169465E-2</v>
      </c>
      <c r="I9" s="313">
        <v>2714.2022800000004</v>
      </c>
      <c r="J9" s="129">
        <v>29725.129110000002</v>
      </c>
      <c r="K9" s="307">
        <f t="shared" si="2"/>
        <v>0.1413755851316969</v>
      </c>
      <c r="L9" s="93"/>
      <c r="M9" s="89"/>
      <c r="N9" s="89"/>
      <c r="O9" s="89"/>
      <c r="P9" s="89"/>
      <c r="Q9" s="89"/>
      <c r="R9" s="89"/>
      <c r="S9" s="89"/>
    </row>
    <row r="10" spans="1:21" ht="12.95" customHeight="1">
      <c r="A10" s="423"/>
      <c r="B10" s="423"/>
      <c r="C10" s="154" t="s">
        <v>7</v>
      </c>
      <c r="D10" s="313">
        <v>100847</v>
      </c>
      <c r="E10" s="129">
        <v>4027.2917299999999</v>
      </c>
      <c r="F10" s="129">
        <v>44248.412240000005</v>
      </c>
      <c r="G10" s="307">
        <f t="shared" si="0"/>
        <v>0.23146407811947581</v>
      </c>
      <c r="H10" s="307">
        <f t="shared" si="1"/>
        <v>-2.7187534907717446E-2</v>
      </c>
      <c r="I10" s="313">
        <v>4139.8438800000004</v>
      </c>
      <c r="J10" s="129">
        <v>45339.419249999999</v>
      </c>
      <c r="K10" s="307">
        <f t="shared" si="2"/>
        <v>0.2156334681469925</v>
      </c>
      <c r="L10" s="93"/>
      <c r="M10" s="89"/>
      <c r="N10" s="89"/>
      <c r="O10" s="89"/>
      <c r="P10" s="89"/>
      <c r="Q10" s="89"/>
      <c r="R10" s="89"/>
      <c r="S10" s="89"/>
    </row>
    <row r="11" spans="1:21" ht="12.95" customHeight="1">
      <c r="A11" s="423"/>
      <c r="B11" s="423"/>
      <c r="C11" s="154" t="s">
        <v>93</v>
      </c>
      <c r="D11" s="313">
        <v>18</v>
      </c>
      <c r="E11" s="129">
        <v>377.50300000000004</v>
      </c>
      <c r="F11" s="129">
        <v>4147.7439999999997</v>
      </c>
      <c r="G11" s="307">
        <f t="shared" si="0"/>
        <v>2.1696561793981706E-2</v>
      </c>
      <c r="H11" s="307">
        <f t="shared" si="1"/>
        <v>8.8491492533440366E-2</v>
      </c>
      <c r="I11" s="313">
        <v>346.81299999999999</v>
      </c>
      <c r="J11" s="129">
        <v>3797.6349999999998</v>
      </c>
      <c r="K11" s="307">
        <f t="shared" si="2"/>
        <v>1.8064567688108785E-2</v>
      </c>
      <c r="L11" s="93"/>
      <c r="M11" s="89"/>
      <c r="N11" s="89"/>
      <c r="O11" s="89"/>
      <c r="P11" s="89"/>
      <c r="Q11" s="89"/>
      <c r="R11" s="89"/>
      <c r="S11" s="89"/>
    </row>
    <row r="12" spans="1:21" ht="12.95" customHeight="1">
      <c r="A12" s="423"/>
      <c r="B12" s="423"/>
      <c r="C12" s="154" t="s">
        <v>94</v>
      </c>
      <c r="D12" s="313"/>
      <c r="E12" s="129">
        <v>443.23500000000001</v>
      </c>
      <c r="F12" s="129">
        <v>4869.8478356000005</v>
      </c>
      <c r="G12" s="307">
        <f t="shared" si="0"/>
        <v>2.5474434817088821E-2</v>
      </c>
      <c r="H12" s="307">
        <f>(E12-I12)/I12</f>
        <v>0.24930943898259209</v>
      </c>
      <c r="I12" s="313">
        <v>354.78400000000005</v>
      </c>
      <c r="J12" s="129">
        <v>3885.4969999999998</v>
      </c>
      <c r="K12" s="307">
        <f t="shared" si="2"/>
        <v>1.8479755899167529E-2</v>
      </c>
      <c r="L12" s="93"/>
      <c r="M12" s="89"/>
      <c r="N12" s="89"/>
      <c r="O12" s="89"/>
      <c r="P12" s="89"/>
      <c r="Q12" s="89"/>
      <c r="R12" s="89"/>
      <c r="S12" s="89"/>
    </row>
    <row r="13" spans="1:21" ht="12.95" customHeight="1">
      <c r="A13" s="424"/>
      <c r="B13" s="424"/>
      <c r="C13" s="318" t="s">
        <v>0</v>
      </c>
      <c r="D13" s="321">
        <v>111914</v>
      </c>
      <c r="E13" s="319">
        <v>17399.208390000003</v>
      </c>
      <c r="F13" s="319">
        <v>191165.79854560003</v>
      </c>
      <c r="G13" s="320">
        <f>SUM(G7:G12)</f>
        <v>0.99999999999999978</v>
      </c>
      <c r="H13" s="320">
        <f>(E13-I13)/I13</f>
        <v>-9.3721464649060601E-2</v>
      </c>
      <c r="I13" s="321">
        <v>19198.521990000001</v>
      </c>
      <c r="J13" s="319">
        <v>210256.99593000003</v>
      </c>
      <c r="K13" s="320">
        <f>SUM(K7:K12)</f>
        <v>1</v>
      </c>
      <c r="L13" s="93"/>
      <c r="M13" s="89"/>
      <c r="N13" s="89"/>
      <c r="O13" s="89"/>
      <c r="P13" s="89"/>
      <c r="Q13" s="89"/>
      <c r="R13" s="89"/>
      <c r="S13" s="89"/>
    </row>
    <row r="14" spans="1:21" ht="12.95" customHeight="1">
      <c r="A14" s="422" t="str">
        <f>'3.1'!E5</f>
        <v>Listopad</v>
      </c>
      <c r="B14" s="422"/>
      <c r="C14" s="164" t="s">
        <v>4</v>
      </c>
      <c r="D14" s="312">
        <v>96</v>
      </c>
      <c r="E14" s="308">
        <v>8535.8503700000001</v>
      </c>
      <c r="F14" s="308">
        <v>93424.005920000011</v>
      </c>
      <c r="G14" s="309">
        <f>E14/$E$20</f>
        <v>0.29490639687572456</v>
      </c>
      <c r="H14" s="309">
        <f>(E14-I14)/I14</f>
        <v>-0.20167009260732202</v>
      </c>
      <c r="I14" s="312">
        <v>10692.134029999999</v>
      </c>
      <c r="J14" s="308">
        <v>116430.89277000001</v>
      </c>
      <c r="K14" s="309">
        <f>I14/$I$20</f>
        <v>0.35951612768728375</v>
      </c>
      <c r="L14" s="93"/>
      <c r="M14" s="89"/>
      <c r="N14" s="89"/>
      <c r="O14" s="89"/>
      <c r="P14" s="89"/>
      <c r="Q14" s="89"/>
      <c r="R14" s="89"/>
      <c r="S14" s="89"/>
    </row>
    <row r="15" spans="1:21" ht="12.95" customHeight="1">
      <c r="A15" s="423"/>
      <c r="B15" s="423"/>
      <c r="C15" s="154" t="s">
        <v>5</v>
      </c>
      <c r="D15" s="313">
        <v>328</v>
      </c>
      <c r="E15" s="129">
        <v>3919.8295200000002</v>
      </c>
      <c r="F15" s="129">
        <v>42902.142100000005</v>
      </c>
      <c r="G15" s="307">
        <f t="shared" ref="G15:G19" si="3">E15/$E$20</f>
        <v>0.13542678819360571</v>
      </c>
      <c r="H15" s="307">
        <f t="shared" ref="H15:H17" si="4">(E15-I15)/I15</f>
        <v>6.894969782804744E-2</v>
      </c>
      <c r="I15" s="313">
        <v>3666.9915599999999</v>
      </c>
      <c r="J15" s="129">
        <v>39931.337930000002</v>
      </c>
      <c r="K15" s="307">
        <f t="shared" ref="K15:K19" si="5">I15/$I$20</f>
        <v>0.12330023194753685</v>
      </c>
      <c r="L15" s="97"/>
      <c r="M15" s="89"/>
      <c r="N15" s="89"/>
      <c r="O15" s="89"/>
      <c r="P15" s="89"/>
      <c r="Q15" s="89"/>
      <c r="R15" s="89"/>
      <c r="S15" s="89"/>
    </row>
    <row r="16" spans="1:21" ht="12.95" customHeight="1">
      <c r="A16" s="423"/>
      <c r="B16" s="423"/>
      <c r="C16" s="154" t="s">
        <v>6</v>
      </c>
      <c r="D16" s="313">
        <v>10643</v>
      </c>
      <c r="E16" s="129">
        <v>6131.5586999999996</v>
      </c>
      <c r="F16" s="129">
        <v>67109.296860000002</v>
      </c>
      <c r="G16" s="307">
        <f t="shared" si="3"/>
        <v>0.21184015711008786</v>
      </c>
      <c r="H16" s="307">
        <f t="shared" si="4"/>
        <v>7.2718057013263268E-2</v>
      </c>
      <c r="I16" s="313">
        <v>5715.9089100000001</v>
      </c>
      <c r="J16" s="129">
        <v>62242.818490000005</v>
      </c>
      <c r="K16" s="307">
        <f>I16/$I$20</f>
        <v>0.19219375961530508</v>
      </c>
      <c r="L16" s="93"/>
      <c r="M16" s="89"/>
      <c r="N16" s="89"/>
      <c r="O16" s="89"/>
      <c r="P16" s="89"/>
      <c r="Q16" s="89"/>
      <c r="R16" s="89"/>
      <c r="S16" s="89"/>
    </row>
    <row r="17" spans="1:20" ht="12.95" customHeight="1">
      <c r="A17" s="423"/>
      <c r="B17" s="423"/>
      <c r="C17" s="154" t="s">
        <v>7</v>
      </c>
      <c r="D17" s="313">
        <v>100815</v>
      </c>
      <c r="E17" s="129">
        <v>9352.1753900000003</v>
      </c>
      <c r="F17" s="129">
        <v>102358.94751</v>
      </c>
      <c r="G17" s="307">
        <f t="shared" si="3"/>
        <v>0.3231097345506449</v>
      </c>
      <c r="H17" s="307">
        <f t="shared" si="4"/>
        <v>7.2718056797130712E-2</v>
      </c>
      <c r="I17" s="313">
        <v>8718.2044999999998</v>
      </c>
      <c r="J17" s="129">
        <v>94937.335080000004</v>
      </c>
      <c r="K17" s="307">
        <f>I17/$I$20</f>
        <v>0.29314401722158845</v>
      </c>
      <c r="L17" s="93"/>
      <c r="M17" s="89"/>
      <c r="N17" s="89"/>
      <c r="O17" s="89"/>
      <c r="P17" s="89"/>
      <c r="Q17" s="89"/>
      <c r="R17" s="89"/>
      <c r="S17" s="89"/>
    </row>
    <row r="18" spans="1:20" ht="12.95" customHeight="1">
      <c r="A18" s="423"/>
      <c r="B18" s="423"/>
      <c r="C18" s="154" t="s">
        <v>93</v>
      </c>
      <c r="D18" s="313">
        <v>18</v>
      </c>
      <c r="E18" s="129">
        <v>369.35299999999995</v>
      </c>
      <c r="F18" s="129">
        <v>4043.6620000000003</v>
      </c>
      <c r="G18" s="307">
        <f t="shared" si="3"/>
        <v>1.2760833154721698E-2</v>
      </c>
      <c r="H18" s="307">
        <f>(E18-I18)/I18</f>
        <v>-2.6753200212908414E-2</v>
      </c>
      <c r="I18" s="313">
        <v>379.50599999999997</v>
      </c>
      <c r="J18" s="129">
        <v>4133.2659999999996</v>
      </c>
      <c r="K18" s="307">
        <f>I18/$I$20</f>
        <v>1.2760645084626787E-2</v>
      </c>
      <c r="L18" s="93"/>
      <c r="M18" s="89"/>
      <c r="N18" s="89"/>
      <c r="O18" s="89"/>
      <c r="P18" s="89"/>
      <c r="Q18" s="89"/>
      <c r="R18" s="89"/>
      <c r="S18" s="89"/>
    </row>
    <row r="19" spans="1:20" ht="12.95" customHeight="1">
      <c r="A19" s="423"/>
      <c r="B19" s="423"/>
      <c r="C19" s="154" t="s">
        <v>94</v>
      </c>
      <c r="D19" s="313"/>
      <c r="E19" s="129">
        <v>635.50299999999993</v>
      </c>
      <c r="F19" s="129">
        <v>6955.4760000000006</v>
      </c>
      <c r="G19" s="307">
        <f t="shared" si="3"/>
        <v>2.1956090115215265E-2</v>
      </c>
      <c r="H19" s="307">
        <f t="shared" ref="H19" si="6">(E19-I19)/I19</f>
        <v>0.11962981037736004</v>
      </c>
      <c r="I19" s="313">
        <v>567.601</v>
      </c>
      <c r="J19" s="129">
        <v>6180.71</v>
      </c>
      <c r="K19" s="307">
        <f t="shared" si="5"/>
        <v>1.9085218443658993E-2</v>
      </c>
      <c r="L19" s="93"/>
      <c r="M19" s="89"/>
      <c r="N19" s="89"/>
      <c r="O19" s="89"/>
      <c r="P19" s="89"/>
      <c r="Q19" s="89"/>
      <c r="R19" s="89"/>
      <c r="S19" s="89"/>
    </row>
    <row r="20" spans="1:20" ht="12.95" customHeight="1">
      <c r="A20" s="424"/>
      <c r="B20" s="424"/>
      <c r="C20" s="318" t="s">
        <v>0</v>
      </c>
      <c r="D20" s="321">
        <v>111900</v>
      </c>
      <c r="E20" s="319">
        <v>28944.269980000001</v>
      </c>
      <c r="F20" s="319">
        <v>316793.53039000009</v>
      </c>
      <c r="G20" s="320">
        <f>SUM(G14:G19)</f>
        <v>1</v>
      </c>
      <c r="H20" s="320">
        <f>(E20-I20)/I20</f>
        <v>-2.6767543995621316E-2</v>
      </c>
      <c r="I20" s="321">
        <v>29740.346000000001</v>
      </c>
      <c r="J20" s="319">
        <v>323856.36027000006</v>
      </c>
      <c r="K20" s="320">
        <f>SUM(K14:K19)</f>
        <v>0.99999999999999989</v>
      </c>
      <c r="L20" s="93"/>
      <c r="M20" s="89"/>
      <c r="N20" s="89"/>
      <c r="O20" s="89"/>
      <c r="P20" s="89"/>
      <c r="Q20" s="89"/>
      <c r="R20" s="89"/>
      <c r="S20" s="89"/>
    </row>
    <row r="21" spans="1:20" ht="12.95" customHeight="1">
      <c r="A21" s="422" t="str">
        <f>'3.1'!F5</f>
        <v>Prosinec</v>
      </c>
      <c r="B21" s="422"/>
      <c r="C21" s="164" t="s">
        <v>4</v>
      </c>
      <c r="D21" s="312">
        <v>96</v>
      </c>
      <c r="E21" s="308">
        <v>8134.7511800000002</v>
      </c>
      <c r="F21" s="308">
        <v>88738.744359999997</v>
      </c>
      <c r="G21" s="309">
        <f>E21/$E$27</f>
        <v>0.23562282244977489</v>
      </c>
      <c r="H21" s="309">
        <f>(E21-I21)/I21</f>
        <v>-0.20624896188385783</v>
      </c>
      <c r="I21" s="312">
        <v>10248.492020000002</v>
      </c>
      <c r="J21" s="308">
        <v>111821.37314000001</v>
      </c>
      <c r="K21" s="309">
        <f>I21/$I$27</f>
        <v>0.26860696749256718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2.95" customHeight="1">
      <c r="A22" s="423"/>
      <c r="B22" s="423"/>
      <c r="C22" s="154" t="s">
        <v>5</v>
      </c>
      <c r="D22" s="313">
        <v>327</v>
      </c>
      <c r="E22" s="129">
        <v>4288.3604599999999</v>
      </c>
      <c r="F22" s="129">
        <v>46780.008829999999</v>
      </c>
      <c r="G22" s="307">
        <f t="shared" ref="G22:G26" si="7">E22/$E$27</f>
        <v>0.12421223131587104</v>
      </c>
      <c r="H22" s="307">
        <f t="shared" ref="H22:H26" si="8">(E22-I22)/I22</f>
        <v>-7.5723257853212156E-2</v>
      </c>
      <c r="I22" s="313">
        <v>4639.6931399999994</v>
      </c>
      <c r="J22" s="129">
        <v>50623.691849999996</v>
      </c>
      <c r="K22" s="307">
        <f t="shared" ref="K22:K26" si="9">I22/$I$27</f>
        <v>0.12160363710089191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23"/>
      <c r="B23" s="423"/>
      <c r="C23" s="154" t="s">
        <v>6</v>
      </c>
      <c r="D23" s="313">
        <v>10650</v>
      </c>
      <c r="E23" s="129">
        <v>8316.090830000001</v>
      </c>
      <c r="F23" s="129">
        <v>90716.908419999992</v>
      </c>
      <c r="G23" s="307">
        <f t="shared" si="7"/>
        <v>0.24087531993981545</v>
      </c>
      <c r="H23" s="307">
        <f t="shared" si="8"/>
        <v>-5.1926479799228979E-2</v>
      </c>
      <c r="I23" s="313">
        <v>8771.5674500000005</v>
      </c>
      <c r="J23" s="129">
        <v>95706.572400000005</v>
      </c>
      <c r="K23" s="307">
        <f t="shared" si="9"/>
        <v>0.22989764038485441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23"/>
      <c r="B24" s="423"/>
      <c r="C24" s="154" t="s">
        <v>7</v>
      </c>
      <c r="D24" s="313">
        <v>100785</v>
      </c>
      <c r="E24" s="129">
        <v>12684.13853</v>
      </c>
      <c r="F24" s="129">
        <v>138367.49984</v>
      </c>
      <c r="G24" s="307">
        <f t="shared" si="7"/>
        <v>0.36739568975759856</v>
      </c>
      <c r="H24" s="307">
        <f t="shared" si="8"/>
        <v>-5.1926480197999614E-2</v>
      </c>
      <c r="I24" s="313">
        <v>13378.8554</v>
      </c>
      <c r="J24" s="129">
        <v>145975.22524</v>
      </c>
      <c r="K24" s="307">
        <f t="shared" si="9"/>
        <v>0.3506519564539366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23"/>
      <c r="B25" s="423"/>
      <c r="C25" s="154" t="s">
        <v>93</v>
      </c>
      <c r="D25" s="313">
        <v>18</v>
      </c>
      <c r="E25" s="129">
        <v>333.00800000000004</v>
      </c>
      <c r="F25" s="129">
        <v>3632.393</v>
      </c>
      <c r="G25" s="307">
        <f t="shared" si="7"/>
        <v>9.6455666709592772E-3</v>
      </c>
      <c r="H25" s="307">
        <f t="shared" si="8"/>
        <v>-9.5961515490449345E-2</v>
      </c>
      <c r="I25" s="313">
        <v>368.35599999999999</v>
      </c>
      <c r="J25" s="129">
        <v>4020.1060000000002</v>
      </c>
      <c r="K25" s="307">
        <f t="shared" si="9"/>
        <v>9.6543948050702641E-3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23"/>
      <c r="B26" s="423"/>
      <c r="C26" s="154" t="s">
        <v>94</v>
      </c>
      <c r="D26" s="313"/>
      <c r="E26" s="129">
        <v>768.11300000000006</v>
      </c>
      <c r="F26" s="129">
        <v>8379.0397580999997</v>
      </c>
      <c r="G26" s="307">
        <f t="shared" si="7"/>
        <v>2.2248369865980826E-2</v>
      </c>
      <c r="H26" s="307">
        <f t="shared" si="8"/>
        <v>2.7897696402621842E-2</v>
      </c>
      <c r="I26" s="313">
        <v>747.26599999999848</v>
      </c>
      <c r="J26" s="129">
        <v>8152.2750000000005</v>
      </c>
      <c r="K26" s="307">
        <f t="shared" si="9"/>
        <v>1.9585403762679643E-2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24"/>
      <c r="B27" s="424"/>
      <c r="C27" s="318" t="s">
        <v>0</v>
      </c>
      <c r="D27" s="321">
        <v>111876</v>
      </c>
      <c r="E27" s="319">
        <v>34524.462</v>
      </c>
      <c r="F27" s="319">
        <v>376614.5942081</v>
      </c>
      <c r="G27" s="320">
        <f>SUM(G21:G26)</f>
        <v>1.0000000000000002</v>
      </c>
      <c r="H27" s="320">
        <f>(E27-I27)/I27</f>
        <v>-9.5134091529265802E-2</v>
      </c>
      <c r="I27" s="321">
        <v>38154.230009999999</v>
      </c>
      <c r="J27" s="319">
        <v>416299.24363000004</v>
      </c>
      <c r="K27" s="320">
        <f>SUM(K21:K26)</f>
        <v>1</v>
      </c>
      <c r="M27" s="89"/>
      <c r="N27" s="89"/>
      <c r="O27" s="89"/>
      <c r="P27" s="89"/>
      <c r="Q27" s="89"/>
      <c r="R27" s="89"/>
      <c r="S27" s="89"/>
    </row>
    <row r="28" spans="1:20" ht="12.95" customHeight="1">
      <c r="A28" s="491" t="str">
        <f>'3.1'!G5</f>
        <v>IV. čtvrtletí</v>
      </c>
      <c r="B28" s="422"/>
      <c r="C28" s="164" t="s">
        <v>4</v>
      </c>
      <c r="D28" s="312">
        <f>D21</f>
        <v>96</v>
      </c>
      <c r="E28" s="308">
        <f>E7+E14+E21</f>
        <v>24083.439610000001</v>
      </c>
      <c r="F28" s="308">
        <f>F7+F14+F21</f>
        <v>263607.60095000005</v>
      </c>
      <c r="G28" s="309">
        <f>E28/$E$34</f>
        <v>0.29781195736913268</v>
      </c>
      <c r="H28" s="309">
        <f>(E28-I28)/I28</f>
        <v>-0.20033194971902465</v>
      </c>
      <c r="I28" s="312">
        <f>I7+I14+I21</f>
        <v>30116.79609</v>
      </c>
      <c r="J28" s="308">
        <f>J7+J14+J21</f>
        <v>328746.92683999997</v>
      </c>
      <c r="K28" s="309">
        <f>I28/$I$34</f>
        <v>0.34580003216787625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23"/>
      <c r="B29" s="423"/>
      <c r="C29" s="154" t="s">
        <v>5</v>
      </c>
      <c r="D29" s="313">
        <f t="shared" ref="D29:D32" si="10">D22</f>
        <v>327</v>
      </c>
      <c r="E29" s="129">
        <f>E8+E15+E22</f>
        <v>10706.120370000001</v>
      </c>
      <c r="F29" s="129">
        <f t="shared" ref="F29" si="11">F8+F15+F22</f>
        <v>117126.91215000002</v>
      </c>
      <c r="G29" s="307">
        <f t="shared" ref="G29:G33" si="12">E29/$E$34</f>
        <v>0.13239016996124345</v>
      </c>
      <c r="H29" s="307">
        <f t="shared" ref="H29:H31" si="13">(E29-I29)/I29</f>
        <v>-6.2443760234360494E-3</v>
      </c>
      <c r="I29" s="313">
        <f>I8+I15+I22</f>
        <v>10773.393489999999</v>
      </c>
      <c r="J29" s="129">
        <f t="shared" ref="J29" si="14">J8+J15+J22</f>
        <v>117569.68442000001</v>
      </c>
      <c r="K29" s="307">
        <f t="shared" ref="K29:K33" si="15">I29/$I$34</f>
        <v>0.12369973898505711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23"/>
      <c r="B30" s="423"/>
      <c r="C30" s="154" t="s">
        <v>6</v>
      </c>
      <c r="D30" s="313">
        <f t="shared" si="10"/>
        <v>10650</v>
      </c>
      <c r="E30" s="129">
        <f t="shared" ref="E30:F33" si="16">E9+E16+E23</f>
        <v>17088.059740000001</v>
      </c>
      <c r="F30" s="129">
        <f t="shared" si="16"/>
        <v>186836.38785999999</v>
      </c>
      <c r="G30" s="307">
        <f t="shared" si="12"/>
        <v>0.21130821017347498</v>
      </c>
      <c r="H30" s="307">
        <f t="shared" si="13"/>
        <v>-6.6051053724369355E-3</v>
      </c>
      <c r="I30" s="313">
        <f t="shared" ref="I30:J32" si="17">I9+I16+I23</f>
        <v>17201.678639999998</v>
      </c>
      <c r="J30" s="129">
        <f t="shared" si="17"/>
        <v>187674.52000000002</v>
      </c>
      <c r="K30" s="307">
        <f t="shared" si="15"/>
        <v>0.19750909124853958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23"/>
      <c r="B31" s="423"/>
      <c r="C31" s="154" t="s">
        <v>7</v>
      </c>
      <c r="D31" s="313">
        <f t="shared" si="10"/>
        <v>100785</v>
      </c>
      <c r="E31" s="129">
        <f>E10+E17+E24</f>
        <v>26063.605650000001</v>
      </c>
      <c r="F31" s="129">
        <f t="shared" si="16"/>
        <v>284974.85959000001</v>
      </c>
      <c r="G31" s="307">
        <f t="shared" si="12"/>
        <v>0.32229837350561424</v>
      </c>
      <c r="H31" s="307">
        <f t="shared" si="13"/>
        <v>-6.6051288464952862E-3</v>
      </c>
      <c r="I31" s="313">
        <f>I10+I17+I24</f>
        <v>26236.903780000001</v>
      </c>
      <c r="J31" s="129">
        <f t="shared" si="17"/>
        <v>286251.97956999997</v>
      </c>
      <c r="K31" s="307">
        <f t="shared" si="15"/>
        <v>0.30125124013845506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23"/>
      <c r="B32" s="423"/>
      <c r="C32" s="154" t="s">
        <v>93</v>
      </c>
      <c r="D32" s="313">
        <f t="shared" si="10"/>
        <v>18</v>
      </c>
      <c r="E32" s="129">
        <f>E11+E18+E25</f>
        <v>1079.864</v>
      </c>
      <c r="F32" s="129">
        <f t="shared" si="16"/>
        <v>11823.798999999999</v>
      </c>
      <c r="G32" s="307">
        <f t="shared" si="12"/>
        <v>1.3353425288924544E-2</v>
      </c>
      <c r="H32" s="307">
        <f>(E32-I32)/I32</f>
        <v>-1.3530043163495944E-2</v>
      </c>
      <c r="I32" s="313">
        <f>I11+I18+I25</f>
        <v>1094.675</v>
      </c>
      <c r="J32" s="129">
        <f t="shared" si="17"/>
        <v>11951.007</v>
      </c>
      <c r="K32" s="307">
        <f t="shared" si="15"/>
        <v>1.2569021255851985E-2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23"/>
      <c r="B33" s="423"/>
      <c r="C33" s="154" t="s">
        <v>94</v>
      </c>
      <c r="D33" s="313"/>
      <c r="E33" s="129">
        <f t="shared" si="16"/>
        <v>1846.8509999999999</v>
      </c>
      <c r="F33" s="129">
        <f t="shared" si="16"/>
        <v>20204.3635937</v>
      </c>
      <c r="G33" s="307">
        <f t="shared" si="12"/>
        <v>2.2837863701610187E-2</v>
      </c>
      <c r="H33" s="307">
        <f t="shared" ref="H33" si="18">(E33-I33)/I33</f>
        <v>0.10612996368702296</v>
      </c>
      <c r="I33" s="313">
        <f t="shared" ref="I33:J33" si="19">I12+I19+I26</f>
        <v>1669.6509999999985</v>
      </c>
      <c r="J33" s="129">
        <f t="shared" si="19"/>
        <v>18218.482</v>
      </c>
      <c r="K33" s="307">
        <f t="shared" si="15"/>
        <v>1.9170876204219978E-2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24"/>
      <c r="B34" s="424"/>
      <c r="C34" s="318" t="s">
        <v>0</v>
      </c>
      <c r="D34" s="321">
        <f>SUM(D28:D33)</f>
        <v>111876</v>
      </c>
      <c r="E34" s="319">
        <f>SUM(E28:E33)</f>
        <v>80867.940369999997</v>
      </c>
      <c r="F34" s="319">
        <f>SUM(F28:F33)</f>
        <v>884573.92314370011</v>
      </c>
      <c r="G34" s="320">
        <f>SUM(G28:G33)</f>
        <v>1</v>
      </c>
      <c r="H34" s="320">
        <f>(E34-I34)/I34</f>
        <v>-7.1477048962019951E-2</v>
      </c>
      <c r="I34" s="321">
        <f>SUM(I28:I33)</f>
        <v>87093.097999999998</v>
      </c>
      <c r="J34" s="319">
        <f>SUM(J28:J33)</f>
        <v>950412.59982999985</v>
      </c>
      <c r="K34" s="320">
        <f>SUM(K28:K33)</f>
        <v>1</v>
      </c>
      <c r="M34" s="89"/>
      <c r="N34" s="89"/>
      <c r="O34" s="89"/>
      <c r="P34" s="89"/>
      <c r="Q34" s="89"/>
      <c r="R34" s="89"/>
      <c r="S34" s="89"/>
    </row>
    <row r="35" spans="1:20" ht="20.100000000000001" customHeight="1">
      <c r="A35" s="126"/>
      <c r="B35" s="303"/>
      <c r="C35" s="101"/>
      <c r="D35" s="88"/>
      <c r="E35" s="88"/>
      <c r="F35" s="88"/>
      <c r="G35" s="476" t="s">
        <v>270</v>
      </c>
      <c r="H35" s="476"/>
      <c r="I35" s="476"/>
      <c r="J35" s="476"/>
      <c r="K35" s="476"/>
    </row>
    <row r="36" spans="1:20" ht="15" customHeight="1">
      <c r="A36" s="468" t="s">
        <v>269</v>
      </c>
      <c r="B36" s="468"/>
      <c r="C36" s="468"/>
      <c r="D36" s="468"/>
      <c r="E36" s="468"/>
      <c r="F36" s="119"/>
      <c r="G36" s="476"/>
      <c r="H36" s="476"/>
      <c r="I36" s="476"/>
      <c r="J36" s="476"/>
      <c r="K36" s="476"/>
      <c r="M36" s="93"/>
      <c r="N36" s="93"/>
      <c r="O36" s="93"/>
      <c r="P36" s="93"/>
      <c r="Q36" s="93"/>
      <c r="R36" s="93"/>
      <c r="S36" s="93"/>
    </row>
    <row r="37" spans="1:20" ht="15" customHeight="1">
      <c r="A37" s="469" t="str">
        <f>A28</f>
        <v>IV. čtvrtletí</v>
      </c>
      <c r="B37" s="470"/>
      <c r="C37" s="470"/>
      <c r="D37" s="470"/>
      <c r="E37" s="470"/>
      <c r="F37" s="125"/>
      <c r="G37" s="471" t="str">
        <f>A28</f>
        <v>IV. čtvrtletí</v>
      </c>
      <c r="H37" s="471"/>
      <c r="I37" s="471"/>
      <c r="J37" s="471"/>
      <c r="K37" s="471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2023</v>
      </c>
      <c r="D41" s="94">
        <f>I3</f>
        <v>2022</v>
      </c>
      <c r="E41" s="76"/>
      <c r="F41" s="76"/>
      <c r="G41" s="76"/>
      <c r="H41" s="94"/>
      <c r="I41" s="94">
        <f>D3</f>
        <v>2023</v>
      </c>
      <c r="J41" s="94">
        <f>I3</f>
        <v>2022</v>
      </c>
      <c r="K41" s="94"/>
    </row>
    <row r="42" spans="1:20" ht="15" customHeight="1">
      <c r="A42" s="94"/>
      <c r="B42" s="94" t="str">
        <f>A7</f>
        <v>Říjen</v>
      </c>
      <c r="C42" s="78">
        <f>E13</f>
        <v>17399.208390000003</v>
      </c>
      <c r="D42" s="78">
        <f>I13</f>
        <v>19198.521990000001</v>
      </c>
      <c r="E42" s="76"/>
      <c r="F42" s="76"/>
      <c r="G42" s="76"/>
      <c r="H42" s="94" t="str">
        <f>A7</f>
        <v>Říjen</v>
      </c>
      <c r="I42" s="95">
        <f>E13/E34</f>
        <v>0.21515582455040091</v>
      </c>
      <c r="J42" s="95">
        <f>I13/I34</f>
        <v>0.22043677892822233</v>
      </c>
      <c r="K42" s="94"/>
    </row>
    <row r="43" spans="1:20" ht="15" customHeight="1">
      <c r="A43" s="94"/>
      <c r="B43" s="94" t="str">
        <f>A14</f>
        <v>Listopad</v>
      </c>
      <c r="C43" s="78">
        <f>E20</f>
        <v>28944.269980000001</v>
      </c>
      <c r="D43" s="78">
        <f>I20</f>
        <v>29740.346000000001</v>
      </c>
      <c r="E43" s="76"/>
      <c r="F43" s="76"/>
      <c r="G43" s="76"/>
      <c r="H43" s="94" t="str">
        <f>A14</f>
        <v>Listopad</v>
      </c>
      <c r="I43" s="95">
        <f>E20/E34</f>
        <v>0.35792020728572443</v>
      </c>
      <c r="J43" s="95">
        <f>I20/I34</f>
        <v>0.34147764499088096</v>
      </c>
      <c r="K43" s="94"/>
    </row>
    <row r="44" spans="1:20" ht="15" customHeight="1">
      <c r="A44" s="94"/>
      <c r="B44" s="94" t="str">
        <f>A21</f>
        <v>Prosinec</v>
      </c>
      <c r="C44" s="78">
        <f>E27</f>
        <v>34524.462</v>
      </c>
      <c r="D44" s="78">
        <f>I27</f>
        <v>38154.230009999999</v>
      </c>
      <c r="E44" s="76"/>
      <c r="F44" s="76"/>
      <c r="G44" s="76"/>
      <c r="H44" s="94" t="str">
        <f>A21</f>
        <v>Prosinec</v>
      </c>
      <c r="I44" s="95">
        <f>E27/E34</f>
        <v>0.42692396816387473</v>
      </c>
      <c r="J44" s="95">
        <f>I27/I34</f>
        <v>0.43808557608089677</v>
      </c>
      <c r="K44" s="94"/>
    </row>
    <row r="45" spans="1:20" ht="15" customHeight="1">
      <c r="A45" s="94"/>
      <c r="B45" s="94"/>
      <c r="C45" s="78">
        <f>SUM(C42:C44)</f>
        <v>80867.940369999997</v>
      </c>
      <c r="D45" s="78">
        <f>SUM(D42:D44)</f>
        <v>87093.097999999998</v>
      </c>
      <c r="E45" s="94"/>
      <c r="F45" s="94"/>
      <c r="G45" s="94"/>
      <c r="H45" s="94"/>
      <c r="I45" s="96">
        <f>SUM(I42:I44)</f>
        <v>1</v>
      </c>
      <c r="J45" s="96">
        <f>SUM(J42:J44)</f>
        <v>1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  <mergeCell ref="A1:K1"/>
    <mergeCell ref="A2:C2"/>
    <mergeCell ref="I3:K4"/>
    <mergeCell ref="E3:G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0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62" t="s">
        <v>299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</row>
    <row r="2" spans="1:21" ht="6" customHeight="1">
      <c r="A2" s="477"/>
      <c r="B2" s="477"/>
      <c r="C2" s="477"/>
      <c r="D2" s="315"/>
      <c r="E2" s="315"/>
      <c r="F2" s="316"/>
      <c r="G2" s="317"/>
      <c r="H2" s="317"/>
      <c r="I2" s="317"/>
      <c r="J2" s="279"/>
      <c r="K2" s="279"/>
    </row>
    <row r="3" spans="1:21" ht="15" customHeight="1">
      <c r="A3" s="487" t="s">
        <v>34</v>
      </c>
      <c r="B3" s="487"/>
      <c r="C3" s="487"/>
      <c r="D3" s="341">
        <f>'3.1'!A4</f>
        <v>2023</v>
      </c>
      <c r="E3" s="482"/>
      <c r="F3" s="482"/>
      <c r="G3" s="482"/>
      <c r="H3" s="340"/>
      <c r="I3" s="481">
        <f>D3-1</f>
        <v>2022</v>
      </c>
      <c r="J3" s="482"/>
      <c r="K3" s="482"/>
    </row>
    <row r="4" spans="1:21" ht="50.1" customHeight="1">
      <c r="A4" s="488"/>
      <c r="B4" s="488"/>
      <c r="C4" s="488"/>
      <c r="D4" s="343"/>
      <c r="E4" s="484"/>
      <c r="F4" s="484"/>
      <c r="G4" s="484"/>
      <c r="H4" s="174"/>
      <c r="I4" s="483"/>
      <c r="J4" s="484"/>
      <c r="K4" s="484"/>
    </row>
    <row r="5" spans="1:21" ht="24.95" customHeight="1">
      <c r="A5" s="487" t="s">
        <v>158</v>
      </c>
      <c r="B5" s="487"/>
      <c r="C5" s="489" t="s">
        <v>184</v>
      </c>
      <c r="D5" s="485" t="s">
        <v>159</v>
      </c>
      <c r="E5" s="479" t="s">
        <v>60</v>
      </c>
      <c r="F5" s="479"/>
      <c r="G5" s="480" t="s">
        <v>33</v>
      </c>
      <c r="H5" s="480" t="s">
        <v>268</v>
      </c>
      <c r="I5" s="478" t="s">
        <v>60</v>
      </c>
      <c r="J5" s="479"/>
      <c r="K5" s="480" t="s">
        <v>33</v>
      </c>
    </row>
    <row r="6" spans="1:21" ht="22.5" customHeight="1">
      <c r="A6" s="488"/>
      <c r="B6" s="488"/>
      <c r="C6" s="490"/>
      <c r="D6" s="486"/>
      <c r="E6" s="219" t="s">
        <v>259</v>
      </c>
      <c r="F6" s="219" t="s">
        <v>260</v>
      </c>
      <c r="G6" s="467"/>
      <c r="H6" s="467"/>
      <c r="I6" s="221" t="s">
        <v>259</v>
      </c>
      <c r="J6" s="219" t="s">
        <v>260</v>
      </c>
      <c r="K6" s="467"/>
    </row>
    <row r="7" spans="1:21" ht="12.95" customHeight="1">
      <c r="A7" s="422" t="str">
        <f>'3.1'!D5</f>
        <v>Říjen</v>
      </c>
      <c r="B7" s="422"/>
      <c r="C7" s="164" t="s">
        <v>4</v>
      </c>
      <c r="D7" s="312">
        <v>95</v>
      </c>
      <c r="E7" s="308">
        <v>27950.725000000002</v>
      </c>
      <c r="F7" s="308">
        <v>306509.21999999997</v>
      </c>
      <c r="G7" s="309">
        <f t="shared" ref="G7:G12" si="0">E7/$E$13</f>
        <v>0.98050862866413591</v>
      </c>
      <c r="H7" s="309">
        <f>(E7-I7)/I7</f>
        <v>-0.18724034165610573</v>
      </c>
      <c r="I7" s="312">
        <v>34389.901999999995</v>
      </c>
      <c r="J7" s="308">
        <v>376999.31428100006</v>
      </c>
      <c r="K7" s="309">
        <f>I7/$I$13</f>
        <v>0.94752947481090322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2.95" customHeight="1">
      <c r="A8" s="423"/>
      <c r="B8" s="423"/>
      <c r="C8" s="154" t="s">
        <v>5</v>
      </c>
      <c r="D8" s="313">
        <v>123</v>
      </c>
      <c r="E8" s="129">
        <v>32.024999999999999</v>
      </c>
      <c r="F8" s="129">
        <v>337.28399999999999</v>
      </c>
      <c r="G8" s="307">
        <f t="shared" si="0"/>
        <v>1.1234337868863491E-3</v>
      </c>
      <c r="H8" s="307">
        <f t="shared" ref="H8:H11" si="1">(E8-I8)/I8</f>
        <v>0.20585134422772794</v>
      </c>
      <c r="I8" s="313">
        <v>26.558</v>
      </c>
      <c r="J8" s="129">
        <v>277.423</v>
      </c>
      <c r="K8" s="307">
        <f t="shared" ref="K8:K12" si="2">I8/$I$13</f>
        <v>7.3174060781062912E-4</v>
      </c>
      <c r="L8" s="93"/>
      <c r="M8" s="89"/>
      <c r="N8" s="89"/>
      <c r="O8" s="89"/>
      <c r="P8" s="89"/>
      <c r="Q8" s="89"/>
      <c r="R8" s="89"/>
      <c r="S8" s="89"/>
    </row>
    <row r="9" spans="1:21" ht="12.95" customHeight="1">
      <c r="A9" s="423"/>
      <c r="B9" s="423"/>
      <c r="C9" s="154" t="s">
        <v>6</v>
      </c>
      <c r="D9" s="313">
        <v>1169</v>
      </c>
      <c r="E9" s="129">
        <v>135.131</v>
      </c>
      <c r="F9" s="129">
        <v>1419.4605000000001</v>
      </c>
      <c r="G9" s="307">
        <f t="shared" si="0"/>
        <v>4.7403819221151985E-3</v>
      </c>
      <c r="H9" s="307">
        <f t="shared" si="1"/>
        <v>1.2383058371430464</v>
      </c>
      <c r="I9" s="313">
        <v>60.372</v>
      </c>
      <c r="J9" s="129">
        <v>642.0154</v>
      </c>
      <c r="K9" s="307">
        <f t="shared" si="2"/>
        <v>1.6634025142986408E-3</v>
      </c>
      <c r="L9" s="93"/>
      <c r="M9" s="89"/>
      <c r="N9" s="89"/>
      <c r="O9" s="89"/>
      <c r="P9" s="89"/>
      <c r="Q9" s="89"/>
      <c r="R9" s="89"/>
      <c r="S9" s="89"/>
    </row>
    <row r="10" spans="1:21" ht="12.95" customHeight="1">
      <c r="A10" s="423"/>
      <c r="B10" s="423"/>
      <c r="C10" s="154" t="s">
        <v>7</v>
      </c>
      <c r="D10" s="313">
        <v>8038</v>
      </c>
      <c r="E10" s="129">
        <v>0</v>
      </c>
      <c r="F10" s="129">
        <v>0</v>
      </c>
      <c r="G10" s="307">
        <f t="shared" si="0"/>
        <v>0</v>
      </c>
      <c r="H10" s="344" t="e">
        <f t="shared" si="1"/>
        <v>#DIV/0!</v>
      </c>
      <c r="I10" s="313">
        <v>0</v>
      </c>
      <c r="J10" s="129">
        <v>0</v>
      </c>
      <c r="K10" s="307">
        <f t="shared" si="2"/>
        <v>0</v>
      </c>
      <c r="L10" s="93"/>
      <c r="M10" s="89"/>
      <c r="N10" s="89"/>
      <c r="O10" s="89"/>
      <c r="P10" s="89"/>
      <c r="Q10" s="89"/>
      <c r="R10" s="89"/>
      <c r="S10" s="89"/>
    </row>
    <row r="11" spans="1:21" ht="12.95" customHeight="1">
      <c r="A11" s="423"/>
      <c r="B11" s="423"/>
      <c r="C11" s="154" t="s">
        <v>93</v>
      </c>
      <c r="D11" s="313">
        <v>6</v>
      </c>
      <c r="E11" s="129">
        <v>20.581</v>
      </c>
      <c r="F11" s="129">
        <v>213.363</v>
      </c>
      <c r="G11" s="307">
        <f t="shared" si="0"/>
        <v>7.2197941507909293E-4</v>
      </c>
      <c r="H11" s="307">
        <f t="shared" si="1"/>
        <v>-0.47665666480191227</v>
      </c>
      <c r="I11" s="313">
        <v>39.326000000000001</v>
      </c>
      <c r="J11" s="129">
        <v>407.57499999999999</v>
      </c>
      <c r="K11" s="307">
        <f t="shared" si="2"/>
        <v>1.0835315589562769E-3</v>
      </c>
      <c r="L11" s="93"/>
      <c r="M11" s="89"/>
      <c r="N11" s="89"/>
      <c r="O11" s="89"/>
      <c r="P11" s="89"/>
      <c r="Q11" s="89"/>
      <c r="R11" s="89"/>
      <c r="S11" s="89"/>
    </row>
    <row r="12" spans="1:21" ht="12.95" customHeight="1">
      <c r="A12" s="423"/>
      <c r="B12" s="423"/>
      <c r="C12" s="154" t="s">
        <v>96</v>
      </c>
      <c r="D12" s="313">
        <v>0</v>
      </c>
      <c r="E12" s="129">
        <v>367.89090999999974</v>
      </c>
      <c r="F12" s="129">
        <v>4159.3896159999904</v>
      </c>
      <c r="G12" s="307">
        <f t="shared" si="0"/>
        <v>1.2905576211783443E-2</v>
      </c>
      <c r="H12" s="307">
        <f>(E12-I12)/I12</f>
        <v>-0.79310166123168813</v>
      </c>
      <c r="I12" s="313">
        <v>1778.1240400000011</v>
      </c>
      <c r="J12" s="129">
        <v>19683.187197000017</v>
      </c>
      <c r="K12" s="307">
        <f t="shared" si="2"/>
        <v>4.8991850508031183E-2</v>
      </c>
      <c r="L12" s="93"/>
      <c r="M12" s="89"/>
      <c r="N12" s="89"/>
      <c r="O12" s="89"/>
      <c r="P12" s="89"/>
      <c r="Q12" s="89"/>
      <c r="R12" s="89"/>
      <c r="S12" s="89"/>
    </row>
    <row r="13" spans="1:21" ht="12.95" customHeight="1">
      <c r="A13" s="424"/>
      <c r="B13" s="424"/>
      <c r="C13" s="318" t="s">
        <v>0</v>
      </c>
      <c r="D13" s="321">
        <v>9431</v>
      </c>
      <c r="E13" s="319">
        <v>28506.352910000001</v>
      </c>
      <c r="F13" s="319">
        <v>312638.71711599996</v>
      </c>
      <c r="G13" s="320">
        <f>SUM(G7:G12)</f>
        <v>1</v>
      </c>
      <c r="H13" s="320">
        <f>(E13-I13)/I13</f>
        <v>-0.21457730232593952</v>
      </c>
      <c r="I13" s="321">
        <v>36294.282039999998</v>
      </c>
      <c r="J13" s="319">
        <v>398009.51487800007</v>
      </c>
      <c r="K13" s="320">
        <f>SUM(K7:K12)</f>
        <v>1</v>
      </c>
      <c r="L13" s="93"/>
      <c r="M13" s="89"/>
      <c r="N13" s="89"/>
      <c r="O13" s="89"/>
      <c r="P13" s="89"/>
      <c r="Q13" s="89"/>
      <c r="R13" s="89"/>
      <c r="S13" s="89"/>
    </row>
    <row r="14" spans="1:21" ht="12.95" customHeight="1">
      <c r="A14" s="422" t="str">
        <f>'3.1'!E5</f>
        <v>Listopad</v>
      </c>
      <c r="B14" s="422"/>
      <c r="C14" s="164" t="s">
        <v>4</v>
      </c>
      <c r="D14" s="312">
        <v>95</v>
      </c>
      <c r="E14" s="308">
        <v>14392.817000000001</v>
      </c>
      <c r="F14" s="308">
        <v>156844.573007</v>
      </c>
      <c r="G14" s="309">
        <f>E14/$E$20</f>
        <v>0.97048371086133145</v>
      </c>
      <c r="H14" s="309">
        <f>(E14-I14)/I14</f>
        <v>-0.51612968077701282</v>
      </c>
      <c r="I14" s="312">
        <v>29745.195</v>
      </c>
      <c r="J14" s="308">
        <v>325444.44230300002</v>
      </c>
      <c r="K14" s="309">
        <f>I14/$I$20</f>
        <v>0.96561780888485427</v>
      </c>
      <c r="L14" s="93"/>
      <c r="M14" s="89"/>
      <c r="N14" s="89"/>
      <c r="O14" s="89"/>
      <c r="P14" s="89"/>
      <c r="Q14" s="89"/>
      <c r="R14" s="89"/>
      <c r="S14" s="89"/>
    </row>
    <row r="15" spans="1:21" ht="12.95" customHeight="1">
      <c r="A15" s="423"/>
      <c r="B15" s="423"/>
      <c r="C15" s="154" t="s">
        <v>5</v>
      </c>
      <c r="D15" s="313">
        <v>119</v>
      </c>
      <c r="E15" s="129">
        <v>65.742000000000004</v>
      </c>
      <c r="F15" s="129">
        <v>692.86099999999999</v>
      </c>
      <c r="G15" s="307">
        <f t="shared" ref="G15:G19" si="3">E15/$E$20</f>
        <v>4.4328737118970981E-3</v>
      </c>
      <c r="H15" s="307">
        <f t="shared" ref="H15:H17" si="4">(E15-I15)/I15</f>
        <v>0.18475400973148318</v>
      </c>
      <c r="I15" s="313">
        <v>55.49</v>
      </c>
      <c r="J15" s="129">
        <v>582.94399999999996</v>
      </c>
      <c r="K15" s="307">
        <f t="shared" ref="K15:K19" si="5">I15/$I$20</f>
        <v>1.801371018580331E-3</v>
      </c>
      <c r="L15" s="97"/>
      <c r="M15" s="89"/>
      <c r="N15" s="89"/>
      <c r="O15" s="89"/>
      <c r="P15" s="89"/>
      <c r="Q15" s="89"/>
      <c r="R15" s="89"/>
      <c r="S15" s="89"/>
    </row>
    <row r="16" spans="1:21" ht="12.95" customHeight="1">
      <c r="A16" s="423"/>
      <c r="B16" s="423"/>
      <c r="C16" s="154" t="s">
        <v>6</v>
      </c>
      <c r="D16" s="313">
        <v>1166</v>
      </c>
      <c r="E16" s="129">
        <v>185.17099999999999</v>
      </c>
      <c r="F16" s="129">
        <v>1945.6344999999999</v>
      </c>
      <c r="G16" s="307">
        <f t="shared" si="3"/>
        <v>1.2485772536669061E-2</v>
      </c>
      <c r="H16" s="307">
        <f t="shared" si="4"/>
        <v>1.0621756464797203</v>
      </c>
      <c r="I16" s="313">
        <v>89.793999999999997</v>
      </c>
      <c r="J16" s="129">
        <v>955.09559999999988</v>
      </c>
      <c r="K16" s="307">
        <f>I16/$I$20</f>
        <v>2.9149812442314329E-3</v>
      </c>
      <c r="L16" s="93"/>
      <c r="M16" s="89"/>
      <c r="N16" s="89"/>
      <c r="O16" s="89"/>
      <c r="P16" s="89"/>
      <c r="Q16" s="89"/>
      <c r="R16" s="89"/>
      <c r="S16" s="89"/>
    </row>
    <row r="17" spans="1:20" ht="12.95" customHeight="1">
      <c r="A17" s="423"/>
      <c r="B17" s="423"/>
      <c r="C17" s="154" t="s">
        <v>7</v>
      </c>
      <c r="D17" s="313">
        <v>8057</v>
      </c>
      <c r="E17" s="129">
        <v>0</v>
      </c>
      <c r="F17" s="129">
        <v>0</v>
      </c>
      <c r="G17" s="307">
        <f t="shared" si="3"/>
        <v>0</v>
      </c>
      <c r="H17" s="344" t="e">
        <f t="shared" si="4"/>
        <v>#DIV/0!</v>
      </c>
      <c r="I17" s="313">
        <v>0</v>
      </c>
      <c r="J17" s="129">
        <v>0</v>
      </c>
      <c r="K17" s="307">
        <f>I17/$I$20</f>
        <v>0</v>
      </c>
      <c r="L17" s="93"/>
      <c r="M17" s="89"/>
      <c r="N17" s="89"/>
      <c r="O17" s="89"/>
      <c r="P17" s="89"/>
      <c r="Q17" s="89"/>
      <c r="R17" s="89"/>
      <c r="S17" s="89"/>
    </row>
    <row r="18" spans="1:20" ht="12.95" customHeight="1">
      <c r="A18" s="423"/>
      <c r="B18" s="423"/>
      <c r="C18" s="154" t="s">
        <v>93</v>
      </c>
      <c r="D18" s="313">
        <v>6</v>
      </c>
      <c r="E18" s="129">
        <v>23.771000000000001</v>
      </c>
      <c r="F18" s="129">
        <v>246.48099999999999</v>
      </c>
      <c r="G18" s="307">
        <f t="shared" si="3"/>
        <v>1.602838991900245E-3</v>
      </c>
      <c r="H18" s="307">
        <f>(E18-I18)/I18</f>
        <v>-0.19351993214588636</v>
      </c>
      <c r="I18" s="313">
        <v>29.475000000000001</v>
      </c>
      <c r="J18" s="129">
        <v>305.47899999999998</v>
      </c>
      <c r="K18" s="307">
        <f>I18/$I$20</f>
        <v>9.5684647274563443E-4</v>
      </c>
      <c r="L18" s="93"/>
      <c r="M18" s="89"/>
      <c r="N18" s="89"/>
      <c r="O18" s="89"/>
      <c r="P18" s="89"/>
      <c r="Q18" s="89"/>
      <c r="R18" s="89"/>
      <c r="S18" s="89"/>
    </row>
    <row r="19" spans="1:20" ht="12.95" customHeight="1">
      <c r="A19" s="423"/>
      <c r="B19" s="423"/>
      <c r="C19" s="154" t="s">
        <v>96</v>
      </c>
      <c r="D19" s="313">
        <v>0</v>
      </c>
      <c r="E19" s="129">
        <v>163.05910000000043</v>
      </c>
      <c r="F19" s="129">
        <v>1861.6596000000022</v>
      </c>
      <c r="G19" s="307">
        <f t="shared" si="3"/>
        <v>1.0994803898202092E-2</v>
      </c>
      <c r="H19" s="307">
        <f t="shared" ref="H19" si="6">(E19-I19)/I19</f>
        <v>-0.81561926690467135</v>
      </c>
      <c r="I19" s="313">
        <v>884.36083999999857</v>
      </c>
      <c r="J19" s="129">
        <v>10137.846634000007</v>
      </c>
      <c r="K19" s="307">
        <f t="shared" si="5"/>
        <v>2.8708992379588294E-2</v>
      </c>
      <c r="L19" s="93"/>
      <c r="M19" s="89"/>
      <c r="N19" s="89"/>
      <c r="O19" s="89"/>
      <c r="P19" s="89"/>
      <c r="Q19" s="89"/>
      <c r="R19" s="89"/>
      <c r="S19" s="89"/>
    </row>
    <row r="20" spans="1:20" ht="12.95" customHeight="1">
      <c r="A20" s="424"/>
      <c r="B20" s="424"/>
      <c r="C20" s="318" t="s">
        <v>0</v>
      </c>
      <c r="D20" s="321">
        <v>9443</v>
      </c>
      <c r="E20" s="319">
        <v>14830.560100000002</v>
      </c>
      <c r="F20" s="319">
        <v>161591.209107</v>
      </c>
      <c r="G20" s="320">
        <f>SUM(G14:G19)</f>
        <v>0.99999999999999989</v>
      </c>
      <c r="H20" s="320">
        <f>(E20-I20)/I20</f>
        <v>-0.51855575502876528</v>
      </c>
      <c r="I20" s="321">
        <v>30804.314839999999</v>
      </c>
      <c r="J20" s="319">
        <v>337425.80753700004</v>
      </c>
      <c r="K20" s="320">
        <f>SUM(K14:K19)</f>
        <v>1</v>
      </c>
      <c r="L20" s="93"/>
      <c r="M20" s="89"/>
      <c r="N20" s="89"/>
      <c r="O20" s="89"/>
      <c r="P20" s="89"/>
      <c r="Q20" s="89"/>
      <c r="R20" s="89"/>
      <c r="S20" s="89"/>
    </row>
    <row r="21" spans="1:20" ht="12.95" customHeight="1">
      <c r="A21" s="422" t="str">
        <f>'3.1'!F5</f>
        <v>Prosinec</v>
      </c>
      <c r="B21" s="422"/>
      <c r="C21" s="164" t="s">
        <v>4</v>
      </c>
      <c r="D21" s="312">
        <v>95</v>
      </c>
      <c r="E21" s="308">
        <v>22962.057999999997</v>
      </c>
      <c r="F21" s="308">
        <v>250524.25369000001</v>
      </c>
      <c r="G21" s="309">
        <f>E21/$E$27</f>
        <v>0.9704025805222386</v>
      </c>
      <c r="H21" s="309">
        <f>(E21-I21)/I21</f>
        <v>-0.48113563805964649</v>
      </c>
      <c r="I21" s="312">
        <v>44254.45199999999</v>
      </c>
      <c r="J21" s="308">
        <v>484817.09901000001</v>
      </c>
      <c r="K21" s="309">
        <f>I21/$I$27</f>
        <v>0.98027252178927105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2.95" customHeight="1">
      <c r="A22" s="423"/>
      <c r="B22" s="423"/>
      <c r="C22" s="154" t="s">
        <v>5</v>
      </c>
      <c r="D22" s="313">
        <v>119</v>
      </c>
      <c r="E22" s="129">
        <v>83.343000000000004</v>
      </c>
      <c r="F22" s="129">
        <v>876.72900000000004</v>
      </c>
      <c r="G22" s="307">
        <f t="shared" ref="G22:G26" si="7">E22/$E$27</f>
        <v>3.5221695837744571E-3</v>
      </c>
      <c r="H22" s="307">
        <f t="shared" ref="H22:H26" si="8">(E22-I22)/I22</f>
        <v>-0.11279660205026656</v>
      </c>
      <c r="I22" s="313">
        <v>93.938999999999993</v>
      </c>
      <c r="J22" s="129">
        <v>988.04899999999998</v>
      </c>
      <c r="K22" s="307">
        <f t="shared" ref="K22:K26" si="9">I22/$I$27</f>
        <v>2.0808261375457175E-3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23"/>
      <c r="B23" s="423"/>
      <c r="C23" s="154" t="s">
        <v>6</v>
      </c>
      <c r="D23" s="313">
        <v>1168</v>
      </c>
      <c r="E23" s="129">
        <v>163.071</v>
      </c>
      <c r="F23" s="129">
        <v>1712.9429999999998</v>
      </c>
      <c r="G23" s="307">
        <f t="shared" si="7"/>
        <v>6.8915651727881697E-3</v>
      </c>
      <c r="H23" s="307">
        <f t="shared" si="8"/>
        <v>6.4251497787581741E-2</v>
      </c>
      <c r="I23" s="313">
        <v>153.226</v>
      </c>
      <c r="J23" s="129">
        <v>1629.0161500000002</v>
      </c>
      <c r="K23" s="307">
        <f t="shared" si="9"/>
        <v>3.3940819654411916E-3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23"/>
      <c r="B24" s="423"/>
      <c r="C24" s="154" t="s">
        <v>7</v>
      </c>
      <c r="D24" s="313">
        <v>8065</v>
      </c>
      <c r="E24" s="129">
        <v>190.626</v>
      </c>
      <c r="F24" s="129">
        <v>2034.2280000000001</v>
      </c>
      <c r="G24" s="307">
        <f t="shared" si="7"/>
        <v>8.0560706847196475E-3</v>
      </c>
      <c r="H24" s="344">
        <f t="shared" si="8"/>
        <v>-8.3171812099904319E-2</v>
      </c>
      <c r="I24" s="313">
        <v>207.91900000000001</v>
      </c>
      <c r="J24" s="129">
        <v>2211.6289999999999</v>
      </c>
      <c r="K24" s="307">
        <f t="shared" si="9"/>
        <v>4.6055769136606525E-3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23"/>
      <c r="B25" s="423"/>
      <c r="C25" s="154" t="s">
        <v>93</v>
      </c>
      <c r="D25" s="313">
        <v>6</v>
      </c>
      <c r="E25" s="129">
        <v>10.167</v>
      </c>
      <c r="F25" s="129">
        <v>105.39100000000001</v>
      </c>
      <c r="G25" s="307">
        <f t="shared" si="7"/>
        <v>4.2966893630220777E-4</v>
      </c>
      <c r="H25" s="307">
        <f t="shared" si="8"/>
        <v>-0.70275406385218098</v>
      </c>
      <c r="I25" s="313">
        <v>34.204000000000001</v>
      </c>
      <c r="J25" s="129">
        <v>353.90899999999999</v>
      </c>
      <c r="K25" s="307">
        <f t="shared" si="9"/>
        <v>7.5764674106189886E-4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23"/>
      <c r="B26" s="423"/>
      <c r="C26" s="154" t="s">
        <v>96</v>
      </c>
      <c r="D26" s="313">
        <v>0</v>
      </c>
      <c r="E26" s="129">
        <v>253.13910000000078</v>
      </c>
      <c r="F26" s="129">
        <v>2965.6114640000083</v>
      </c>
      <c r="G26" s="307">
        <f t="shared" si="7"/>
        <v>1.06979451001769E-2</v>
      </c>
      <c r="H26" s="307">
        <f t="shared" si="8"/>
        <v>-0.36921804513263007</v>
      </c>
      <c r="I26" s="313">
        <v>401.30998999999383</v>
      </c>
      <c r="J26" s="129">
        <v>4464.6954779999669</v>
      </c>
      <c r="K26" s="307">
        <f t="shared" si="9"/>
        <v>8.8893464530194876E-3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24"/>
      <c r="B27" s="424"/>
      <c r="C27" s="318" t="s">
        <v>0</v>
      </c>
      <c r="D27" s="321">
        <v>9453</v>
      </c>
      <c r="E27" s="319">
        <v>23662.4041</v>
      </c>
      <c r="F27" s="319">
        <v>258219.15615400003</v>
      </c>
      <c r="G27" s="320">
        <f>SUM(G21:G26)</f>
        <v>1.0000000000000002</v>
      </c>
      <c r="H27" s="320">
        <f>(E27-I27)/I27</f>
        <v>-0.47585828113510953</v>
      </c>
      <c r="I27" s="321">
        <v>45145.049989999985</v>
      </c>
      <c r="J27" s="319">
        <v>494464.39763799997</v>
      </c>
      <c r="K27" s="320">
        <f>SUM(K21:K26)</f>
        <v>1</v>
      </c>
      <c r="M27" s="89"/>
      <c r="N27" s="89"/>
      <c r="O27" s="89"/>
      <c r="P27" s="89"/>
      <c r="Q27" s="89"/>
      <c r="R27" s="89"/>
      <c r="S27" s="89"/>
    </row>
    <row r="28" spans="1:20" ht="12.95" customHeight="1">
      <c r="A28" s="491" t="str">
        <f>'3.1'!G5</f>
        <v>IV. čtvrtletí</v>
      </c>
      <c r="B28" s="422"/>
      <c r="C28" s="164" t="s">
        <v>4</v>
      </c>
      <c r="D28" s="312">
        <f>D21</f>
        <v>95</v>
      </c>
      <c r="E28" s="308">
        <f>E7+E14+E21</f>
        <v>65305.599999999999</v>
      </c>
      <c r="F28" s="308">
        <f>F7+F14+F21</f>
        <v>713878.04669700004</v>
      </c>
      <c r="G28" s="309">
        <f>E28/$E$34</f>
        <v>0.97472038248958204</v>
      </c>
      <c r="H28" s="309">
        <f>(E28-I28)/I28</f>
        <v>-0.39749172680845818</v>
      </c>
      <c r="I28" s="312">
        <f>I7+I14+I21</f>
        <v>108389.54899999998</v>
      </c>
      <c r="J28" s="308">
        <f>J7+J14+J21</f>
        <v>1187260.8555940001</v>
      </c>
      <c r="K28" s="309">
        <f>I28/$I$34</f>
        <v>0.9656631089823392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23"/>
      <c r="B29" s="423"/>
      <c r="C29" s="154" t="s">
        <v>5</v>
      </c>
      <c r="D29" s="313">
        <f t="shared" ref="D29:D32" si="10">D22</f>
        <v>119</v>
      </c>
      <c r="E29" s="129">
        <f>E8+E15+E22</f>
        <v>181.11</v>
      </c>
      <c r="F29" s="129">
        <f t="shared" ref="F29" si="11">F8+F15+F22</f>
        <v>1906.874</v>
      </c>
      <c r="G29" s="307">
        <f t="shared" ref="G29:G33" si="12">E29/$E$34</f>
        <v>2.7031618800330785E-3</v>
      </c>
      <c r="H29" s="307">
        <f t="shared" ref="H29:H31" si="13">(E29-I29)/I29</f>
        <v>2.9110104723644468E-2</v>
      </c>
      <c r="I29" s="313">
        <f>I8+I15+I22</f>
        <v>175.98699999999999</v>
      </c>
      <c r="J29" s="129">
        <f t="shared" ref="J29" si="14">J8+J15+J22</f>
        <v>1848.4159999999999</v>
      </c>
      <c r="K29" s="307">
        <f t="shared" ref="K29:K33" si="15">I29/$I$34</f>
        <v>1.5679016577555365E-3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23"/>
      <c r="B30" s="423"/>
      <c r="C30" s="154" t="s">
        <v>6</v>
      </c>
      <c r="D30" s="313">
        <f t="shared" si="10"/>
        <v>1168</v>
      </c>
      <c r="E30" s="129">
        <f t="shared" ref="E30:F33" si="16">E9+E16+E23</f>
        <v>483.37300000000005</v>
      </c>
      <c r="F30" s="129">
        <f t="shared" si="16"/>
        <v>5078.0380000000005</v>
      </c>
      <c r="G30" s="307">
        <f t="shared" si="12"/>
        <v>7.2145959220210332E-3</v>
      </c>
      <c r="H30" s="307">
        <f t="shared" si="13"/>
        <v>0.59322922160109715</v>
      </c>
      <c r="I30" s="313">
        <f t="shared" ref="I30:J32" si="17">I9+I16+I23</f>
        <v>303.392</v>
      </c>
      <c r="J30" s="129">
        <f t="shared" si="17"/>
        <v>3226.1271500000003</v>
      </c>
      <c r="K30" s="307">
        <f t="shared" si="15"/>
        <v>2.7029770366547965E-3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23"/>
      <c r="B31" s="423"/>
      <c r="C31" s="154" t="s">
        <v>7</v>
      </c>
      <c r="D31" s="313">
        <f t="shared" si="10"/>
        <v>8065</v>
      </c>
      <c r="E31" s="129">
        <f>E10+E17+E24</f>
        <v>190.626</v>
      </c>
      <c r="F31" s="129">
        <f t="shared" si="16"/>
        <v>2034.2280000000001</v>
      </c>
      <c r="G31" s="307">
        <f t="shared" si="12"/>
        <v>2.8451931784174568E-3</v>
      </c>
      <c r="H31" s="344">
        <f t="shared" si="13"/>
        <v>-8.3171812099904319E-2</v>
      </c>
      <c r="I31" s="313">
        <f>I10+I17+I24</f>
        <v>207.91900000000001</v>
      </c>
      <c r="J31" s="129">
        <f t="shared" si="17"/>
        <v>2211.6289999999999</v>
      </c>
      <c r="K31" s="307">
        <f t="shared" si="15"/>
        <v>1.8523899195899323E-3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23"/>
      <c r="B32" s="423"/>
      <c r="C32" s="154" t="s">
        <v>93</v>
      </c>
      <c r="D32" s="313">
        <f t="shared" si="10"/>
        <v>6</v>
      </c>
      <c r="E32" s="129">
        <f>E11+E18+E25</f>
        <v>54.519000000000005</v>
      </c>
      <c r="F32" s="129">
        <f t="shared" si="16"/>
        <v>565.23500000000001</v>
      </c>
      <c r="G32" s="307">
        <f t="shared" si="12"/>
        <v>8.1372471170848332E-4</v>
      </c>
      <c r="H32" s="307">
        <f>(E32-I32)/I32</f>
        <v>-0.47071501383427983</v>
      </c>
      <c r="I32" s="313">
        <f>I11+I18+I25</f>
        <v>103.005</v>
      </c>
      <c r="J32" s="129">
        <f t="shared" si="17"/>
        <v>1066.963</v>
      </c>
      <c r="K32" s="307">
        <f t="shared" si="15"/>
        <v>9.1769113773806606E-4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23"/>
      <c r="B33" s="423"/>
      <c r="C33" s="154" t="s">
        <v>96</v>
      </c>
      <c r="D33" s="313"/>
      <c r="E33" s="129">
        <f t="shared" si="16"/>
        <v>784.08911000000091</v>
      </c>
      <c r="F33" s="129">
        <f t="shared" si="16"/>
        <v>8986.6606800000009</v>
      </c>
      <c r="G33" s="307">
        <f t="shared" si="12"/>
        <v>1.1702941818237897E-2</v>
      </c>
      <c r="H33" s="307">
        <f t="shared" ref="H33" si="18">(E33-I33)/I33</f>
        <v>-0.744079109969917</v>
      </c>
      <c r="I33" s="313">
        <f t="shared" ref="I33:J33" si="19">I12+I19+I26</f>
        <v>3063.7948699999934</v>
      </c>
      <c r="J33" s="129">
        <f t="shared" si="19"/>
        <v>34285.729308999988</v>
      </c>
      <c r="K33" s="307">
        <f t="shared" si="15"/>
        <v>2.7295931265922471E-2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24"/>
      <c r="B34" s="424"/>
      <c r="C34" s="318" t="s">
        <v>0</v>
      </c>
      <c r="D34" s="321">
        <f>SUM(D28:D33)</f>
        <v>9453</v>
      </c>
      <c r="E34" s="319">
        <f>SUM(E28:E33)</f>
        <v>66999.317110000004</v>
      </c>
      <c r="F34" s="319">
        <f>SUM(F28:F33)</f>
        <v>732449.08237700001</v>
      </c>
      <c r="G34" s="320">
        <f>SUM(G28:G33)</f>
        <v>1</v>
      </c>
      <c r="H34" s="320">
        <f>(E34-I34)/I34</f>
        <v>-0.40309033982477183</v>
      </c>
      <c r="I34" s="321">
        <f>SUM(I28:I33)</f>
        <v>112243.64686999998</v>
      </c>
      <c r="J34" s="319">
        <f>SUM(J28:J33)</f>
        <v>1229899.7200530001</v>
      </c>
      <c r="K34" s="320">
        <f>SUM(K28:K33)</f>
        <v>1</v>
      </c>
      <c r="M34" s="89"/>
      <c r="N34" s="89"/>
      <c r="O34" s="89"/>
      <c r="P34" s="89"/>
      <c r="Q34" s="89"/>
      <c r="R34" s="89"/>
      <c r="S34" s="89"/>
    </row>
    <row r="35" spans="1:20" ht="12.95" customHeight="1">
      <c r="A35" s="126"/>
      <c r="B35" s="303"/>
      <c r="C35" s="101"/>
      <c r="D35" s="88"/>
      <c r="E35" s="88"/>
      <c r="F35" s="88"/>
      <c r="G35" s="476" t="s">
        <v>270</v>
      </c>
      <c r="H35" s="476"/>
      <c r="I35" s="476"/>
      <c r="J35" s="476"/>
      <c r="K35" s="476"/>
    </row>
    <row r="36" spans="1:20" ht="15" customHeight="1">
      <c r="A36" s="468" t="s">
        <v>269</v>
      </c>
      <c r="B36" s="468"/>
      <c r="C36" s="468"/>
      <c r="D36" s="468"/>
      <c r="E36" s="468"/>
      <c r="F36" s="119"/>
      <c r="G36" s="476"/>
      <c r="H36" s="476"/>
      <c r="I36" s="476"/>
      <c r="J36" s="476"/>
      <c r="K36" s="476"/>
      <c r="M36" s="93"/>
      <c r="N36" s="93"/>
      <c r="O36" s="93"/>
      <c r="P36" s="93"/>
      <c r="Q36" s="93"/>
      <c r="R36" s="93"/>
      <c r="S36" s="93"/>
    </row>
    <row r="37" spans="1:20" ht="15" customHeight="1">
      <c r="A37" s="469" t="str">
        <f>A28</f>
        <v>IV. čtvrtletí</v>
      </c>
      <c r="B37" s="469"/>
      <c r="C37" s="469"/>
      <c r="D37" s="469"/>
      <c r="E37" s="469"/>
      <c r="F37" s="125"/>
      <c r="G37" s="471" t="str">
        <f>A28</f>
        <v>IV. čtvrtletí</v>
      </c>
      <c r="H37" s="471"/>
      <c r="I37" s="471"/>
      <c r="J37" s="471"/>
      <c r="K37" s="471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2023</v>
      </c>
      <c r="D41" s="94">
        <f>I3</f>
        <v>2022</v>
      </c>
      <c r="E41" s="76"/>
      <c r="F41" s="76"/>
      <c r="G41" s="76"/>
      <c r="H41" s="94"/>
      <c r="I41" s="94">
        <f>D3</f>
        <v>2023</v>
      </c>
      <c r="J41" s="94">
        <f>I3</f>
        <v>2022</v>
      </c>
      <c r="K41" s="94"/>
    </row>
    <row r="42" spans="1:20" ht="15" customHeight="1">
      <c r="A42" s="94"/>
      <c r="B42" s="94" t="str">
        <f>A7</f>
        <v>Říjen</v>
      </c>
      <c r="C42" s="78">
        <f>E13</f>
        <v>28506.352910000001</v>
      </c>
      <c r="D42" s="78">
        <f>I13</f>
        <v>36294.282039999998</v>
      </c>
      <c r="E42" s="76"/>
      <c r="F42" s="76"/>
      <c r="G42" s="76"/>
      <c r="H42" s="94" t="str">
        <f>A7</f>
        <v>Říjen</v>
      </c>
      <c r="I42" s="95">
        <f>E13/E34</f>
        <v>0.42547229045929003</v>
      </c>
      <c r="J42" s="95">
        <f>I13/I34</f>
        <v>0.32335266228507215</v>
      </c>
      <c r="K42" s="94"/>
    </row>
    <row r="43" spans="1:20" ht="15" customHeight="1">
      <c r="A43" s="94"/>
      <c r="B43" s="94" t="str">
        <f>A14</f>
        <v>Listopad</v>
      </c>
      <c r="C43" s="78">
        <f>E20</f>
        <v>14830.560100000002</v>
      </c>
      <c r="D43" s="78">
        <f>I20</f>
        <v>30804.314839999999</v>
      </c>
      <c r="E43" s="76"/>
      <c r="F43" s="76"/>
      <c r="G43" s="76"/>
      <c r="H43" s="94" t="str">
        <f>A14</f>
        <v>Listopad</v>
      </c>
      <c r="I43" s="95">
        <f>E20/E34</f>
        <v>0.2213538994084234</v>
      </c>
      <c r="J43" s="95">
        <f>I20/I34</f>
        <v>0.27444150024524239</v>
      </c>
      <c r="K43" s="94"/>
    </row>
    <row r="44" spans="1:20" ht="15" customHeight="1">
      <c r="A44" s="94"/>
      <c r="B44" s="94" t="str">
        <f>A21</f>
        <v>Prosinec</v>
      </c>
      <c r="C44" s="78">
        <f>E27</f>
        <v>23662.4041</v>
      </c>
      <c r="D44" s="78">
        <f>I27</f>
        <v>45145.049989999985</v>
      </c>
      <c r="E44" s="76"/>
      <c r="F44" s="76"/>
      <c r="G44" s="76"/>
      <c r="H44" s="94" t="str">
        <f>A21</f>
        <v>Prosinec</v>
      </c>
      <c r="I44" s="95">
        <f>E27/E34</f>
        <v>0.35317381013228655</v>
      </c>
      <c r="J44" s="95">
        <f>I27/I34</f>
        <v>0.40220583746968547</v>
      </c>
      <c r="K44" s="94"/>
    </row>
    <row r="45" spans="1:20" ht="15" customHeight="1">
      <c r="A45" s="94"/>
      <c r="B45" s="94"/>
      <c r="C45" s="78">
        <f>SUM(C42:C44)</f>
        <v>66999.317110000004</v>
      </c>
      <c r="D45" s="78">
        <f>SUM(D42:D44)</f>
        <v>112243.64686999998</v>
      </c>
      <c r="E45" s="94"/>
      <c r="F45" s="94"/>
      <c r="G45" s="94"/>
      <c r="H45" s="94"/>
      <c r="I45" s="96">
        <f>SUM(I42:I44)</f>
        <v>1</v>
      </c>
      <c r="J45" s="96">
        <f>SUM(J42:J44)</f>
        <v>1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494" t="s">
        <v>201</v>
      </c>
      <c r="B52" s="494"/>
      <c r="C52" s="494"/>
      <c r="D52" s="494"/>
      <c r="E52" s="494"/>
      <c r="F52" s="494"/>
      <c r="G52" s="494"/>
      <c r="H52" s="494"/>
      <c r="I52" s="494"/>
      <c r="J52" s="494"/>
      <c r="K52" s="494"/>
    </row>
    <row r="53" spans="1:11" ht="15" customHeight="1">
      <c r="A53" s="494"/>
      <c r="B53" s="494"/>
      <c r="C53" s="494"/>
      <c r="D53" s="494"/>
      <c r="E53" s="494"/>
      <c r="F53" s="494"/>
      <c r="G53" s="494"/>
      <c r="H53" s="494"/>
      <c r="I53" s="494"/>
      <c r="J53" s="494"/>
      <c r="K53" s="494"/>
    </row>
    <row r="54" spans="1:11" ht="15" customHeight="1">
      <c r="A54" s="494"/>
      <c r="B54" s="494"/>
      <c r="C54" s="494"/>
      <c r="D54" s="494"/>
      <c r="E54" s="494"/>
      <c r="F54" s="494"/>
      <c r="G54" s="494"/>
      <c r="H54" s="494"/>
      <c r="I54" s="494"/>
      <c r="J54" s="494"/>
      <c r="K54" s="4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/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22">
    <mergeCell ref="E3:G4"/>
    <mergeCell ref="A37:E37"/>
    <mergeCell ref="G37:K37"/>
    <mergeCell ref="A1:K1"/>
    <mergeCell ref="A2:C2"/>
    <mergeCell ref="I3:K4"/>
    <mergeCell ref="A3:C4"/>
    <mergeCell ref="D5:D6"/>
    <mergeCell ref="C5:C6"/>
    <mergeCell ref="A5:B6"/>
    <mergeCell ref="G5:G6"/>
    <mergeCell ref="H5:H6"/>
    <mergeCell ref="K5:K6"/>
    <mergeCell ref="E5:F5"/>
    <mergeCell ref="I5:J5"/>
    <mergeCell ref="A52:K54"/>
    <mergeCell ref="A7:B13"/>
    <mergeCell ref="A14:B20"/>
    <mergeCell ref="A21:B27"/>
    <mergeCell ref="A28:B34"/>
    <mergeCell ref="A36:E36"/>
    <mergeCell ref="G35:K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4 H10" evalError="1"/>
    <ignoredError sqref="H34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495" t="str">
        <f>"5.6 Spotřeba zemního plynu a teplota ovzduší: "&amp;LOWER(A3)</f>
        <v>5.6 Spotřeba zemního plynu a teplota ovzduší: říjen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ht="6" customHeight="1">
      <c r="A2" s="499"/>
      <c r="B2" s="499"/>
      <c r="C2" s="300"/>
      <c r="D2" s="301"/>
      <c r="E2" s="302"/>
      <c r="F2" s="302"/>
      <c r="G2" s="302"/>
      <c r="H2" s="302"/>
      <c r="I2" s="76"/>
      <c r="J2" s="76"/>
      <c r="K2" s="76"/>
    </row>
    <row r="3" spans="1:11" ht="18.75" customHeight="1">
      <c r="A3" s="502" t="str">
        <f>'3.1'!D5</f>
        <v>Říjen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</row>
    <row r="4" spans="1:11" ht="24.95" customHeight="1">
      <c r="A4" s="128"/>
      <c r="B4" s="252">
        <f>'3.1'!A4</f>
        <v>2023</v>
      </c>
      <c r="C4" s="496" t="s">
        <v>60</v>
      </c>
      <c r="D4" s="497"/>
      <c r="E4" s="497"/>
      <c r="F4" s="498"/>
      <c r="G4" s="496" t="s">
        <v>186</v>
      </c>
      <c r="H4" s="497"/>
      <c r="I4" s="497"/>
      <c r="J4" s="497"/>
      <c r="K4" s="497"/>
    </row>
    <row r="5" spans="1:11" ht="22.5">
      <c r="A5" s="272"/>
      <c r="B5" s="480" t="s">
        <v>185</v>
      </c>
      <c r="C5" s="345"/>
      <c r="D5" s="346"/>
      <c r="E5" s="480" t="s">
        <v>277</v>
      </c>
      <c r="F5" s="500" t="s">
        <v>280</v>
      </c>
      <c r="G5" s="347" t="s">
        <v>62</v>
      </c>
      <c r="H5" s="348" t="s">
        <v>173</v>
      </c>
      <c r="I5" s="348" t="s">
        <v>174</v>
      </c>
      <c r="J5" s="348" t="s">
        <v>278</v>
      </c>
      <c r="K5" s="348" t="s">
        <v>279</v>
      </c>
    </row>
    <row r="6" spans="1:11" ht="24.95" customHeight="1">
      <c r="A6" s="349" t="s">
        <v>281</v>
      </c>
      <c r="B6" s="467"/>
      <c r="C6" s="221" t="s">
        <v>259</v>
      </c>
      <c r="D6" s="219" t="s">
        <v>260</v>
      </c>
      <c r="E6" s="467"/>
      <c r="F6" s="501"/>
      <c r="G6" s="350" t="s">
        <v>228</v>
      </c>
      <c r="H6" s="351" t="s">
        <v>228</v>
      </c>
      <c r="I6" s="351" t="s">
        <v>228</v>
      </c>
      <c r="J6" s="351" t="s">
        <v>228</v>
      </c>
      <c r="K6" s="351" t="s">
        <v>228</v>
      </c>
    </row>
    <row r="7" spans="1:11" ht="15.95" customHeight="1">
      <c r="A7" s="154" t="s">
        <v>20</v>
      </c>
      <c r="B7" s="129">
        <f>'5.2'!D13</f>
        <v>402708</v>
      </c>
      <c r="C7" s="313">
        <f>'5.2'!E13</f>
        <v>41124.742635478062</v>
      </c>
      <c r="D7" s="129">
        <f>'5.2'!F13</f>
        <v>451525.63716800226</v>
      </c>
      <c r="E7" s="307">
        <f>C7/$C$11</f>
        <v>8.8337437705676355E-2</v>
      </c>
      <c r="F7" s="332">
        <f>'5.2'!H13</f>
        <v>-0.12041702453146924</v>
      </c>
      <c r="G7" s="330">
        <v>12.70645161290323</v>
      </c>
      <c r="H7" s="324">
        <v>19.2</v>
      </c>
      <c r="I7" s="324">
        <v>4.8</v>
      </c>
      <c r="J7" s="324">
        <v>9</v>
      </c>
      <c r="K7" s="324">
        <v>3.7064516129032299</v>
      </c>
    </row>
    <row r="8" spans="1:11" ht="15.95" customHeight="1">
      <c r="A8" s="154" t="s">
        <v>87</v>
      </c>
      <c r="B8" s="129">
        <f>'5.3'!D13</f>
        <v>2230932</v>
      </c>
      <c r="C8" s="313">
        <f>'5.3'!E13</f>
        <v>378511.18904395303</v>
      </c>
      <c r="D8" s="129">
        <f>'5.3'!F13</f>
        <v>4153319.3285900005</v>
      </c>
      <c r="E8" s="307">
        <f t="shared" ref="E8:E10" si="0">C8/$C$11</f>
        <v>0.81305575282132081</v>
      </c>
      <c r="F8" s="332">
        <f>'5.3'!H13</f>
        <v>-6.623842688343172E-2</v>
      </c>
      <c r="G8" s="330">
        <v>11.273655913978494</v>
      </c>
      <c r="H8" s="325">
        <v>17.366666666666664</v>
      </c>
      <c r="I8" s="325">
        <v>3.4333333333333336</v>
      </c>
      <c r="J8" s="325">
        <v>8.1500000000000039</v>
      </c>
      <c r="K8" s="324">
        <v>3.1236559139784905</v>
      </c>
    </row>
    <row r="9" spans="1:11" ht="15.95" customHeight="1">
      <c r="A9" s="154" t="s">
        <v>209</v>
      </c>
      <c r="B9" s="129">
        <f>'5.4'!D13</f>
        <v>111914</v>
      </c>
      <c r="C9" s="313">
        <f>'5.4'!E13</f>
        <v>17399.208390000003</v>
      </c>
      <c r="D9" s="129">
        <f>'5.4'!F13</f>
        <v>191165.79854560003</v>
      </c>
      <c r="E9" s="307">
        <f t="shared" si="0"/>
        <v>3.737413023841625E-2</v>
      </c>
      <c r="F9" s="332">
        <f>'5.4'!H13</f>
        <v>-9.3721464649060601E-2</v>
      </c>
      <c r="G9" s="330">
        <v>10.70967741935484</v>
      </c>
      <c r="H9" s="325">
        <v>18.100000000000001</v>
      </c>
      <c r="I9" s="325">
        <v>2.4</v>
      </c>
      <c r="J9" s="325">
        <v>7.5</v>
      </c>
      <c r="K9" s="324">
        <v>3.2096774193548399</v>
      </c>
    </row>
    <row r="10" spans="1:11" ht="15.95" customHeight="1">
      <c r="A10" s="154" t="s">
        <v>32</v>
      </c>
      <c r="B10" s="129">
        <f>'5.5'!D13</f>
        <v>9431</v>
      </c>
      <c r="C10" s="313">
        <f>'5.5'!E13</f>
        <v>28506.352910000001</v>
      </c>
      <c r="D10" s="129">
        <f>'5.5'!F13</f>
        <v>312638.71711599996</v>
      </c>
      <c r="E10" s="307">
        <f t="shared" si="0"/>
        <v>6.1232679234586487E-2</v>
      </c>
      <c r="F10" s="332">
        <f>'5.5'!H13</f>
        <v>-0.21457730232593952</v>
      </c>
      <c r="G10" s="330">
        <v>11.261290322580644</v>
      </c>
      <c r="H10" s="325">
        <v>17.600000000000001</v>
      </c>
      <c r="I10" s="325">
        <v>3.4</v>
      </c>
      <c r="J10" s="325">
        <v>8.3548387096774199</v>
      </c>
      <c r="K10" s="324">
        <v>2.9064516129032238</v>
      </c>
    </row>
    <row r="11" spans="1:11" ht="15.95" customHeight="1">
      <c r="A11" s="159" t="s">
        <v>3</v>
      </c>
      <c r="B11" s="310">
        <f>SUM(B7:B10)</f>
        <v>2754985</v>
      </c>
      <c r="C11" s="314">
        <f>SUM(C7:C10)</f>
        <v>465541.49297943112</v>
      </c>
      <c r="D11" s="310">
        <f t="shared" ref="D11:E11" si="1">SUM(D7:D10)</f>
        <v>5108649.4814196024</v>
      </c>
      <c r="E11" s="311">
        <f t="shared" si="1"/>
        <v>1</v>
      </c>
      <c r="F11" s="333">
        <f>'5.1'!H14</f>
        <v>-8.2874443282101071E-2</v>
      </c>
      <c r="G11" s="331">
        <v>11.261290322580644</v>
      </c>
      <c r="H11" s="329">
        <v>17.600000000000001</v>
      </c>
      <c r="I11" s="329">
        <v>3.4</v>
      </c>
      <c r="J11" s="329">
        <v>8.3548387096774199</v>
      </c>
      <c r="K11" s="328">
        <v>2.9064516129032238</v>
      </c>
    </row>
    <row r="12" spans="1:11" ht="15" customHeight="1">
      <c r="A12" s="101"/>
      <c r="B12" s="94"/>
      <c r="C12" s="503" t="s">
        <v>239</v>
      </c>
      <c r="D12" s="503"/>
      <c r="E12" s="503"/>
      <c r="F12" s="503"/>
      <c r="G12" s="506" t="s">
        <v>240</v>
      </c>
      <c r="H12" s="506"/>
      <c r="I12" s="506"/>
      <c r="J12" s="506"/>
      <c r="K12" s="506"/>
    </row>
    <row r="13" spans="1:11" ht="15" customHeight="1">
      <c r="A13" s="94"/>
      <c r="B13" s="94"/>
      <c r="C13" s="503"/>
      <c r="D13" s="503"/>
      <c r="E13" s="503"/>
      <c r="F13" s="503"/>
      <c r="G13" s="506" t="s">
        <v>241</v>
      </c>
      <c r="H13" s="506"/>
      <c r="I13" s="506"/>
      <c r="J13" s="506"/>
      <c r="K13" s="506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07" t="s">
        <v>271</v>
      </c>
      <c r="B16" s="507"/>
      <c r="C16" s="507"/>
      <c r="D16" s="507"/>
      <c r="E16" s="507"/>
      <c r="F16" s="507" t="s">
        <v>272</v>
      </c>
      <c r="G16" s="507"/>
      <c r="H16" s="507"/>
      <c r="I16" s="507"/>
      <c r="J16" s="507"/>
      <c r="K16" s="507"/>
    </row>
    <row r="17" spans="1:11" ht="15" customHeight="1">
      <c r="A17" s="507"/>
      <c r="B17" s="507"/>
      <c r="C17" s="507"/>
      <c r="D17" s="507"/>
      <c r="E17" s="507"/>
      <c r="F17" s="507"/>
      <c r="G17" s="507"/>
      <c r="H17" s="507"/>
      <c r="I17" s="507"/>
      <c r="J17" s="507"/>
      <c r="K17" s="507"/>
    </row>
    <row r="18" spans="1:11" ht="15" customHeight="1">
      <c r="A18" s="124"/>
      <c r="B18" s="504"/>
      <c r="C18" s="504"/>
      <c r="D18" s="124"/>
      <c r="E18" s="124"/>
      <c r="F18" s="124"/>
      <c r="G18" s="124"/>
      <c r="H18" s="504"/>
      <c r="I18" s="504"/>
      <c r="J18" s="124"/>
      <c r="K18" s="124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07" t="s">
        <v>273</v>
      </c>
      <c r="B33" s="470"/>
      <c r="C33" s="470"/>
      <c r="D33" s="470"/>
      <c r="E33" s="470"/>
      <c r="F33" s="507" t="s">
        <v>66</v>
      </c>
      <c r="G33" s="507"/>
      <c r="H33" s="507"/>
      <c r="I33" s="507"/>
      <c r="J33" s="507"/>
      <c r="K33" s="507"/>
    </row>
    <row r="34" spans="1:11" ht="15" customHeight="1">
      <c r="A34" s="470"/>
      <c r="B34" s="470"/>
      <c r="C34" s="470"/>
      <c r="D34" s="470"/>
      <c r="E34" s="470"/>
      <c r="F34" s="507"/>
      <c r="G34" s="507"/>
      <c r="H34" s="507"/>
      <c r="I34" s="507"/>
      <c r="J34" s="507"/>
      <c r="K34" s="507"/>
    </row>
    <row r="35" spans="1:11" ht="15" customHeight="1">
      <c r="A35" s="124"/>
      <c r="B35" s="504"/>
      <c r="C35" s="504"/>
      <c r="D35" s="124"/>
      <c r="E35" s="121"/>
      <c r="F35" s="127"/>
      <c r="G35" s="127"/>
      <c r="H35" s="505"/>
      <c r="I35" s="505"/>
      <c r="J35" s="127"/>
      <c r="K35" s="127"/>
    </row>
    <row r="36" spans="1:11" ht="15" customHeight="1">
      <c r="A36" s="124"/>
      <c r="B36" s="124"/>
      <c r="C36" s="124"/>
      <c r="D36" s="124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C12:F13"/>
    <mergeCell ref="B18:C18"/>
    <mergeCell ref="H18:I18"/>
    <mergeCell ref="H35:I35"/>
    <mergeCell ref="B35:C35"/>
    <mergeCell ref="G12:K12"/>
    <mergeCell ref="G13:K13"/>
    <mergeCell ref="F16:K17"/>
    <mergeCell ref="A16:E17"/>
    <mergeCell ref="A33:E34"/>
    <mergeCell ref="F33:K34"/>
    <mergeCell ref="A1:K1"/>
    <mergeCell ref="G4:K4"/>
    <mergeCell ref="B5:B6"/>
    <mergeCell ref="C4:F4"/>
    <mergeCell ref="A2:B2"/>
    <mergeCell ref="E5:E6"/>
    <mergeCell ref="F5:F6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495" t="str">
        <f>"5.7 Spotřeba zemního plynu a teplota ovzduší: "&amp;LOWER(A3)</f>
        <v>5.7 Spotřeba zemního plynu a teplota ovzduší: listopad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ht="6" customHeight="1">
      <c r="A2" s="499"/>
      <c r="B2" s="499"/>
      <c r="C2" s="300"/>
      <c r="D2" s="301"/>
      <c r="E2" s="302"/>
      <c r="F2" s="302"/>
      <c r="G2" s="302"/>
      <c r="H2" s="302"/>
      <c r="I2" s="76"/>
      <c r="J2" s="76"/>
      <c r="K2" s="76"/>
    </row>
    <row r="3" spans="1:11" ht="18.75" customHeight="1">
      <c r="A3" s="502" t="str">
        <f>'3.1'!E5</f>
        <v>Listopad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</row>
    <row r="4" spans="1:11" ht="24.95" customHeight="1">
      <c r="A4" s="128"/>
      <c r="B4" s="252">
        <f>'3.1'!A4</f>
        <v>2023</v>
      </c>
      <c r="C4" s="496" t="s">
        <v>60</v>
      </c>
      <c r="D4" s="497"/>
      <c r="E4" s="497"/>
      <c r="F4" s="498"/>
      <c r="G4" s="496" t="s">
        <v>186</v>
      </c>
      <c r="H4" s="497"/>
      <c r="I4" s="497"/>
      <c r="J4" s="497"/>
      <c r="K4" s="497"/>
    </row>
    <row r="5" spans="1:11" ht="22.5">
      <c r="A5" s="272"/>
      <c r="B5" s="480" t="s">
        <v>185</v>
      </c>
      <c r="C5" s="345"/>
      <c r="D5" s="346"/>
      <c r="E5" s="480" t="s">
        <v>277</v>
      </c>
      <c r="F5" s="500" t="s">
        <v>280</v>
      </c>
      <c r="G5" s="347" t="s">
        <v>62</v>
      </c>
      <c r="H5" s="348" t="s">
        <v>173</v>
      </c>
      <c r="I5" s="348" t="s">
        <v>174</v>
      </c>
      <c r="J5" s="348" t="s">
        <v>278</v>
      </c>
      <c r="K5" s="348" t="s">
        <v>279</v>
      </c>
    </row>
    <row r="6" spans="1:11" ht="24.95" customHeight="1">
      <c r="A6" s="349" t="s">
        <v>281</v>
      </c>
      <c r="B6" s="467"/>
      <c r="C6" s="221" t="s">
        <v>259</v>
      </c>
      <c r="D6" s="219" t="s">
        <v>260</v>
      </c>
      <c r="E6" s="467"/>
      <c r="F6" s="501"/>
      <c r="G6" s="350" t="s">
        <v>228</v>
      </c>
      <c r="H6" s="351" t="s">
        <v>228</v>
      </c>
      <c r="I6" s="351" t="s">
        <v>228</v>
      </c>
      <c r="J6" s="351" t="s">
        <v>228</v>
      </c>
      <c r="K6" s="351" t="s">
        <v>228</v>
      </c>
    </row>
    <row r="7" spans="1:11" ht="15.95" customHeight="1">
      <c r="A7" s="154" t="s">
        <v>20</v>
      </c>
      <c r="B7" s="129">
        <f>'5.2'!D20</f>
        <v>402366</v>
      </c>
      <c r="C7" s="313">
        <f>'5.2'!E20</f>
        <v>84422.466729865191</v>
      </c>
      <c r="D7" s="129">
        <f>'5.2'!F20</f>
        <v>923512.59992304049</v>
      </c>
      <c r="E7" s="307">
        <f>C7/$C$11</f>
        <v>0.11547096058567781</v>
      </c>
      <c r="F7" s="332">
        <f>'5.2'!H20</f>
        <v>9.1999483996305538E-3</v>
      </c>
      <c r="G7" s="330">
        <v>5.7166666666666668</v>
      </c>
      <c r="H7" s="324">
        <v>11.4</v>
      </c>
      <c r="I7" s="324">
        <v>-1</v>
      </c>
      <c r="J7" s="324">
        <v>3.700000000000002</v>
      </c>
      <c r="K7" s="324">
        <v>2.0166666666666648</v>
      </c>
    </row>
    <row r="8" spans="1:11" ht="15.95" customHeight="1">
      <c r="A8" s="154" t="s">
        <v>87</v>
      </c>
      <c r="B8" s="129">
        <f>'5.3'!D20</f>
        <v>2229786</v>
      </c>
      <c r="C8" s="313">
        <f>'5.3'!E20</f>
        <v>602916.97037616838</v>
      </c>
      <c r="D8" s="129">
        <f>'5.3'!F20</f>
        <v>6590226.2730600005</v>
      </c>
      <c r="E8" s="307">
        <f t="shared" ref="E8:E10" si="0">C8/$C$11</f>
        <v>0.8246549102327323</v>
      </c>
      <c r="F8" s="332">
        <f>'5.3'!H20</f>
        <v>6.9205365200509239E-3</v>
      </c>
      <c r="G8" s="330">
        <v>4.316111111111109</v>
      </c>
      <c r="H8" s="325">
        <v>10.116666666666667</v>
      </c>
      <c r="I8" s="325">
        <v>-3.0333333333333332</v>
      </c>
      <c r="J8" s="325">
        <v>2.833333333333333</v>
      </c>
      <c r="K8" s="324">
        <v>1.482777777777776</v>
      </c>
    </row>
    <row r="9" spans="1:11" ht="15.95" customHeight="1">
      <c r="A9" s="154" t="s">
        <v>209</v>
      </c>
      <c r="B9" s="129">
        <f>'5.4'!D20</f>
        <v>111900</v>
      </c>
      <c r="C9" s="313">
        <f>'5.4'!E20</f>
        <v>28944.269980000001</v>
      </c>
      <c r="D9" s="129">
        <f>'5.4'!F20</f>
        <v>316793.53039000009</v>
      </c>
      <c r="E9" s="307">
        <f t="shared" si="0"/>
        <v>3.9589256124631295E-2</v>
      </c>
      <c r="F9" s="332">
        <f>'5.4'!H20</f>
        <v>-2.6767543995621316E-2</v>
      </c>
      <c r="G9" s="330">
        <v>3.9566666666666661</v>
      </c>
      <c r="H9" s="325">
        <v>9.1999999999999993</v>
      </c>
      <c r="I9" s="325">
        <v>-2.8</v>
      </c>
      <c r="J9" s="325">
        <v>2.2000000000000011</v>
      </c>
      <c r="K9" s="324">
        <v>1.756666666666665</v>
      </c>
    </row>
    <row r="10" spans="1:11" ht="15.95" customHeight="1">
      <c r="A10" s="154" t="s">
        <v>32</v>
      </c>
      <c r="B10" s="129">
        <f>'5.5'!D20</f>
        <v>9443</v>
      </c>
      <c r="C10" s="313">
        <f>'5.5'!E20</f>
        <v>14830.560100000002</v>
      </c>
      <c r="D10" s="129">
        <f>'5.5'!F20</f>
        <v>161591.209107</v>
      </c>
      <c r="E10" s="307">
        <f t="shared" si="0"/>
        <v>2.0284873056958599E-2</v>
      </c>
      <c r="F10" s="332">
        <f>'5.5'!H20</f>
        <v>-0.51855575502876528</v>
      </c>
      <c r="G10" s="330">
        <v>4.2833333333333323</v>
      </c>
      <c r="H10" s="325">
        <v>10.1</v>
      </c>
      <c r="I10" s="325">
        <v>-3</v>
      </c>
      <c r="J10" s="325">
        <v>3.5466666666666664</v>
      </c>
      <c r="K10" s="324">
        <v>0.73666666666666591</v>
      </c>
    </row>
    <row r="11" spans="1:11" ht="15.95" customHeight="1">
      <c r="A11" s="159" t="s">
        <v>3</v>
      </c>
      <c r="B11" s="310">
        <f>SUM(B7:B10)</f>
        <v>2753495</v>
      </c>
      <c r="C11" s="314">
        <f t="shared" ref="C11:E11" si="1">SUM(C7:C10)</f>
        <v>731114.26718603354</v>
      </c>
      <c r="D11" s="310">
        <f t="shared" si="1"/>
        <v>7992123.6124800416</v>
      </c>
      <c r="E11" s="311">
        <f t="shared" si="1"/>
        <v>1</v>
      </c>
      <c r="F11" s="333">
        <f>'5.1'!H21</f>
        <v>-1.5958096209833114E-2</v>
      </c>
      <c r="G11" s="331">
        <v>4.2833333333333323</v>
      </c>
      <c r="H11" s="329">
        <v>10.1</v>
      </c>
      <c r="I11" s="329">
        <v>-3</v>
      </c>
      <c r="J11" s="329">
        <v>3.5466666666666664</v>
      </c>
      <c r="K11" s="328">
        <v>0.73666666666666591</v>
      </c>
    </row>
    <row r="12" spans="1:11" ht="15" customHeight="1">
      <c r="A12" s="101"/>
      <c r="B12" s="94"/>
      <c r="C12" s="503" t="s">
        <v>239</v>
      </c>
      <c r="D12" s="503"/>
      <c r="E12" s="503"/>
      <c r="F12" s="503"/>
      <c r="G12" s="506" t="s">
        <v>240</v>
      </c>
      <c r="H12" s="506"/>
      <c r="I12" s="506"/>
      <c r="J12" s="506"/>
      <c r="K12" s="506"/>
    </row>
    <row r="13" spans="1:11" ht="15" customHeight="1">
      <c r="A13" s="94"/>
      <c r="B13" s="94"/>
      <c r="C13" s="503"/>
      <c r="D13" s="503"/>
      <c r="E13" s="503"/>
      <c r="F13" s="503"/>
      <c r="G13" s="506" t="s">
        <v>241</v>
      </c>
      <c r="H13" s="506"/>
      <c r="I13" s="506"/>
      <c r="J13" s="506"/>
      <c r="K13" s="506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07" t="s">
        <v>271</v>
      </c>
      <c r="B16" s="507"/>
      <c r="C16" s="507"/>
      <c r="D16" s="507"/>
      <c r="E16" s="507"/>
      <c r="F16" s="507" t="s">
        <v>272</v>
      </c>
      <c r="G16" s="507"/>
      <c r="H16" s="507"/>
      <c r="I16" s="507"/>
      <c r="J16" s="507"/>
      <c r="K16" s="507"/>
    </row>
    <row r="17" spans="1:11" ht="15" customHeight="1">
      <c r="A17" s="507"/>
      <c r="B17" s="507"/>
      <c r="C17" s="507"/>
      <c r="D17" s="507"/>
      <c r="E17" s="507"/>
      <c r="F17" s="507"/>
      <c r="G17" s="507"/>
      <c r="H17" s="507"/>
      <c r="I17" s="507"/>
      <c r="J17" s="507"/>
      <c r="K17" s="507"/>
    </row>
    <row r="18" spans="1:11" ht="15" customHeight="1">
      <c r="A18" s="120"/>
      <c r="B18" s="504"/>
      <c r="C18" s="504"/>
      <c r="D18" s="120"/>
      <c r="E18" s="120"/>
      <c r="F18" s="120"/>
      <c r="G18" s="123"/>
      <c r="H18" s="504"/>
      <c r="I18" s="504"/>
      <c r="J18" s="120"/>
      <c r="K18" s="120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07" t="s">
        <v>273</v>
      </c>
      <c r="B33" s="470"/>
      <c r="C33" s="470"/>
      <c r="D33" s="470"/>
      <c r="E33" s="470"/>
      <c r="F33" s="507" t="s">
        <v>66</v>
      </c>
      <c r="G33" s="507"/>
      <c r="H33" s="507"/>
      <c r="I33" s="507"/>
      <c r="J33" s="507"/>
      <c r="K33" s="507"/>
    </row>
    <row r="34" spans="1:11" ht="15" customHeight="1">
      <c r="A34" s="470"/>
      <c r="B34" s="470"/>
      <c r="C34" s="470"/>
      <c r="D34" s="470"/>
      <c r="E34" s="470"/>
      <c r="F34" s="507"/>
      <c r="G34" s="507"/>
      <c r="H34" s="507"/>
      <c r="I34" s="507"/>
      <c r="J34" s="507"/>
      <c r="K34" s="507"/>
    </row>
    <row r="35" spans="1:11" ht="15" customHeight="1">
      <c r="A35" s="120"/>
      <c r="B35" s="504"/>
      <c r="C35" s="504"/>
      <c r="D35" s="120"/>
      <c r="E35" s="121"/>
      <c r="F35" s="127"/>
      <c r="G35" s="127"/>
      <c r="H35" s="505"/>
      <c r="I35" s="505"/>
      <c r="J35" s="127"/>
      <c r="K35" s="127"/>
    </row>
    <row r="36" spans="1:11" ht="15" customHeight="1">
      <c r="A36" s="120"/>
      <c r="B36" s="120"/>
      <c r="C36" s="120"/>
      <c r="D36" s="120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B18:C18"/>
    <mergeCell ref="C4:F4"/>
    <mergeCell ref="A2:B2"/>
    <mergeCell ref="B5:B6"/>
    <mergeCell ref="C12:F13"/>
    <mergeCell ref="G12:K12"/>
    <mergeCell ref="G13:K13"/>
    <mergeCell ref="E5:E6"/>
    <mergeCell ref="F5:F6"/>
    <mergeCell ref="A3:K3"/>
    <mergeCell ref="A16:E17"/>
    <mergeCell ref="F16:K17"/>
    <mergeCell ref="B35:C35"/>
    <mergeCell ref="H35:I35"/>
    <mergeCell ref="H18:I18"/>
    <mergeCell ref="A33:E34"/>
    <mergeCell ref="F33:K3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495" t="str">
        <f>"5.8 Spotřeba zemního plynu a teplota ovzduší: "&amp;LOWER(A3)</f>
        <v>5.8 Spotřeba zemního plynu a teplota ovzduší: prosinec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ht="6" customHeight="1">
      <c r="A2" s="499"/>
      <c r="B2" s="499"/>
      <c r="C2" s="300"/>
      <c r="D2" s="301"/>
      <c r="E2" s="302"/>
      <c r="F2" s="302"/>
      <c r="G2" s="302"/>
      <c r="H2" s="302"/>
      <c r="I2" s="76"/>
      <c r="J2" s="76"/>
      <c r="K2" s="76"/>
    </row>
    <row r="3" spans="1:11" ht="18.75" customHeight="1">
      <c r="A3" s="502" t="str">
        <f>'3.1'!F5</f>
        <v>Prosinec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</row>
    <row r="4" spans="1:11" ht="24.95" customHeight="1">
      <c r="A4" s="128"/>
      <c r="B4" s="252">
        <f>'3.1'!A4</f>
        <v>2023</v>
      </c>
      <c r="C4" s="496" t="s">
        <v>60</v>
      </c>
      <c r="D4" s="497"/>
      <c r="E4" s="497"/>
      <c r="F4" s="498"/>
      <c r="G4" s="496" t="s">
        <v>186</v>
      </c>
      <c r="H4" s="497"/>
      <c r="I4" s="497"/>
      <c r="J4" s="497"/>
      <c r="K4" s="497"/>
    </row>
    <row r="5" spans="1:11" ht="22.5">
      <c r="A5" s="272"/>
      <c r="B5" s="480" t="s">
        <v>185</v>
      </c>
      <c r="C5" s="345"/>
      <c r="D5" s="346"/>
      <c r="E5" s="480" t="s">
        <v>277</v>
      </c>
      <c r="F5" s="500" t="s">
        <v>280</v>
      </c>
      <c r="G5" s="347" t="s">
        <v>62</v>
      </c>
      <c r="H5" s="348" t="s">
        <v>173</v>
      </c>
      <c r="I5" s="348" t="s">
        <v>174</v>
      </c>
      <c r="J5" s="348" t="s">
        <v>278</v>
      </c>
      <c r="K5" s="348" t="s">
        <v>279</v>
      </c>
    </row>
    <row r="6" spans="1:11" ht="24.95" customHeight="1">
      <c r="A6" s="349" t="s">
        <v>281</v>
      </c>
      <c r="B6" s="467"/>
      <c r="C6" s="221" t="s">
        <v>259</v>
      </c>
      <c r="D6" s="219" t="s">
        <v>260</v>
      </c>
      <c r="E6" s="467"/>
      <c r="F6" s="501"/>
      <c r="G6" s="350" t="s">
        <v>228</v>
      </c>
      <c r="H6" s="351" t="s">
        <v>228</v>
      </c>
      <c r="I6" s="351" t="s">
        <v>228</v>
      </c>
      <c r="J6" s="351" t="s">
        <v>228</v>
      </c>
      <c r="K6" s="351" t="s">
        <v>228</v>
      </c>
    </row>
    <row r="7" spans="1:11" ht="15.95" customHeight="1">
      <c r="A7" s="154" t="s">
        <v>20</v>
      </c>
      <c r="B7" s="129">
        <f>'5.2'!D27</f>
        <v>402147</v>
      </c>
      <c r="C7" s="313">
        <f>'5.2'!E27</f>
        <v>106608.6236063126</v>
      </c>
      <c r="D7" s="129">
        <f>'5.2'!F27</f>
        <v>1163729.3563010865</v>
      </c>
      <c r="E7" s="307">
        <f>C7/$C$11</f>
        <v>0.12117332796186922</v>
      </c>
      <c r="F7" s="332">
        <f>'5.2'!H27</f>
        <v>-7.7766485044203082E-2</v>
      </c>
      <c r="G7" s="330">
        <v>3.9000000000000008</v>
      </c>
      <c r="H7" s="324">
        <v>10.199999999999999</v>
      </c>
      <c r="I7" s="324">
        <v>-5.4</v>
      </c>
      <c r="J7" s="324">
        <v>1.1000000000000005</v>
      </c>
      <c r="K7" s="324">
        <v>2.8000000000000003</v>
      </c>
    </row>
    <row r="8" spans="1:11" ht="15.95" customHeight="1">
      <c r="A8" s="154" t="s">
        <v>87</v>
      </c>
      <c r="B8" s="129">
        <f>'5.3'!D27</f>
        <v>2228990</v>
      </c>
      <c r="C8" s="313">
        <f>'5.3'!E27</f>
        <v>715007.23090444889</v>
      </c>
      <c r="D8" s="129">
        <f>'5.3'!F27</f>
        <v>7797497.4739000006</v>
      </c>
      <c r="E8" s="307">
        <f t="shared" ref="E8:E10" si="0">C8/$C$11</f>
        <v>0.81269040678584048</v>
      </c>
      <c r="F8" s="332">
        <f>'5.3'!H27</f>
        <v>-6.8103587208081351E-2</v>
      </c>
      <c r="G8" s="330">
        <v>2.2677419354838708</v>
      </c>
      <c r="H8" s="325">
        <v>8.9499999999999993</v>
      </c>
      <c r="I8" s="325">
        <v>-5.4333333333333327</v>
      </c>
      <c r="J8" s="325">
        <v>-0.10000000000000005</v>
      </c>
      <c r="K8" s="324">
        <v>2.3677419354838709</v>
      </c>
    </row>
    <row r="9" spans="1:11" ht="15.95" customHeight="1">
      <c r="A9" s="154" t="s">
        <v>209</v>
      </c>
      <c r="B9" s="129">
        <f>'5.4'!D27</f>
        <v>111876</v>
      </c>
      <c r="C9" s="313">
        <f>'5.4'!E27</f>
        <v>34524.462</v>
      </c>
      <c r="D9" s="129">
        <f>'5.4'!F27</f>
        <v>376614.5942081</v>
      </c>
      <c r="E9" s="307">
        <f t="shared" si="0"/>
        <v>3.9241140304764034E-2</v>
      </c>
      <c r="F9" s="332">
        <f>'5.4'!H27</f>
        <v>-9.5134091529265802E-2</v>
      </c>
      <c r="G9" s="330">
        <v>2.2290322580645161</v>
      </c>
      <c r="H9" s="325">
        <v>8.6999999999999993</v>
      </c>
      <c r="I9" s="325">
        <v>-8.4</v>
      </c>
      <c r="J9" s="325">
        <v>-0.69999999999999962</v>
      </c>
      <c r="K9" s="324">
        <v>2.9290322580645158</v>
      </c>
    </row>
    <row r="10" spans="1:11" ht="15.95" customHeight="1">
      <c r="A10" s="154" t="s">
        <v>32</v>
      </c>
      <c r="B10" s="129">
        <f>'5.5'!D27</f>
        <v>9453</v>
      </c>
      <c r="C10" s="313">
        <f>'5.5'!E27</f>
        <v>23662.4041</v>
      </c>
      <c r="D10" s="129">
        <f>'5.5'!F27</f>
        <v>258219.15615400003</v>
      </c>
      <c r="E10" s="307">
        <f t="shared" si="0"/>
        <v>2.68951249475263E-2</v>
      </c>
      <c r="F10" s="332">
        <f>'5.5'!H27</f>
        <v>-0.47585828113510953</v>
      </c>
      <c r="G10" s="330">
        <v>2.2387096774193549</v>
      </c>
      <c r="H10" s="325">
        <v>8.9</v>
      </c>
      <c r="I10" s="325">
        <v>-5.7</v>
      </c>
      <c r="J10" s="325">
        <v>-0.38387096774193558</v>
      </c>
      <c r="K10" s="324">
        <v>2.6225806451612903</v>
      </c>
    </row>
    <row r="11" spans="1:11" ht="15.95" customHeight="1">
      <c r="A11" s="159" t="s">
        <v>3</v>
      </c>
      <c r="B11" s="310">
        <f>SUM(B7:B10)</f>
        <v>2752466</v>
      </c>
      <c r="C11" s="314">
        <f t="shared" ref="C11:E11" si="1">SUM(C7:C10)</f>
        <v>879802.72061076143</v>
      </c>
      <c r="D11" s="310">
        <f t="shared" si="1"/>
        <v>9596060.5805631876</v>
      </c>
      <c r="E11" s="311">
        <f t="shared" si="1"/>
        <v>1</v>
      </c>
      <c r="F11" s="333">
        <f>'5.1'!H28</f>
        <v>-8.9380074873124285E-2</v>
      </c>
      <c r="G11" s="331">
        <v>2.2387096774193549</v>
      </c>
      <c r="H11" s="329">
        <v>8.9</v>
      </c>
      <c r="I11" s="329">
        <v>-5.7</v>
      </c>
      <c r="J11" s="329">
        <v>-0.38387096774193558</v>
      </c>
      <c r="K11" s="328">
        <v>2.6225806451612903</v>
      </c>
    </row>
    <row r="12" spans="1:11" ht="15" customHeight="1">
      <c r="A12" s="101"/>
      <c r="B12" s="94"/>
      <c r="C12" s="503" t="s">
        <v>239</v>
      </c>
      <c r="D12" s="503"/>
      <c r="E12" s="503"/>
      <c r="F12" s="503"/>
      <c r="G12" s="506" t="s">
        <v>240</v>
      </c>
      <c r="H12" s="506"/>
      <c r="I12" s="506"/>
      <c r="J12" s="506"/>
      <c r="K12" s="506"/>
    </row>
    <row r="13" spans="1:11" ht="15" customHeight="1">
      <c r="A13" s="94"/>
      <c r="B13" s="94"/>
      <c r="C13" s="503"/>
      <c r="D13" s="503"/>
      <c r="E13" s="503"/>
      <c r="F13" s="503"/>
      <c r="G13" s="506" t="s">
        <v>241</v>
      </c>
      <c r="H13" s="506"/>
      <c r="I13" s="506"/>
      <c r="J13" s="506"/>
      <c r="K13" s="506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07" t="s">
        <v>271</v>
      </c>
      <c r="B16" s="507"/>
      <c r="C16" s="507"/>
      <c r="D16" s="507"/>
      <c r="E16" s="507"/>
      <c r="F16" s="507" t="s">
        <v>272</v>
      </c>
      <c r="G16" s="507"/>
      <c r="H16" s="507"/>
      <c r="I16" s="507"/>
      <c r="J16" s="507"/>
      <c r="K16" s="507"/>
    </row>
    <row r="17" spans="1:11" ht="15" customHeight="1">
      <c r="A17" s="507"/>
      <c r="B17" s="507"/>
      <c r="C17" s="507"/>
      <c r="D17" s="507"/>
      <c r="E17" s="507"/>
      <c r="F17" s="507"/>
      <c r="G17" s="507"/>
      <c r="H17" s="507"/>
      <c r="I17" s="507"/>
      <c r="J17" s="507"/>
      <c r="K17" s="507"/>
    </row>
    <row r="18" spans="1:11" ht="15" customHeight="1">
      <c r="A18" s="120"/>
      <c r="B18" s="504"/>
      <c r="C18" s="504"/>
      <c r="D18" s="120"/>
      <c r="E18" s="120"/>
      <c r="F18" s="120"/>
      <c r="G18" s="120"/>
      <c r="H18" s="504"/>
      <c r="I18" s="504"/>
      <c r="J18" s="120"/>
      <c r="K18" s="120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07" t="s">
        <v>273</v>
      </c>
      <c r="B33" s="470"/>
      <c r="C33" s="470"/>
      <c r="D33" s="470"/>
      <c r="E33" s="470"/>
      <c r="F33" s="507" t="s">
        <v>66</v>
      </c>
      <c r="G33" s="507"/>
      <c r="H33" s="507"/>
      <c r="I33" s="507"/>
      <c r="J33" s="507"/>
      <c r="K33" s="507"/>
    </row>
    <row r="34" spans="1:11" ht="15" customHeight="1">
      <c r="A34" s="470"/>
      <c r="B34" s="470"/>
      <c r="C34" s="470"/>
      <c r="D34" s="470"/>
      <c r="E34" s="470"/>
      <c r="F34" s="507"/>
      <c r="G34" s="507"/>
      <c r="H34" s="507"/>
      <c r="I34" s="507"/>
      <c r="J34" s="507"/>
      <c r="K34" s="507"/>
    </row>
    <row r="35" spans="1:11" ht="15" customHeight="1">
      <c r="A35" s="120"/>
      <c r="B35" s="504"/>
      <c r="C35" s="504"/>
      <c r="D35" s="120"/>
      <c r="E35" s="121"/>
      <c r="F35" s="127"/>
      <c r="G35" s="127"/>
      <c r="H35" s="505"/>
      <c r="I35" s="505"/>
      <c r="J35" s="127"/>
      <c r="K35" s="127"/>
    </row>
    <row r="36" spans="1:11" ht="15" customHeight="1">
      <c r="A36" s="120"/>
      <c r="B36" s="120"/>
      <c r="C36" s="120"/>
      <c r="D36" s="120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A2:B2"/>
    <mergeCell ref="C4:F4"/>
    <mergeCell ref="A3:K3"/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495" t="str">
        <f>"5.9 Spotřeba zemního plynu a teplota ovzduší: "&amp;(A3)</f>
        <v>5.9 Spotřeba zemního plynu a teplota ovzduší: IV. čtvrtletí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ht="6" customHeight="1">
      <c r="A2" s="499"/>
      <c r="B2" s="499"/>
      <c r="C2" s="300"/>
      <c r="D2" s="301"/>
      <c r="E2" s="302"/>
      <c r="F2" s="302"/>
      <c r="G2" s="302"/>
      <c r="H2" s="302"/>
      <c r="I2" s="76"/>
      <c r="J2" s="76"/>
      <c r="K2" s="76"/>
    </row>
    <row r="3" spans="1:11" ht="18.75" customHeight="1">
      <c r="A3" s="502" t="str">
        <f>'3.1'!G5</f>
        <v>IV. čtvrtletí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</row>
    <row r="4" spans="1:11" ht="24.95" customHeight="1">
      <c r="A4" s="128"/>
      <c r="B4" s="252">
        <f>'3.1'!A4</f>
        <v>2023</v>
      </c>
      <c r="C4" s="496" t="s">
        <v>60</v>
      </c>
      <c r="D4" s="497"/>
      <c r="E4" s="497"/>
      <c r="F4" s="498"/>
      <c r="G4" s="496" t="s">
        <v>186</v>
      </c>
      <c r="H4" s="497"/>
      <c r="I4" s="497"/>
      <c r="J4" s="497"/>
      <c r="K4" s="497"/>
    </row>
    <row r="5" spans="1:11" ht="22.5" customHeight="1">
      <c r="A5" s="272"/>
      <c r="B5" s="500" t="s">
        <v>185</v>
      </c>
      <c r="C5" s="345"/>
      <c r="D5" s="346"/>
      <c r="E5" s="510" t="s">
        <v>277</v>
      </c>
      <c r="F5" s="511" t="s">
        <v>280</v>
      </c>
      <c r="G5" s="347" t="s">
        <v>62</v>
      </c>
      <c r="H5" s="348" t="s">
        <v>173</v>
      </c>
      <c r="I5" s="348" t="s">
        <v>174</v>
      </c>
      <c r="J5" s="348" t="s">
        <v>278</v>
      </c>
      <c r="K5" s="348" t="s">
        <v>279</v>
      </c>
    </row>
    <row r="6" spans="1:11" ht="24.95" customHeight="1">
      <c r="A6" s="349" t="s">
        <v>281</v>
      </c>
      <c r="B6" s="501"/>
      <c r="C6" s="221" t="s">
        <v>259</v>
      </c>
      <c r="D6" s="219" t="s">
        <v>260</v>
      </c>
      <c r="E6" s="467"/>
      <c r="F6" s="501"/>
      <c r="G6" s="350" t="s">
        <v>228</v>
      </c>
      <c r="H6" s="351" t="s">
        <v>228</v>
      </c>
      <c r="I6" s="351" t="s">
        <v>228</v>
      </c>
      <c r="J6" s="351" t="s">
        <v>228</v>
      </c>
      <c r="K6" s="351" t="s">
        <v>228</v>
      </c>
    </row>
    <row r="7" spans="1:11" ht="15.95" customHeight="1">
      <c r="A7" s="154" t="s">
        <v>20</v>
      </c>
      <c r="B7" s="129">
        <f>'5.2'!D34</f>
        <v>402147</v>
      </c>
      <c r="C7" s="313">
        <f>'5.2'!E34</f>
        <v>232155.83297165585</v>
      </c>
      <c r="D7" s="129">
        <f>'5.2'!F34</f>
        <v>2538767.5933921291</v>
      </c>
      <c r="E7" s="307">
        <f>C7/$C$11</f>
        <v>0.11180374426984489</v>
      </c>
      <c r="F7" s="332">
        <f>'5.2'!H34</f>
        <v>-5.6300043303988953E-2</v>
      </c>
      <c r="G7" s="330">
        <f>AVERAGE('5.6'!G7,'5.7'!G7,'5.8'!G7)</f>
        <v>7.4410394265233002</v>
      </c>
      <c r="H7" s="324">
        <f>MAX('5.6'!H7,'5.7'!H7,'5.8'!H7)</f>
        <v>19.2</v>
      </c>
      <c r="I7" s="324">
        <f>MIN('5.6'!I7,'5.7'!I7,'5.8'!I7)</f>
        <v>-5.4</v>
      </c>
      <c r="J7" s="324">
        <f>AVERAGE('5.6'!J7,'5.7'!J7,'5.8'!J7)</f>
        <v>4.6000000000000014</v>
      </c>
      <c r="K7" s="324">
        <f>G7-J7</f>
        <v>2.8410394265232988</v>
      </c>
    </row>
    <row r="8" spans="1:11" ht="15.95" customHeight="1">
      <c r="A8" s="154" t="s">
        <v>87</v>
      </c>
      <c r="B8" s="129">
        <f>'5.3'!D34</f>
        <v>2228990</v>
      </c>
      <c r="C8" s="313">
        <f>'5.3'!E34</f>
        <v>1696435.3903245702</v>
      </c>
      <c r="D8" s="129">
        <f>'5.3'!F34</f>
        <v>18541043.075549997</v>
      </c>
      <c r="E8" s="307">
        <f t="shared" ref="E8:E10" si="0">C8/$C$11</f>
        <v>0.81698497996955133</v>
      </c>
      <c r="F8" s="332">
        <f>'5.3'!H34</f>
        <v>-4.2316855428305294E-2</v>
      </c>
      <c r="G8" s="330">
        <f>AVERAGE('5.6'!G8,'5.7'!G8,'5.8'!G8)</f>
        <v>5.9525029868578256</v>
      </c>
      <c r="H8" s="325">
        <f>MAX('5.6'!H8,'5.7'!H8,'5.8'!H8)</f>
        <v>17.366666666666664</v>
      </c>
      <c r="I8" s="325">
        <f>MIN('5.6'!I8,'5.7'!I8,'5.8'!I8)</f>
        <v>-5.4333333333333327</v>
      </c>
      <c r="J8" s="325">
        <f>AVERAGE('5.6'!J8,'5.7'!J8,'5.8'!J8)</f>
        <v>3.6277777777777795</v>
      </c>
      <c r="K8" s="324">
        <f t="shared" ref="K8:K11" si="1">G8-J8</f>
        <v>2.3247252090800461</v>
      </c>
    </row>
    <row r="9" spans="1:11" ht="15.95" customHeight="1">
      <c r="A9" s="154" t="s">
        <v>209</v>
      </c>
      <c r="B9" s="129">
        <f>'5.4'!D34</f>
        <v>111876</v>
      </c>
      <c r="C9" s="313">
        <f>'5.4'!E34</f>
        <v>80867.940369999997</v>
      </c>
      <c r="D9" s="129">
        <f>'5.4'!F34</f>
        <v>884573.92314370011</v>
      </c>
      <c r="E9" s="307">
        <f t="shared" si="0"/>
        <v>3.8945127542241907E-2</v>
      </c>
      <c r="F9" s="332">
        <f>'5.4'!H34</f>
        <v>-7.1477048962019951E-2</v>
      </c>
      <c r="G9" s="330">
        <f>AVERAGE('5.6'!G9,'5.7'!G9,'5.8'!G9)</f>
        <v>5.6317921146953411</v>
      </c>
      <c r="H9" s="325">
        <f>MAX('5.6'!H9,'5.7'!H9,'5.8'!H9)</f>
        <v>18.100000000000001</v>
      </c>
      <c r="I9" s="325">
        <f>MIN('5.6'!I9,'5.7'!I9,'5.8'!I9)</f>
        <v>-8.4</v>
      </c>
      <c r="J9" s="325">
        <f>AVERAGE('5.6'!J9,'5.7'!J9,'5.8'!J9)</f>
        <v>3.0000000000000004</v>
      </c>
      <c r="K9" s="324">
        <f t="shared" si="1"/>
        <v>2.6317921146953407</v>
      </c>
    </row>
    <row r="10" spans="1:11" ht="15.95" customHeight="1">
      <c r="A10" s="154" t="s">
        <v>32</v>
      </c>
      <c r="B10" s="129">
        <f>'5.5'!D34</f>
        <v>9453</v>
      </c>
      <c r="C10" s="313">
        <f>'5.5'!E34</f>
        <v>66999.317110000004</v>
      </c>
      <c r="D10" s="129">
        <f>'5.5'!F34</f>
        <v>732449.08237700001</v>
      </c>
      <c r="E10" s="307">
        <f t="shared" si="0"/>
        <v>3.2266148218361761E-2</v>
      </c>
      <c r="F10" s="332">
        <f>'5.5'!H34</f>
        <v>-0.40309033982477183</v>
      </c>
      <c r="G10" s="330">
        <f>AVERAGE('5.6'!G10,'5.7'!G10,'5.8'!G10)</f>
        <v>5.9277777777777771</v>
      </c>
      <c r="H10" s="325">
        <f>MAX('5.6'!H10,'5.7'!H10,'5.8'!H10)</f>
        <v>17.600000000000001</v>
      </c>
      <c r="I10" s="325">
        <f>MIN('5.6'!I10,'5.7'!I10,'5.8'!I10)</f>
        <v>-5.7</v>
      </c>
      <c r="J10" s="325">
        <f>AVERAGE('5.6'!J10,'5.7'!J10,'5.8'!J10)</f>
        <v>3.83921146953405</v>
      </c>
      <c r="K10" s="324">
        <f t="shared" si="1"/>
        <v>2.0885663082437271</v>
      </c>
    </row>
    <row r="11" spans="1:11" ht="15.95" customHeight="1">
      <c r="A11" s="159" t="s">
        <v>3</v>
      </c>
      <c r="B11" s="310">
        <f>'5.1'!D35</f>
        <v>2752466</v>
      </c>
      <c r="C11" s="314">
        <f>'5.1'!E35</f>
        <v>2076458.4807762264</v>
      </c>
      <c r="D11" s="310">
        <f>'5.1'!F35</f>
        <v>22696833.674462833</v>
      </c>
      <c r="E11" s="311">
        <f t="shared" ref="E11" si="2">SUM(E7:E10)</f>
        <v>0.99999999999999978</v>
      </c>
      <c r="F11" s="333">
        <f>'5.1'!H35</f>
        <v>-6.3281954219684522E-2</v>
      </c>
      <c r="G11" s="331">
        <f>AVERAGE('5.6'!G11,'5.7'!G11,'5.8'!G11)</f>
        <v>5.9277777777777771</v>
      </c>
      <c r="H11" s="329">
        <f>MAX('5.6'!H11,'5.7'!H11,'5.8'!H11)</f>
        <v>17.600000000000001</v>
      </c>
      <c r="I11" s="329">
        <f>MIN('5.6'!I11,'5.7'!I11,'5.8'!I11)</f>
        <v>-5.7</v>
      </c>
      <c r="J11" s="329">
        <f>AVERAGE('5.6'!J11,'5.7'!J11,'5.8'!J11)</f>
        <v>3.83921146953405</v>
      </c>
      <c r="K11" s="328">
        <f t="shared" si="1"/>
        <v>2.0885663082437271</v>
      </c>
    </row>
    <row r="12" spans="1:11" ht="15" customHeight="1">
      <c r="A12" s="101"/>
      <c r="B12" s="94"/>
      <c r="C12" s="503" t="s">
        <v>239</v>
      </c>
      <c r="D12" s="503"/>
      <c r="E12" s="503"/>
      <c r="F12" s="503"/>
      <c r="G12" s="506" t="s">
        <v>240</v>
      </c>
      <c r="H12" s="506"/>
      <c r="I12" s="506"/>
      <c r="J12" s="506"/>
      <c r="K12" s="506"/>
    </row>
    <row r="13" spans="1:11" ht="15" customHeight="1">
      <c r="A13" s="94"/>
      <c r="B13" s="94"/>
      <c r="C13" s="503"/>
      <c r="D13" s="503"/>
      <c r="E13" s="503"/>
      <c r="F13" s="503"/>
      <c r="G13" s="506" t="s">
        <v>241</v>
      </c>
      <c r="H13" s="506"/>
      <c r="I13" s="506"/>
      <c r="J13" s="506"/>
      <c r="K13" s="506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07" t="s">
        <v>271</v>
      </c>
      <c r="B16" s="507"/>
      <c r="C16" s="507"/>
      <c r="D16" s="507"/>
      <c r="E16" s="507"/>
      <c r="F16" s="507" t="s">
        <v>272</v>
      </c>
      <c r="G16" s="507"/>
      <c r="H16" s="507"/>
      <c r="I16" s="507"/>
      <c r="J16" s="507"/>
      <c r="K16" s="507"/>
    </row>
    <row r="17" spans="1:11" ht="15" customHeight="1">
      <c r="A17" s="507"/>
      <c r="B17" s="507"/>
      <c r="C17" s="507"/>
      <c r="D17" s="507"/>
      <c r="E17" s="507"/>
      <c r="F17" s="507"/>
      <c r="G17" s="507"/>
      <c r="H17" s="507"/>
      <c r="I17" s="507"/>
      <c r="J17" s="507"/>
      <c r="K17" s="507"/>
    </row>
    <row r="18" spans="1:11" ht="15" customHeight="1">
      <c r="A18" s="120"/>
      <c r="B18" s="509"/>
      <c r="C18" s="509"/>
      <c r="D18" s="120"/>
      <c r="E18" s="120"/>
      <c r="F18" s="120"/>
      <c r="G18" s="120"/>
      <c r="H18" s="509"/>
      <c r="I18" s="509"/>
      <c r="J18" s="120"/>
      <c r="K18" s="120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07" t="s">
        <v>273</v>
      </c>
      <c r="B33" s="470"/>
      <c r="C33" s="470"/>
      <c r="D33" s="470"/>
      <c r="E33" s="470"/>
      <c r="F33" s="507" t="s">
        <v>66</v>
      </c>
      <c r="G33" s="507"/>
      <c r="H33" s="507"/>
      <c r="I33" s="507"/>
      <c r="J33" s="507"/>
      <c r="K33" s="507"/>
    </row>
    <row r="34" spans="1:11" ht="15" customHeight="1">
      <c r="A34" s="470"/>
      <c r="B34" s="470"/>
      <c r="C34" s="470"/>
      <c r="D34" s="470"/>
      <c r="E34" s="470"/>
      <c r="F34" s="507"/>
      <c r="G34" s="507"/>
      <c r="H34" s="507"/>
      <c r="I34" s="507"/>
      <c r="J34" s="507"/>
      <c r="K34" s="507"/>
    </row>
    <row r="35" spans="1:11" ht="15" customHeight="1">
      <c r="A35" s="120"/>
      <c r="B35" s="509"/>
      <c r="C35" s="509"/>
      <c r="D35" s="120"/>
      <c r="E35" s="121"/>
      <c r="F35" s="127"/>
      <c r="G35" s="127"/>
      <c r="H35" s="508"/>
      <c r="I35" s="508"/>
      <c r="J35" s="127"/>
      <c r="K35" s="127"/>
    </row>
    <row r="36" spans="1:11" ht="15" customHeight="1">
      <c r="A36" s="120"/>
      <c r="B36" s="120"/>
      <c r="C36" s="120"/>
      <c r="D36" s="120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C4:F4"/>
    <mergeCell ref="A2:B2"/>
    <mergeCell ref="A1:K1"/>
    <mergeCell ref="G4:K4"/>
    <mergeCell ref="A3:K3"/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5.85546875" style="47" customWidth="1"/>
    <col min="2" max="2" width="90.28515625" style="46" customWidth="1"/>
    <col min="3" max="3" width="3.28515625" style="47" bestFit="1" customWidth="1"/>
    <col min="4" max="4" width="9.140625" style="47" customWidth="1"/>
    <col min="5" max="5" width="9.140625" style="47" hidden="1" customWidth="1"/>
    <col min="6" max="16384" width="9.140625" style="47"/>
  </cols>
  <sheetData>
    <row r="1" spans="1:5" ht="20.25">
      <c r="A1" s="69" t="s">
        <v>243</v>
      </c>
    </row>
    <row r="2" spans="1:5" ht="6" customHeight="1"/>
    <row r="3" spans="1:5" ht="15">
      <c r="A3" s="371" t="str">
        <f>MID(E3,1,1+IF(MID(E3,2,1)&lt;&gt;" ",IF(MID(E3,3,1)&lt;&gt;" ",IF(MID(E3,4,1)&lt;&gt;" ",3,2),1),0))</f>
        <v>1</v>
      </c>
      <c r="B3" s="372" t="str">
        <f>MID(E3,3+IF(MID(E3,2,1)&lt;&gt;" ",IF(MID(E3,3,1)&lt;&gt;" ",IF(MID(E3,4,1)&lt;&gt;" ",3,2),1),0),100)</f>
        <v>ZKRATKY A POJMY</v>
      </c>
      <c r="C3" s="48">
        <v>4</v>
      </c>
      <c r="E3" s="49" t="str">
        <f>'1'!A1</f>
        <v>1 ZKRATKY A POJMY</v>
      </c>
    </row>
    <row r="4" spans="1:5" ht="15">
      <c r="A4" s="371" t="str">
        <f t="shared" ref="A4:A36" si="0">MID(E4,1,1+IF(MID(E4,2,1)&lt;&gt;" ",IF(MID(E4,3,1)&lt;&gt;" ",IF(MID(E4,4,1)&lt;&gt;" ",3,2),1),0))</f>
        <v>2</v>
      </c>
      <c r="B4" s="372" t="str">
        <f t="shared" ref="B4:B36" si="1">MID(E4,3+IF(MID(E4,2,1)&lt;&gt;" ",IF(MID(E4,3,1)&lt;&gt;" ",IF(MID(E4,4,1)&lt;&gt;" ",3,2),1),0),100)</f>
        <v>STRUČNÝ PŘEHLED ZA IV. ČTVRTLETÍ 2023</v>
      </c>
      <c r="C4" s="48">
        <v>6</v>
      </c>
      <c r="E4" s="49" t="str">
        <f>'2'!A1</f>
        <v>2 STRUČNÝ PŘEHLED ZA IV. ČTVRTLETÍ 2023</v>
      </c>
    </row>
    <row r="5" spans="1:5" ht="15">
      <c r="A5" s="371" t="str">
        <f t="shared" si="0"/>
        <v>3</v>
      </c>
      <c r="B5" s="372" t="str">
        <f t="shared" si="1"/>
        <v>PLYNÁRENSKÁ SOUSTAVA</v>
      </c>
      <c r="C5" s="48">
        <v>7</v>
      </c>
      <c r="E5" s="49" t="str">
        <f>'3.1'!A1</f>
        <v>3 PLYNÁRENSKÁ SOUSTAVA</v>
      </c>
    </row>
    <row r="6" spans="1:5" ht="15">
      <c r="A6" s="371" t="str">
        <f t="shared" si="0"/>
        <v>3.1</v>
      </c>
      <c r="B6" s="372" t="str">
        <f t="shared" si="1"/>
        <v>Čtvrtletní bilance plynárenské soustavy ČR</v>
      </c>
      <c r="C6" s="48">
        <v>7</v>
      </c>
      <c r="E6" s="50" t="str">
        <f>'3.1'!A2</f>
        <v>3.1 Čtvrtletní bilance plynárenské soustavy ČR</v>
      </c>
    </row>
    <row r="7" spans="1:5" ht="15">
      <c r="A7" s="371" t="str">
        <f t="shared" si="0"/>
        <v>3.2</v>
      </c>
      <c r="B7" s="372" t="str">
        <f t="shared" si="1"/>
        <v>Bilance plynárenské soustavy ČR v průběhu roku</v>
      </c>
      <c r="C7" s="48">
        <v>8</v>
      </c>
      <c r="E7" s="50" t="str">
        <f>'3.2'!A1</f>
        <v>3.2 Bilance plynárenské soustavy ČR v průběhu roku</v>
      </c>
    </row>
    <row r="8" spans="1:5" ht="15">
      <c r="A8" s="371" t="str">
        <f t="shared" si="0"/>
        <v>4</v>
      </c>
      <c r="B8" s="372" t="str">
        <f t="shared" si="1"/>
        <v>SPOTŘEBA ZEMNÍHO PLYNU</v>
      </c>
      <c r="C8" s="48">
        <v>9</v>
      </c>
      <c r="E8" s="49" t="str">
        <f>'4.1'!A1</f>
        <v>4 SPOTŘEBA ZEMNÍHO PLYNU</v>
      </c>
    </row>
    <row r="9" spans="1:5" ht="15">
      <c r="A9" s="371" t="str">
        <f t="shared" si="0"/>
        <v>4.1</v>
      </c>
      <c r="B9" s="372" t="str">
        <f t="shared" si="1"/>
        <v>Spotřeba zemního plynu v ČR v průběhu roku</v>
      </c>
      <c r="C9" s="48">
        <v>9</v>
      </c>
      <c r="E9" s="49" t="str">
        <f>'4.1'!A2</f>
        <v>4.1 Spotřeba zemního plynu v ČR v průběhu roku</v>
      </c>
    </row>
    <row r="10" spans="1:5" ht="15">
      <c r="A10" s="371" t="str">
        <f t="shared" si="0"/>
        <v>4.2</v>
      </c>
      <c r="B10" s="372" t="str">
        <f t="shared" si="1"/>
        <v>Spotřeba zemního plynu v ČR podle kategorií zákazníků v průběhu roku</v>
      </c>
      <c r="C10" s="48">
        <v>10</v>
      </c>
      <c r="E10" s="50" t="str">
        <f>'4.2'!A1</f>
        <v>4.2 Spotřeba zemního plynu v ČR podle kategorií zákazníků v průběhu roku</v>
      </c>
    </row>
    <row r="11" spans="1:5" ht="15">
      <c r="A11" s="371" t="str">
        <f t="shared" si="0"/>
        <v>4.3</v>
      </c>
      <c r="B11" s="372" t="str">
        <f t="shared" si="1"/>
        <v>Denní průběh spotřeb zemního plynu v ČR</v>
      </c>
      <c r="C11" s="48">
        <v>11</v>
      </c>
      <c r="E11" s="50" t="str">
        <f>'4.3'!A1</f>
        <v>4.3 Denní průběh spotřeb zemního plynu v ČR</v>
      </c>
    </row>
    <row r="12" spans="1:5" ht="15">
      <c r="A12" s="371" t="str">
        <f t="shared" si="0"/>
        <v>5</v>
      </c>
      <c r="B12" s="372" t="str">
        <f t="shared" si="1"/>
        <v>SPOTŘEBA ZEMNÍHO PLYNU PODLE DISTRIBUČNÍCH SOUSTAV</v>
      </c>
      <c r="C12" s="48">
        <v>12</v>
      </c>
      <c r="E12" s="49" t="str">
        <f>'5.1'!A1</f>
        <v>5 SPOTŘEBA ZEMNÍHO PLYNU PODLE DISTRIBUČNÍCH SOUSTAV</v>
      </c>
    </row>
    <row r="13" spans="1:5" ht="15">
      <c r="A13" s="371" t="str">
        <f t="shared" si="0"/>
        <v>5.1</v>
      </c>
      <c r="B13" s="372" t="str">
        <f t="shared" si="1"/>
        <v>Spotřeba zemního plynu podle kategorií zákazníků v ČR</v>
      </c>
      <c r="C13" s="48">
        <v>12</v>
      </c>
      <c r="E13" s="50" t="str">
        <f>'5.1'!A2</f>
        <v>5.1 Spotřeba zemního plynu podle kategorií zákazníků v ČR</v>
      </c>
    </row>
    <row r="14" spans="1:5" ht="15">
      <c r="A14" s="371" t="str">
        <f t="shared" si="0"/>
        <v>5.2</v>
      </c>
      <c r="B14" s="372" t="str">
        <f t="shared" si="1"/>
        <v>Spotřeba zemního plynu u společnosti PP Distribuce</v>
      </c>
      <c r="C14" s="48">
        <v>13</v>
      </c>
      <c r="E14" s="51" t="str">
        <f>'5.2'!A1</f>
        <v>5.2 Spotřeba zemního plynu u společnosti PP Distribuce</v>
      </c>
    </row>
    <row r="15" spans="1:5" ht="15">
      <c r="A15" s="371" t="str">
        <f t="shared" si="0"/>
        <v>5.3</v>
      </c>
      <c r="B15" s="372" t="str">
        <f t="shared" si="1"/>
        <v>Spotřeba zemního plynu u společnosti GasNet</v>
      </c>
      <c r="C15" s="48">
        <v>14</v>
      </c>
      <c r="E15" s="52" t="str">
        <f>'5.3'!A1</f>
        <v>5.3 Spotřeba zemního plynu u společnosti GasNet</v>
      </c>
    </row>
    <row r="16" spans="1:5" ht="15">
      <c r="A16" s="371" t="str">
        <f t="shared" si="0"/>
        <v>5.4</v>
      </c>
      <c r="B16" s="372" t="str">
        <f t="shared" si="1"/>
        <v>Spotřeba zemního plynu u společnosti EG.D</v>
      </c>
      <c r="C16" s="48">
        <v>15</v>
      </c>
      <c r="E16" s="52" t="str">
        <f>'5.4'!A1</f>
        <v>5.4 Spotřeba zemního plynu u společnosti EG.D</v>
      </c>
    </row>
    <row r="17" spans="1:5" ht="15">
      <c r="A17" s="371" t="str">
        <f t="shared" si="0"/>
        <v>5.5</v>
      </c>
      <c r="B17" s="372" t="str">
        <f t="shared" si="1"/>
        <v>Spotřeba zemního plynu u ostatních společností</v>
      </c>
      <c r="C17" s="48">
        <v>16</v>
      </c>
      <c r="E17" s="52" t="str">
        <f>'5.5'!A1</f>
        <v>5.5 Spotřeba zemního plynu u ostatních společností</v>
      </c>
    </row>
    <row r="18" spans="1:5" ht="15">
      <c r="A18" s="371" t="str">
        <f t="shared" si="0"/>
        <v>5.6</v>
      </c>
      <c r="B18" s="372" t="str">
        <f t="shared" si="1"/>
        <v>Spotřeba zemního plynu a teplota ovzduší: říjen</v>
      </c>
      <c r="C18" s="48">
        <v>17</v>
      </c>
      <c r="E18" s="50" t="str">
        <f>'5.6'!A1</f>
        <v>5.6 Spotřeba zemního plynu a teplota ovzduší: říjen</v>
      </c>
    </row>
    <row r="19" spans="1:5" ht="15">
      <c r="A19" s="371" t="str">
        <f t="shared" si="0"/>
        <v>5.7</v>
      </c>
      <c r="B19" s="372" t="str">
        <f t="shared" si="1"/>
        <v>Spotřeba zemního plynu a teplota ovzduší: listopad</v>
      </c>
      <c r="C19" s="48">
        <v>18</v>
      </c>
      <c r="E19" s="50" t="str">
        <f>'5.7'!A1</f>
        <v>5.7 Spotřeba zemního plynu a teplota ovzduší: listopad</v>
      </c>
    </row>
    <row r="20" spans="1:5" ht="15">
      <c r="A20" s="371" t="str">
        <f t="shared" si="0"/>
        <v>5.8</v>
      </c>
      <c r="B20" s="372" t="str">
        <f t="shared" si="1"/>
        <v>Spotřeba zemního plynu a teplota ovzduší: prosinec</v>
      </c>
      <c r="C20" s="48">
        <v>19</v>
      </c>
      <c r="E20" s="50" t="str">
        <f>'5.8'!A1</f>
        <v>5.8 Spotřeba zemního plynu a teplota ovzduší: prosinec</v>
      </c>
    </row>
    <row r="21" spans="1:5" ht="15">
      <c r="A21" s="371" t="str">
        <f t="shared" si="0"/>
        <v>5.9</v>
      </c>
      <c r="B21" s="372" t="str">
        <f t="shared" si="1"/>
        <v>Spotřeba zemního plynu a teplota ovzduší: IV. čtvrtletí</v>
      </c>
      <c r="C21" s="48">
        <v>20</v>
      </c>
      <c r="E21" s="50" t="str">
        <f>'5.9'!A1</f>
        <v>5.9 Spotřeba zemního plynu a teplota ovzduší: IV. čtvrtletí</v>
      </c>
    </row>
    <row r="22" spans="1:5" ht="15">
      <c r="A22" s="371" t="str">
        <f t="shared" si="0"/>
        <v>5.10</v>
      </c>
      <c r="B22" s="372" t="str">
        <f t="shared" si="1"/>
        <v>Spotřeba zemního plynu podle plynárenských soustav v průběhu roku</v>
      </c>
      <c r="C22" s="48">
        <v>21</v>
      </c>
      <c r="E22" s="50" t="str">
        <f>'5.10'!A1</f>
        <v>5.10 Spotřeba zemního plynu podle plynárenských soustav v průběhu roku</v>
      </c>
    </row>
    <row r="23" spans="1:5" ht="15">
      <c r="A23" s="371" t="str">
        <f t="shared" si="0"/>
        <v>6</v>
      </c>
      <c r="B23" s="372" t="str">
        <f t="shared" si="1"/>
        <v>SPOTŘEBA ZEMNÍHO PLYNU PODLE KRAJŮ</v>
      </c>
      <c r="C23" s="48">
        <v>22</v>
      </c>
      <c r="E23" s="49" t="str">
        <f>'6.1'!A1</f>
        <v>6 SPOTŘEBA ZEMNÍHO PLYNU PODLE KRAJŮ</v>
      </c>
    </row>
    <row r="24" spans="1:5" ht="15">
      <c r="A24" s="371" t="str">
        <f t="shared" si="0"/>
        <v>6.1</v>
      </c>
      <c r="B24" s="372" t="str">
        <f t="shared" si="1"/>
        <v>Spotřeba zemního plynu: Jihočeský a Jihomoravský kraj</v>
      </c>
      <c r="C24" s="48">
        <v>22</v>
      </c>
      <c r="E24" s="50" t="str">
        <f>'6.1'!A2</f>
        <v>6.1 Spotřeba zemního plynu: Jihočeský a Jihomoravský kraj</v>
      </c>
    </row>
    <row r="25" spans="1:5" ht="15">
      <c r="A25" s="371" t="str">
        <f t="shared" si="0"/>
        <v>6.2</v>
      </c>
      <c r="B25" s="372" t="str">
        <f t="shared" si="1"/>
        <v>Spotřeba zemního plynu: Karlovarský a Královéhradecký kraj</v>
      </c>
      <c r="C25" s="48">
        <v>23</v>
      </c>
      <c r="E25" s="50" t="str">
        <f>'6.2'!A1</f>
        <v>6.2 Spotřeba zemního plynu: Karlovarský a Královéhradecký kraj</v>
      </c>
    </row>
    <row r="26" spans="1:5" ht="15">
      <c r="A26" s="371" t="str">
        <f t="shared" si="0"/>
        <v>6.3</v>
      </c>
      <c r="B26" s="372" t="str">
        <f t="shared" si="1"/>
        <v>Spotřeba zemního plynu: Liberecký a Moravskoslezský kraj</v>
      </c>
      <c r="C26" s="48">
        <v>24</v>
      </c>
      <c r="E26" s="50" t="str">
        <f>'6.3'!A1</f>
        <v>6.3 Spotřeba zemního plynu: Liberecký a Moravskoslezský kraj</v>
      </c>
    </row>
    <row r="27" spans="1:5" ht="15">
      <c r="A27" s="371" t="str">
        <f t="shared" si="0"/>
        <v>6.4</v>
      </c>
      <c r="B27" s="372" t="str">
        <f t="shared" si="1"/>
        <v>Spotřeba zemního plynu: Olomoucký a Pardubický kraj</v>
      </c>
      <c r="C27" s="48">
        <v>25</v>
      </c>
      <c r="E27" s="50" t="str">
        <f>'6.4'!A1</f>
        <v>6.4 Spotřeba zemního plynu: Olomoucký a Pardubický kraj</v>
      </c>
    </row>
    <row r="28" spans="1:5" ht="15">
      <c r="A28" s="371" t="str">
        <f t="shared" si="0"/>
        <v>6.5</v>
      </c>
      <c r="B28" s="372" t="str">
        <f t="shared" si="1"/>
        <v>Spotřeba zemního plynu: Plzeňský kraj a Hlavní město Praha</v>
      </c>
      <c r="C28" s="48">
        <v>26</v>
      </c>
      <c r="E28" s="50" t="str">
        <f>'6.5'!A1</f>
        <v>6.5 Spotřeba zemního plynu: Plzeňský kraj a Hlavní město Praha</v>
      </c>
    </row>
    <row r="29" spans="1:5" ht="15">
      <c r="A29" s="371" t="str">
        <f t="shared" si="0"/>
        <v>6.6</v>
      </c>
      <c r="B29" s="372" t="str">
        <f t="shared" si="1"/>
        <v>Spotřeba zemního plynu: Středočeský a Ústecký kraj</v>
      </c>
      <c r="C29" s="48">
        <v>27</v>
      </c>
      <c r="E29" s="50" t="str">
        <f>'6.6'!A1</f>
        <v>6.6 Spotřeba zemního plynu: Středočeský a Ústecký kraj</v>
      </c>
    </row>
    <row r="30" spans="1:5" ht="15">
      <c r="A30" s="371" t="str">
        <f t="shared" si="0"/>
        <v>6.7</v>
      </c>
      <c r="B30" s="372" t="str">
        <f t="shared" si="1"/>
        <v>Spotřeba zemního plynu: Kraj Vysočina a Zlínský kraj</v>
      </c>
      <c r="C30" s="48">
        <v>28</v>
      </c>
      <c r="E30" s="50" t="str">
        <f>'6.7'!A1</f>
        <v>6.7 Spotřeba zemního plynu: Kraj Vysočina a Zlínský kraj</v>
      </c>
    </row>
    <row r="31" spans="1:5" ht="15">
      <c r="A31" s="371" t="str">
        <f t="shared" si="0"/>
        <v>6.8</v>
      </c>
      <c r="B31" s="372" t="str">
        <f t="shared" si="1"/>
        <v>Spotřeba zemního plynu a teplota ovzduší podle krajů: říjen</v>
      </c>
      <c r="C31" s="48">
        <v>29</v>
      </c>
      <c r="E31" s="50" t="str">
        <f>'6.8'!A1</f>
        <v>6.8 Spotřeba zemního plynu a teplota ovzduší podle krajů: říjen</v>
      </c>
    </row>
    <row r="32" spans="1:5" ht="15">
      <c r="A32" s="371" t="str">
        <f t="shared" si="0"/>
        <v>6.9</v>
      </c>
      <c r="B32" s="372" t="str">
        <f t="shared" si="1"/>
        <v>Spotřeba zemního plynu a teplota ovzduší podle krajů: listopad</v>
      </c>
      <c r="C32" s="48">
        <v>30</v>
      </c>
      <c r="E32" s="50" t="str">
        <f>'6.9'!A1</f>
        <v>6.9 Spotřeba zemního plynu a teplota ovzduší podle krajů: listopad</v>
      </c>
    </row>
    <row r="33" spans="1:5" ht="15">
      <c r="A33" s="371" t="str">
        <f t="shared" si="0"/>
        <v>6.10</v>
      </c>
      <c r="B33" s="372" t="str">
        <f t="shared" si="1"/>
        <v>Spotřeba zemního plynu a teplota ovzduší podle krajů: prosinec</v>
      </c>
      <c r="C33" s="48">
        <v>31</v>
      </c>
      <c r="E33" s="50" t="str">
        <f>'6.10'!A1</f>
        <v>6.10 Spotřeba zemního plynu a teplota ovzduší podle krajů: prosinec</v>
      </c>
    </row>
    <row r="34" spans="1:5" ht="15">
      <c r="A34" s="371" t="str">
        <f t="shared" si="0"/>
        <v>6.11</v>
      </c>
      <c r="B34" s="372" t="str">
        <f t="shared" si="1"/>
        <v>Spotřeba zemního plynu a teplota ovzduší podle krajů: IV. čtvrtletí</v>
      </c>
      <c r="C34" s="48">
        <v>32</v>
      </c>
      <c r="E34" s="50" t="str">
        <f>'6.11'!A1</f>
        <v>6.11 Spotřeba zemního plynu a teplota ovzduší podle krajů: IV. čtvrtletí</v>
      </c>
    </row>
    <row r="35" spans="1:5" ht="15">
      <c r="A35" s="371" t="str">
        <f t="shared" si="0"/>
        <v>6.12</v>
      </c>
      <c r="B35" s="372" t="str">
        <f t="shared" si="1"/>
        <v>Spotřeba zemního plynu podle krajů v ČR v průběhu roku</v>
      </c>
      <c r="C35" s="48">
        <v>33</v>
      </c>
      <c r="E35" s="50" t="str">
        <f>'6.12'!A1</f>
        <v>6.12 Spotřeba zemního plynu podle krajů v ČR v průběhu roku</v>
      </c>
    </row>
    <row r="36" spans="1:5" ht="15">
      <c r="A36" s="371" t="str">
        <f t="shared" si="0"/>
        <v>7</v>
      </c>
      <c r="B36" s="372" t="str">
        <f t="shared" si="1"/>
        <v>MAPA PLYNÁRENSKÉ SOUSTAVY ČR</v>
      </c>
      <c r="C36" s="48">
        <v>35</v>
      </c>
      <c r="E36" s="49" t="str">
        <f>'7'!A1</f>
        <v>7 MAPA PLYNÁRENSKÉ SOUSTAVY ČR</v>
      </c>
    </row>
    <row r="37" spans="1:5" ht="12" customHeight="1">
      <c r="B37" s="53"/>
    </row>
    <row r="38" spans="1:5" ht="12" customHeight="1">
      <c r="B38" s="53"/>
    </row>
    <row r="39" spans="1:5" ht="12" customHeight="1">
      <c r="B39" s="53"/>
    </row>
    <row r="40" spans="1:5" ht="12" customHeight="1">
      <c r="B40" s="53"/>
    </row>
    <row r="41" spans="1:5" ht="12" customHeight="1"/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2"/>
  <sheetViews>
    <sheetView showGridLines="0" zoomScaleNormal="100" zoomScaleSheetLayoutView="100" workbookViewId="0">
      <selection activeCell="D1" sqref="D1"/>
    </sheetView>
  </sheetViews>
  <sheetFormatPr defaultRowHeight="11.25"/>
  <cols>
    <col min="1" max="1" width="9.7109375" style="12" customWidth="1"/>
    <col min="2" max="10" width="8.85546875" style="12" customWidth="1"/>
    <col min="11" max="11" width="9" style="12" customWidth="1"/>
    <col min="12" max="12" width="9.28515625" style="12" bestFit="1" customWidth="1"/>
    <col min="13" max="13" width="11.42578125" style="12" bestFit="1" customWidth="1"/>
    <col min="14" max="252" width="9.140625" style="12"/>
    <col min="253" max="265" width="10.7109375" style="12" customWidth="1"/>
    <col min="266" max="508" width="9.140625" style="12"/>
    <col min="509" max="521" width="10.7109375" style="12" customWidth="1"/>
    <col min="522" max="764" width="9.140625" style="12"/>
    <col min="765" max="777" width="10.7109375" style="12" customWidth="1"/>
    <col min="778" max="1020" width="9.140625" style="12"/>
    <col min="1021" max="1033" width="10.7109375" style="12" customWidth="1"/>
    <col min="1034" max="1276" width="9.140625" style="12"/>
    <col min="1277" max="1289" width="10.7109375" style="12" customWidth="1"/>
    <col min="1290" max="1532" width="9.140625" style="12"/>
    <col min="1533" max="1545" width="10.7109375" style="12" customWidth="1"/>
    <col min="1546" max="1788" width="9.140625" style="12"/>
    <col min="1789" max="1801" width="10.7109375" style="12" customWidth="1"/>
    <col min="1802" max="2044" width="9.140625" style="12"/>
    <col min="2045" max="2057" width="10.7109375" style="12" customWidth="1"/>
    <col min="2058" max="2300" width="9.140625" style="12"/>
    <col min="2301" max="2313" width="10.7109375" style="12" customWidth="1"/>
    <col min="2314" max="2556" width="9.140625" style="12"/>
    <col min="2557" max="2569" width="10.7109375" style="12" customWidth="1"/>
    <col min="2570" max="2812" width="9.140625" style="12"/>
    <col min="2813" max="2825" width="10.7109375" style="12" customWidth="1"/>
    <col min="2826" max="3068" width="9.140625" style="12"/>
    <col min="3069" max="3081" width="10.7109375" style="12" customWidth="1"/>
    <col min="3082" max="3324" width="9.140625" style="12"/>
    <col min="3325" max="3337" width="10.7109375" style="12" customWidth="1"/>
    <col min="3338" max="3580" width="9.140625" style="12"/>
    <col min="3581" max="3593" width="10.7109375" style="12" customWidth="1"/>
    <col min="3594" max="3836" width="9.140625" style="12"/>
    <col min="3837" max="3849" width="10.7109375" style="12" customWidth="1"/>
    <col min="3850" max="4092" width="9.140625" style="12"/>
    <col min="4093" max="4105" width="10.7109375" style="12" customWidth="1"/>
    <col min="4106" max="4348" width="9.140625" style="12"/>
    <col min="4349" max="4361" width="10.7109375" style="12" customWidth="1"/>
    <col min="4362" max="4604" width="9.140625" style="12"/>
    <col min="4605" max="4617" width="10.7109375" style="12" customWidth="1"/>
    <col min="4618" max="4860" width="9.140625" style="12"/>
    <col min="4861" max="4873" width="10.7109375" style="12" customWidth="1"/>
    <col min="4874" max="5116" width="9.140625" style="12"/>
    <col min="5117" max="5129" width="10.7109375" style="12" customWidth="1"/>
    <col min="5130" max="5372" width="9.140625" style="12"/>
    <col min="5373" max="5385" width="10.7109375" style="12" customWidth="1"/>
    <col min="5386" max="5628" width="9.140625" style="12"/>
    <col min="5629" max="5641" width="10.7109375" style="12" customWidth="1"/>
    <col min="5642" max="5884" width="9.140625" style="12"/>
    <col min="5885" max="5897" width="10.7109375" style="12" customWidth="1"/>
    <col min="5898" max="6140" width="9.140625" style="12"/>
    <col min="6141" max="6153" width="10.7109375" style="12" customWidth="1"/>
    <col min="6154" max="6396" width="9.140625" style="12"/>
    <col min="6397" max="6409" width="10.7109375" style="12" customWidth="1"/>
    <col min="6410" max="6652" width="9.140625" style="12"/>
    <col min="6653" max="6665" width="10.7109375" style="12" customWidth="1"/>
    <col min="6666" max="6908" width="9.140625" style="12"/>
    <col min="6909" max="6921" width="10.7109375" style="12" customWidth="1"/>
    <col min="6922" max="7164" width="9.140625" style="12"/>
    <col min="7165" max="7177" width="10.7109375" style="12" customWidth="1"/>
    <col min="7178" max="7420" width="9.140625" style="12"/>
    <col min="7421" max="7433" width="10.7109375" style="12" customWidth="1"/>
    <col min="7434" max="7676" width="9.140625" style="12"/>
    <col min="7677" max="7689" width="10.7109375" style="12" customWidth="1"/>
    <col min="7690" max="7932" width="9.140625" style="12"/>
    <col min="7933" max="7945" width="10.7109375" style="12" customWidth="1"/>
    <col min="7946" max="8188" width="9.140625" style="12"/>
    <col min="8189" max="8201" width="10.7109375" style="12" customWidth="1"/>
    <col min="8202" max="8444" width="9.140625" style="12"/>
    <col min="8445" max="8457" width="10.7109375" style="12" customWidth="1"/>
    <col min="8458" max="8700" width="9.140625" style="12"/>
    <col min="8701" max="8713" width="10.7109375" style="12" customWidth="1"/>
    <col min="8714" max="8956" width="9.140625" style="12"/>
    <col min="8957" max="8969" width="10.7109375" style="12" customWidth="1"/>
    <col min="8970" max="9212" width="9.140625" style="12"/>
    <col min="9213" max="9225" width="10.7109375" style="12" customWidth="1"/>
    <col min="9226" max="9468" width="9.140625" style="12"/>
    <col min="9469" max="9481" width="10.7109375" style="12" customWidth="1"/>
    <col min="9482" max="9724" width="9.140625" style="12"/>
    <col min="9725" max="9737" width="10.7109375" style="12" customWidth="1"/>
    <col min="9738" max="9980" width="9.140625" style="12"/>
    <col min="9981" max="9993" width="10.7109375" style="12" customWidth="1"/>
    <col min="9994" max="10236" width="9.140625" style="12"/>
    <col min="10237" max="10249" width="10.7109375" style="12" customWidth="1"/>
    <col min="10250" max="10492" width="9.140625" style="12"/>
    <col min="10493" max="10505" width="10.7109375" style="12" customWidth="1"/>
    <col min="10506" max="10748" width="9.140625" style="12"/>
    <col min="10749" max="10761" width="10.7109375" style="12" customWidth="1"/>
    <col min="10762" max="11004" width="9.140625" style="12"/>
    <col min="11005" max="11017" width="10.7109375" style="12" customWidth="1"/>
    <col min="11018" max="11260" width="9.140625" style="12"/>
    <col min="11261" max="11273" width="10.7109375" style="12" customWidth="1"/>
    <col min="11274" max="11516" width="9.140625" style="12"/>
    <col min="11517" max="11529" width="10.7109375" style="12" customWidth="1"/>
    <col min="11530" max="11772" width="9.140625" style="12"/>
    <col min="11773" max="11785" width="10.7109375" style="12" customWidth="1"/>
    <col min="11786" max="12028" width="9.140625" style="12"/>
    <col min="12029" max="12041" width="10.7109375" style="12" customWidth="1"/>
    <col min="12042" max="12284" width="9.140625" style="12"/>
    <col min="12285" max="12297" width="10.7109375" style="12" customWidth="1"/>
    <col min="12298" max="12540" width="9.140625" style="12"/>
    <col min="12541" max="12553" width="10.7109375" style="12" customWidth="1"/>
    <col min="12554" max="12796" width="9.140625" style="12"/>
    <col min="12797" max="12809" width="10.7109375" style="12" customWidth="1"/>
    <col min="12810" max="13052" width="9.140625" style="12"/>
    <col min="13053" max="13065" width="10.7109375" style="12" customWidth="1"/>
    <col min="13066" max="13308" width="9.140625" style="12"/>
    <col min="13309" max="13321" width="10.7109375" style="12" customWidth="1"/>
    <col min="13322" max="13564" width="9.140625" style="12"/>
    <col min="13565" max="13577" width="10.7109375" style="12" customWidth="1"/>
    <col min="13578" max="13820" width="9.140625" style="12"/>
    <col min="13821" max="13833" width="10.7109375" style="12" customWidth="1"/>
    <col min="13834" max="14076" width="9.140625" style="12"/>
    <col min="14077" max="14089" width="10.7109375" style="12" customWidth="1"/>
    <col min="14090" max="14332" width="9.140625" style="12"/>
    <col min="14333" max="14345" width="10.7109375" style="12" customWidth="1"/>
    <col min="14346" max="14588" width="9.140625" style="12"/>
    <col min="14589" max="14601" width="10.7109375" style="12" customWidth="1"/>
    <col min="14602" max="14844" width="9.140625" style="12"/>
    <col min="14845" max="14857" width="10.7109375" style="12" customWidth="1"/>
    <col min="14858" max="15100" width="9.140625" style="12"/>
    <col min="15101" max="15113" width="10.7109375" style="12" customWidth="1"/>
    <col min="15114" max="15356" width="9.140625" style="12"/>
    <col min="15357" max="15369" width="10.7109375" style="12" customWidth="1"/>
    <col min="15370" max="15612" width="9.140625" style="12"/>
    <col min="15613" max="15625" width="10.7109375" style="12" customWidth="1"/>
    <col min="15626" max="15868" width="9.140625" style="12"/>
    <col min="15869" max="15881" width="10.7109375" style="12" customWidth="1"/>
    <col min="15882" max="16124" width="9.140625" style="12"/>
    <col min="16125" max="16137" width="10.7109375" style="12" customWidth="1"/>
    <col min="16138" max="16384" width="9.140625" style="12"/>
  </cols>
  <sheetData>
    <row r="1" spans="1:15" ht="18">
      <c r="A1" s="441" t="s">
        <v>300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</row>
    <row r="2" spans="1:15" ht="6" customHeight="1">
      <c r="A2" s="513"/>
      <c r="B2" s="514"/>
      <c r="C2" s="514"/>
      <c r="D2" s="514"/>
      <c r="E2" s="514"/>
      <c r="F2" s="514"/>
      <c r="G2" s="514"/>
      <c r="H2" s="514"/>
      <c r="I2" s="514"/>
      <c r="J2" s="208"/>
      <c r="K2" s="207"/>
    </row>
    <row r="3" spans="1:15" ht="20.100000000000001" customHeight="1">
      <c r="A3" s="336">
        <f>'3.1'!A4</f>
        <v>2023</v>
      </c>
      <c r="B3" s="447" t="s">
        <v>274</v>
      </c>
      <c r="C3" s="450"/>
      <c r="D3" s="450"/>
      <c r="E3" s="450"/>
      <c r="F3" s="449"/>
      <c r="G3" s="447" t="s">
        <v>275</v>
      </c>
      <c r="H3" s="450"/>
      <c r="I3" s="450"/>
      <c r="J3" s="450"/>
      <c r="K3" s="450"/>
    </row>
    <row r="4" spans="1:15" ht="67.5" customHeight="1">
      <c r="A4" s="337"/>
      <c r="B4" s="338" t="s">
        <v>83</v>
      </c>
      <c r="C4" s="234" t="s">
        <v>89</v>
      </c>
      <c r="D4" s="234" t="s">
        <v>210</v>
      </c>
      <c r="E4" s="234" t="s">
        <v>84</v>
      </c>
      <c r="F4" s="339" t="s">
        <v>82</v>
      </c>
      <c r="G4" s="338" t="s">
        <v>83</v>
      </c>
      <c r="H4" s="234" t="s">
        <v>89</v>
      </c>
      <c r="I4" s="234" t="s">
        <v>210</v>
      </c>
      <c r="J4" s="234" t="s">
        <v>84</v>
      </c>
      <c r="K4" s="234" t="s">
        <v>82</v>
      </c>
    </row>
    <row r="5" spans="1:15" ht="18" customHeight="1">
      <c r="A5" s="176" t="s">
        <v>160</v>
      </c>
      <c r="B5" s="240">
        <v>104879.74624464105</v>
      </c>
      <c r="C5" s="235">
        <v>724955.80042494205</v>
      </c>
      <c r="D5" s="236">
        <v>36370.573989999997</v>
      </c>
      <c r="E5" s="236">
        <v>25573.489890000004</v>
      </c>
      <c r="F5" s="242">
        <v>891779.61054958298</v>
      </c>
      <c r="G5" s="334">
        <v>1143475.27685</v>
      </c>
      <c r="H5" s="236">
        <v>7893525.4439799991</v>
      </c>
      <c r="I5" s="236">
        <v>397789.60784000007</v>
      </c>
      <c r="J5" s="236">
        <v>279772.96688000002</v>
      </c>
      <c r="K5" s="236">
        <v>9714563.2955499981</v>
      </c>
      <c r="L5" s="56"/>
      <c r="M5" s="57"/>
      <c r="N5" s="57"/>
      <c r="O5" s="57"/>
    </row>
    <row r="6" spans="1:15" ht="18" customHeight="1">
      <c r="A6" s="176" t="s">
        <v>161</v>
      </c>
      <c r="B6" s="240">
        <v>99145.560802454216</v>
      </c>
      <c r="C6" s="236">
        <v>690480.12805244885</v>
      </c>
      <c r="D6" s="236">
        <v>34474.625010000003</v>
      </c>
      <c r="E6" s="236">
        <v>36666.994709999999</v>
      </c>
      <c r="F6" s="242">
        <v>860767.30857490306</v>
      </c>
      <c r="G6" s="334">
        <v>1080096.3679399998</v>
      </c>
      <c r="H6" s="236">
        <v>7485132.0798500003</v>
      </c>
      <c r="I6" s="236">
        <v>374146.90541000001</v>
      </c>
      <c r="J6" s="236">
        <v>402013.99779599992</v>
      </c>
      <c r="K6" s="236">
        <v>9341389.3509959988</v>
      </c>
      <c r="L6" s="58"/>
      <c r="M6" s="57"/>
      <c r="N6" s="57"/>
      <c r="O6" s="57"/>
    </row>
    <row r="7" spans="1:15" ht="18" customHeight="1">
      <c r="A7" s="179" t="s">
        <v>162</v>
      </c>
      <c r="B7" s="241">
        <v>85945.845000000001</v>
      </c>
      <c r="C7" s="239">
        <v>621172.57123024494</v>
      </c>
      <c r="D7" s="239">
        <v>30476.012999999999</v>
      </c>
      <c r="E7" s="239">
        <v>31673.611960000009</v>
      </c>
      <c r="F7" s="243">
        <v>769268.04119024496</v>
      </c>
      <c r="G7" s="335">
        <v>934027.24559895427</v>
      </c>
      <c r="H7" s="239">
        <v>6727420.7430999996</v>
      </c>
      <c r="I7" s="239">
        <v>333084.73147</v>
      </c>
      <c r="J7" s="239">
        <v>345486.69451300008</v>
      </c>
      <c r="K7" s="239">
        <v>8340019.4146819543</v>
      </c>
      <c r="L7" s="59"/>
      <c r="M7" s="57"/>
      <c r="N7" s="57"/>
      <c r="O7" s="57"/>
    </row>
    <row r="8" spans="1:15" ht="18" customHeight="1">
      <c r="A8" s="176" t="s">
        <v>163</v>
      </c>
      <c r="B8" s="240">
        <v>66498.69310795347</v>
      </c>
      <c r="C8" s="236">
        <v>499583.09052440379</v>
      </c>
      <c r="D8" s="236">
        <v>25391.822</v>
      </c>
      <c r="E8" s="236">
        <v>14994.30229</v>
      </c>
      <c r="F8" s="242">
        <v>606467.90792235732</v>
      </c>
      <c r="G8" s="334">
        <v>727192.46755095967</v>
      </c>
      <c r="H8" s="236">
        <v>5447945.7453199988</v>
      </c>
      <c r="I8" s="236">
        <v>276827.32332999998</v>
      </c>
      <c r="J8" s="236">
        <v>163550.26823699998</v>
      </c>
      <c r="K8" s="236">
        <v>6615515.8044379586</v>
      </c>
      <c r="L8" s="58"/>
      <c r="M8" s="57"/>
      <c r="N8" s="57"/>
      <c r="O8" s="57"/>
    </row>
    <row r="9" spans="1:15" ht="18" customHeight="1">
      <c r="A9" s="176" t="s">
        <v>164</v>
      </c>
      <c r="B9" s="240">
        <v>32024.078304436709</v>
      </c>
      <c r="C9" s="236">
        <v>312129.58305154613</v>
      </c>
      <c r="D9" s="236">
        <v>15240.333000000001</v>
      </c>
      <c r="E9" s="236">
        <v>9460.0140199999987</v>
      </c>
      <c r="F9" s="242">
        <v>368854.00837598281</v>
      </c>
      <c r="G9" s="334">
        <v>351546.71426591743</v>
      </c>
      <c r="H9" s="236">
        <v>3416952.4405700001</v>
      </c>
      <c r="I9" s="236">
        <v>166485.35364000002</v>
      </c>
      <c r="J9" s="236">
        <v>103387.27988700004</v>
      </c>
      <c r="K9" s="236">
        <v>4038371.7883629175</v>
      </c>
      <c r="L9" s="58"/>
      <c r="M9" s="57"/>
      <c r="N9" s="57"/>
      <c r="O9" s="57"/>
    </row>
    <row r="10" spans="1:15" ht="18" customHeight="1">
      <c r="A10" s="179" t="s">
        <v>165</v>
      </c>
      <c r="B10" s="241">
        <v>19213.204103457079</v>
      </c>
      <c r="C10" s="239">
        <v>233980.43252500967</v>
      </c>
      <c r="D10" s="239">
        <v>11602.128000000001</v>
      </c>
      <c r="E10" s="239">
        <v>49157.386999999995</v>
      </c>
      <c r="F10" s="243">
        <v>313953.15162846673</v>
      </c>
      <c r="G10" s="335">
        <v>210968.27903787085</v>
      </c>
      <c r="H10" s="239">
        <v>2562045.6708100005</v>
      </c>
      <c r="I10" s="239">
        <v>127210.36707000001</v>
      </c>
      <c r="J10" s="239">
        <v>538789.59597799997</v>
      </c>
      <c r="K10" s="239">
        <v>3439013.9128958713</v>
      </c>
      <c r="L10" s="58"/>
      <c r="M10" s="57"/>
      <c r="N10" s="57"/>
      <c r="O10" s="57"/>
    </row>
    <row r="11" spans="1:15" ht="18" customHeight="1">
      <c r="A11" s="176" t="s">
        <v>166</v>
      </c>
      <c r="B11" s="240">
        <v>18360.978347389762</v>
      </c>
      <c r="C11" s="236">
        <v>211104.98416741923</v>
      </c>
      <c r="D11" s="236">
        <v>8753.857</v>
      </c>
      <c r="E11" s="236">
        <v>42947.813039999994</v>
      </c>
      <c r="F11" s="242">
        <v>281167.63255480898</v>
      </c>
      <c r="G11" s="334">
        <v>201535.32810167197</v>
      </c>
      <c r="H11" s="236">
        <v>2313451.7958700005</v>
      </c>
      <c r="I11" s="236">
        <v>95920.438610000012</v>
      </c>
      <c r="J11" s="236">
        <v>470868.59667399991</v>
      </c>
      <c r="K11" s="236">
        <v>3081776.1592556722</v>
      </c>
      <c r="L11" s="58"/>
      <c r="M11" s="57"/>
      <c r="N11" s="57"/>
      <c r="O11" s="57"/>
    </row>
    <row r="12" spans="1:15" ht="18" customHeight="1">
      <c r="A12" s="176" t="s">
        <v>167</v>
      </c>
      <c r="B12" s="240">
        <v>17394.030885948152</v>
      </c>
      <c r="C12" s="236">
        <v>225681.17319156262</v>
      </c>
      <c r="D12" s="236">
        <v>9990.63501</v>
      </c>
      <c r="E12" s="236">
        <v>34555.654889999998</v>
      </c>
      <c r="F12" s="242">
        <v>287621.49397751078</v>
      </c>
      <c r="G12" s="334">
        <v>191016.02654500445</v>
      </c>
      <c r="H12" s="236">
        <v>2475328.0290799998</v>
      </c>
      <c r="I12" s="236">
        <v>109566.62821</v>
      </c>
      <c r="J12" s="236">
        <v>379056.34413600003</v>
      </c>
      <c r="K12" s="236">
        <v>3154967.0279710046</v>
      </c>
      <c r="L12" s="58"/>
      <c r="M12" s="57"/>
      <c r="N12" s="57"/>
      <c r="O12" s="57"/>
    </row>
    <row r="13" spans="1:15" ht="18" customHeight="1">
      <c r="A13" s="179" t="s">
        <v>168</v>
      </c>
      <c r="B13" s="241">
        <v>18273.080481515786</v>
      </c>
      <c r="C13" s="239">
        <v>236567.15368463221</v>
      </c>
      <c r="D13" s="239">
        <v>10335.236000000001</v>
      </c>
      <c r="E13" s="239">
        <v>37093.358000000015</v>
      </c>
      <c r="F13" s="243">
        <v>302268.82816614799</v>
      </c>
      <c r="G13" s="335">
        <v>201324.94279999193</v>
      </c>
      <c r="H13" s="239">
        <v>2597677.89971</v>
      </c>
      <c r="I13" s="239">
        <v>113326.60682</v>
      </c>
      <c r="J13" s="239">
        <v>408016.8227529999</v>
      </c>
      <c r="K13" s="239">
        <v>3320346.2720829919</v>
      </c>
      <c r="L13" s="58"/>
      <c r="M13" s="57"/>
      <c r="N13" s="57"/>
      <c r="O13" s="57"/>
    </row>
    <row r="14" spans="1:15" ht="18" customHeight="1">
      <c r="A14" s="176" t="s">
        <v>169</v>
      </c>
      <c r="B14" s="240">
        <v>41124.742635478062</v>
      </c>
      <c r="C14" s="236">
        <v>378511.18904395303</v>
      </c>
      <c r="D14" s="236">
        <v>17399.208390000003</v>
      </c>
      <c r="E14" s="236">
        <v>28506.352910000001</v>
      </c>
      <c r="F14" s="242">
        <v>465541.49297943112</v>
      </c>
      <c r="G14" s="334">
        <v>451525.63716800226</v>
      </c>
      <c r="H14" s="236">
        <v>4153319.3285900005</v>
      </c>
      <c r="I14" s="236">
        <v>191165.79854560003</v>
      </c>
      <c r="J14" s="236">
        <v>312638.7171159999</v>
      </c>
      <c r="K14" s="236">
        <v>5108649.4814196024</v>
      </c>
      <c r="L14" s="58"/>
      <c r="M14" s="57"/>
      <c r="N14" s="57"/>
      <c r="O14" s="57"/>
    </row>
    <row r="15" spans="1:15" ht="18" customHeight="1">
      <c r="A15" s="176" t="s">
        <v>170</v>
      </c>
      <c r="B15" s="240">
        <v>84422.466729865191</v>
      </c>
      <c r="C15" s="236">
        <v>602916.97037616838</v>
      </c>
      <c r="D15" s="236">
        <v>28944.269980000001</v>
      </c>
      <c r="E15" s="236">
        <v>14830.560100000001</v>
      </c>
      <c r="F15" s="242">
        <v>731114.26718603354</v>
      </c>
      <c r="G15" s="334">
        <v>923512.59992304049</v>
      </c>
      <c r="H15" s="236">
        <v>6590226.2730600005</v>
      </c>
      <c r="I15" s="236">
        <v>316793.53039000009</v>
      </c>
      <c r="J15" s="236">
        <v>161591.209107</v>
      </c>
      <c r="K15" s="236">
        <v>7992123.6124800416</v>
      </c>
      <c r="L15" s="58"/>
      <c r="M15" s="57"/>
      <c r="N15" s="57"/>
      <c r="O15" s="57"/>
    </row>
    <row r="16" spans="1:15" ht="18" customHeight="1">
      <c r="A16" s="179" t="s">
        <v>171</v>
      </c>
      <c r="B16" s="241">
        <v>106608.6236063126</v>
      </c>
      <c r="C16" s="239">
        <v>715007.23090444889</v>
      </c>
      <c r="D16" s="239">
        <v>34524.462</v>
      </c>
      <c r="E16" s="239">
        <v>23662.4041</v>
      </c>
      <c r="F16" s="243">
        <v>879802.72061076143</v>
      </c>
      <c r="G16" s="335">
        <v>1163729.3563010865</v>
      </c>
      <c r="H16" s="239">
        <v>7797497.4739000006</v>
      </c>
      <c r="I16" s="239">
        <v>376614.5942081</v>
      </c>
      <c r="J16" s="239">
        <v>258219.15615400003</v>
      </c>
      <c r="K16" s="239">
        <v>9596060.5805631876</v>
      </c>
      <c r="L16" s="58"/>
      <c r="M16" s="57"/>
      <c r="N16" s="57"/>
      <c r="O16" s="57"/>
    </row>
    <row r="17" spans="1:11" ht="18" customHeight="1">
      <c r="A17" s="176" t="s">
        <v>48</v>
      </c>
      <c r="B17" s="240">
        <f>SUM(B5:B7)</f>
        <v>289971.15204709524</v>
      </c>
      <c r="C17" s="235">
        <f>SUM(C5:C7)</f>
        <v>2036608.499707636</v>
      </c>
      <c r="D17" s="235">
        <f t="shared" ref="D17:J17" si="0">SUM(D5:D7)</f>
        <v>101321.212</v>
      </c>
      <c r="E17" s="235">
        <f t="shared" si="0"/>
        <v>93914.096560000005</v>
      </c>
      <c r="F17" s="244">
        <f t="shared" si="0"/>
        <v>2521814.9603147311</v>
      </c>
      <c r="G17" s="240">
        <f t="shared" si="0"/>
        <v>3157598.890388954</v>
      </c>
      <c r="H17" s="235">
        <f t="shared" si="0"/>
        <v>22106078.266929999</v>
      </c>
      <c r="I17" s="235">
        <f t="shared" si="0"/>
        <v>1105021.2447200001</v>
      </c>
      <c r="J17" s="235">
        <f t="shared" si="0"/>
        <v>1027273.659189</v>
      </c>
      <c r="K17" s="235">
        <f>SUM(K5:K7)</f>
        <v>27395972.061227955</v>
      </c>
    </row>
    <row r="18" spans="1:11" ht="18" customHeight="1">
      <c r="A18" s="176" t="s">
        <v>56</v>
      </c>
      <c r="B18" s="240">
        <f>SUM(B8:B10)</f>
        <v>117735.97551584727</v>
      </c>
      <c r="C18" s="235">
        <f>SUM(C8:C10)</f>
        <v>1045693.1061009595</v>
      </c>
      <c r="D18" s="235">
        <f t="shared" ref="D18:J18" si="1">SUM(D8:D10)</f>
        <v>52234.282999999996</v>
      </c>
      <c r="E18" s="235">
        <f t="shared" si="1"/>
        <v>73611.703309999997</v>
      </c>
      <c r="F18" s="244">
        <f t="shared" si="1"/>
        <v>1289275.0679268069</v>
      </c>
      <c r="G18" s="240">
        <f t="shared" si="1"/>
        <v>1289707.460854748</v>
      </c>
      <c r="H18" s="235">
        <f t="shared" si="1"/>
        <v>11426943.856699999</v>
      </c>
      <c r="I18" s="235">
        <f t="shared" si="1"/>
        <v>570523.04404000007</v>
      </c>
      <c r="J18" s="235">
        <f t="shared" si="1"/>
        <v>805727.14410199993</v>
      </c>
      <c r="K18" s="235">
        <f>SUM(K8:K10)</f>
        <v>14092901.505696747</v>
      </c>
    </row>
    <row r="19" spans="1:11" ht="18" customHeight="1">
      <c r="A19" s="176" t="s">
        <v>63</v>
      </c>
      <c r="B19" s="240">
        <f>SUM(B11:B13)</f>
        <v>54028.089714853704</v>
      </c>
      <c r="C19" s="235">
        <f>SUM(C11:C13)</f>
        <v>673353.31104361406</v>
      </c>
      <c r="D19" s="235">
        <f t="shared" ref="D19:J19" si="2">SUM(D11:D13)</f>
        <v>29079.728010000003</v>
      </c>
      <c r="E19" s="235">
        <f t="shared" si="2"/>
        <v>114596.82592999999</v>
      </c>
      <c r="F19" s="244">
        <f t="shared" si="2"/>
        <v>871057.95469846763</v>
      </c>
      <c r="G19" s="240">
        <f t="shared" si="2"/>
        <v>593876.29744666838</v>
      </c>
      <c r="H19" s="235">
        <f t="shared" si="2"/>
        <v>7386457.7246599998</v>
      </c>
      <c r="I19" s="235">
        <f t="shared" si="2"/>
        <v>318813.67363999999</v>
      </c>
      <c r="J19" s="235">
        <f t="shared" si="2"/>
        <v>1257941.7635629999</v>
      </c>
      <c r="K19" s="235">
        <f>SUM(K11:K13)</f>
        <v>9557089.4593096692</v>
      </c>
    </row>
    <row r="20" spans="1:11" ht="18" customHeight="1">
      <c r="A20" s="179" t="s">
        <v>57</v>
      </c>
      <c r="B20" s="241">
        <f>SUM(B14:B16)</f>
        <v>232155.83297165585</v>
      </c>
      <c r="C20" s="238">
        <f>SUM(C14:C16)</f>
        <v>1696435.3903245702</v>
      </c>
      <c r="D20" s="238">
        <f t="shared" ref="D20:J20" si="3">SUM(D14:D16)</f>
        <v>80867.940369999997</v>
      </c>
      <c r="E20" s="238">
        <f t="shared" si="3"/>
        <v>66999.317110000004</v>
      </c>
      <c r="F20" s="399">
        <f t="shared" si="3"/>
        <v>2076458.4807762261</v>
      </c>
      <c r="G20" s="241">
        <f t="shared" si="3"/>
        <v>2538767.5933921291</v>
      </c>
      <c r="H20" s="238">
        <f t="shared" si="3"/>
        <v>18541043.075550001</v>
      </c>
      <c r="I20" s="238">
        <f t="shared" si="3"/>
        <v>884573.92314370011</v>
      </c>
      <c r="J20" s="238">
        <f t="shared" si="3"/>
        <v>732449.08237700001</v>
      </c>
      <c r="K20" s="238">
        <f>SUM(K14:K16)</f>
        <v>22696833.674462833</v>
      </c>
    </row>
    <row r="21" spans="1:11" ht="18" customHeight="1">
      <c r="A21" s="176" t="s">
        <v>58</v>
      </c>
      <c r="B21" s="240">
        <f>SUM(B5:B10)</f>
        <v>407707.12756294251</v>
      </c>
      <c r="C21" s="235">
        <f>SUM(C5:C10)</f>
        <v>3082301.6058085957</v>
      </c>
      <c r="D21" s="235">
        <f t="shared" ref="D21:J21" si="4">SUM(D5:D10)</f>
        <v>153555.495</v>
      </c>
      <c r="E21" s="235">
        <f t="shared" si="4"/>
        <v>167525.79986999999</v>
      </c>
      <c r="F21" s="244">
        <f t="shared" si="4"/>
        <v>3811090.028241538</v>
      </c>
      <c r="G21" s="240">
        <f t="shared" si="4"/>
        <v>4447306.3512437018</v>
      </c>
      <c r="H21" s="235">
        <f t="shared" si="4"/>
        <v>33533022.123629998</v>
      </c>
      <c r="I21" s="235">
        <f t="shared" si="4"/>
        <v>1675544.2887600001</v>
      </c>
      <c r="J21" s="235">
        <f t="shared" si="4"/>
        <v>1833000.8032910002</v>
      </c>
      <c r="K21" s="235">
        <f>SUM(K5:K10)</f>
        <v>41488873.566924706</v>
      </c>
    </row>
    <row r="22" spans="1:11" ht="18" customHeight="1">
      <c r="A22" s="179" t="s">
        <v>59</v>
      </c>
      <c r="B22" s="241">
        <f>SUM(B11:B16)</f>
        <v>286183.92268650956</v>
      </c>
      <c r="C22" s="238">
        <f>SUM(C11:C16)</f>
        <v>2369788.7013681843</v>
      </c>
      <c r="D22" s="238">
        <f t="shared" ref="D22:J22" si="5">SUM(D11:D16)</f>
        <v>109947.66838</v>
      </c>
      <c r="E22" s="238">
        <f t="shared" si="5"/>
        <v>181596.14304</v>
      </c>
      <c r="F22" s="399">
        <f t="shared" si="5"/>
        <v>2947516.4354746938</v>
      </c>
      <c r="G22" s="241">
        <f t="shared" si="5"/>
        <v>3132643.8908387977</v>
      </c>
      <c r="H22" s="238">
        <f t="shared" si="5"/>
        <v>25927500.800210003</v>
      </c>
      <c r="I22" s="238">
        <f t="shared" si="5"/>
        <v>1203387.5967836999</v>
      </c>
      <c r="J22" s="238">
        <f t="shared" si="5"/>
        <v>1990390.8459399997</v>
      </c>
      <c r="K22" s="238">
        <f>SUM(K11:K16)</f>
        <v>32253923.1337725</v>
      </c>
    </row>
    <row r="23" spans="1:11" ht="18" customHeight="1">
      <c r="A23" s="216" t="s">
        <v>172</v>
      </c>
      <c r="B23" s="400">
        <f>SUM(B5:B16)</f>
        <v>693891.050249452</v>
      </c>
      <c r="C23" s="401">
        <f>SUM(C5:C16)</f>
        <v>5452090.30717678</v>
      </c>
      <c r="D23" s="401">
        <f t="shared" ref="D23:J23" si="6">SUM(D5:D16)</f>
        <v>263503.16338000004</v>
      </c>
      <c r="E23" s="401">
        <f t="shared" si="6"/>
        <v>349121.94290999998</v>
      </c>
      <c r="F23" s="402">
        <f t="shared" si="6"/>
        <v>6758606.4637162313</v>
      </c>
      <c r="G23" s="400">
        <f t="shared" si="6"/>
        <v>7579950.242082499</v>
      </c>
      <c r="H23" s="401">
        <f t="shared" si="6"/>
        <v>59460522.923839994</v>
      </c>
      <c r="I23" s="401">
        <f t="shared" si="6"/>
        <v>2878931.8855437003</v>
      </c>
      <c r="J23" s="401">
        <f t="shared" si="6"/>
        <v>3823391.6492310003</v>
      </c>
      <c r="K23" s="401">
        <f>SUM(K5:K16)</f>
        <v>73742796.700697213</v>
      </c>
    </row>
    <row r="25" spans="1:11" ht="12" customHeight="1">
      <c r="A25" s="512" t="s">
        <v>276</v>
      </c>
      <c r="B25" s="512"/>
      <c r="C25" s="512"/>
      <c r="D25" s="512"/>
      <c r="E25" s="512"/>
      <c r="F25" s="512"/>
      <c r="G25" s="512"/>
      <c r="H25" s="512"/>
      <c r="I25" s="512"/>
      <c r="J25" s="512"/>
      <c r="K25" s="512"/>
    </row>
    <row r="26" spans="1:11" ht="12" customHeight="1">
      <c r="E26" s="63"/>
      <c r="F26" s="63"/>
      <c r="G26" s="63"/>
      <c r="H26" s="63"/>
    </row>
    <row r="27" spans="1:11" ht="12" customHeight="1">
      <c r="E27" s="63"/>
      <c r="F27" s="63"/>
      <c r="G27" s="63"/>
    </row>
    <row r="28" spans="1:11" ht="12" customHeight="1">
      <c r="E28" s="63"/>
      <c r="F28" s="63"/>
      <c r="G28" s="63"/>
    </row>
    <row r="29" spans="1:11" ht="12" customHeight="1">
      <c r="E29" s="63"/>
      <c r="F29" s="63"/>
      <c r="G29" s="63"/>
    </row>
    <row r="30" spans="1:11" ht="12" customHeight="1">
      <c r="E30" s="63" t="str">
        <f>B4</f>
        <v xml:space="preserve"> PP Distribuce</v>
      </c>
      <c r="F30" s="63" t="str">
        <f t="shared" ref="F30:H30" si="7">C4</f>
        <v xml:space="preserve"> GasNet</v>
      </c>
      <c r="G30" s="63" t="str">
        <f t="shared" si="7"/>
        <v xml:space="preserve"> EG.D</v>
      </c>
      <c r="H30" s="63" t="str">
        <f t="shared" si="7"/>
        <v xml:space="preserve"> Ostatní společnosti</v>
      </c>
    </row>
    <row r="31" spans="1:11" ht="12" customHeight="1">
      <c r="D31" s="12" t="str">
        <f>A17</f>
        <v>I. čtvrtletí</v>
      </c>
      <c r="E31" s="12">
        <f t="shared" ref="E31:H34" si="8">B17</f>
        <v>289971.15204709524</v>
      </c>
      <c r="F31" s="12">
        <f t="shared" si="8"/>
        <v>2036608.499707636</v>
      </c>
      <c r="G31" s="12">
        <f t="shared" si="8"/>
        <v>101321.212</v>
      </c>
      <c r="H31" s="12">
        <f t="shared" si="8"/>
        <v>93914.096560000005</v>
      </c>
    </row>
    <row r="32" spans="1:11" ht="12" customHeight="1">
      <c r="D32" s="12" t="str">
        <f t="shared" ref="D32:D34" si="9">A18</f>
        <v>II. čtvrtletí</v>
      </c>
      <c r="E32" s="12">
        <f t="shared" si="8"/>
        <v>117735.97551584727</v>
      </c>
      <c r="F32" s="12">
        <f t="shared" si="8"/>
        <v>1045693.1061009595</v>
      </c>
      <c r="G32" s="12">
        <f t="shared" si="8"/>
        <v>52234.282999999996</v>
      </c>
      <c r="H32" s="12">
        <f t="shared" si="8"/>
        <v>73611.703309999997</v>
      </c>
    </row>
    <row r="33" spans="4:8" ht="12" customHeight="1">
      <c r="D33" s="12" t="str">
        <f t="shared" si="9"/>
        <v>III. čtvrtletí</v>
      </c>
      <c r="E33" s="12">
        <f t="shared" si="8"/>
        <v>54028.089714853704</v>
      </c>
      <c r="F33" s="12">
        <f t="shared" si="8"/>
        <v>673353.31104361406</v>
      </c>
      <c r="G33" s="12">
        <f t="shared" si="8"/>
        <v>29079.728010000003</v>
      </c>
      <c r="H33" s="12">
        <f t="shared" si="8"/>
        <v>114596.82592999999</v>
      </c>
    </row>
    <row r="34" spans="4:8" ht="12" customHeight="1">
      <c r="D34" s="12" t="str">
        <f t="shared" si="9"/>
        <v>IV. čtvrtletí</v>
      </c>
      <c r="E34" s="12">
        <f t="shared" si="8"/>
        <v>232155.83297165585</v>
      </c>
      <c r="F34" s="12">
        <f t="shared" si="8"/>
        <v>1696435.3903245702</v>
      </c>
      <c r="G34" s="12">
        <f t="shared" si="8"/>
        <v>80867.940369999997</v>
      </c>
      <c r="H34" s="12">
        <f t="shared" si="8"/>
        <v>66999.317110000004</v>
      </c>
    </row>
    <row r="35" spans="4:8" ht="12" customHeight="1">
      <c r="E35" s="63"/>
      <c r="F35" s="63"/>
      <c r="G35" s="63"/>
    </row>
    <row r="36" spans="4:8" ht="12" customHeight="1">
      <c r="E36" s="63"/>
      <c r="F36" s="63"/>
      <c r="G36" s="63"/>
    </row>
    <row r="37" spans="4:8" ht="12" customHeight="1">
      <c r="E37" s="63"/>
      <c r="F37" s="63"/>
      <c r="G37" s="63"/>
    </row>
    <row r="38" spans="4:8" ht="12" customHeight="1"/>
    <row r="39" spans="4:8" ht="12" customHeight="1"/>
    <row r="40" spans="4:8" ht="12" customHeight="1"/>
    <row r="41" spans="4:8" ht="12" customHeight="1"/>
    <row r="42" spans="4:8" ht="12" customHeight="1"/>
  </sheetData>
  <mergeCells count="5">
    <mergeCell ref="A25:K25"/>
    <mergeCell ref="A1:K1"/>
    <mergeCell ref="A2:I2"/>
    <mergeCell ref="B3:F3"/>
    <mergeCell ref="G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8:K18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topLeftCell="A19" zoomScaleNormal="100" zoomScaleSheetLayoutView="100" workbookViewId="0">
      <selection activeCell="D1" sqref="D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39" ht="20.25">
      <c r="A1" s="55" t="s">
        <v>288</v>
      </c>
    </row>
    <row r="2" spans="1:39" s="102" customFormat="1" ht="18">
      <c r="A2" s="495" t="s">
        <v>301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</row>
    <row r="3" spans="1:39" ht="6" customHeight="1">
      <c r="A3" s="515"/>
      <c r="B3" s="515"/>
      <c r="C3" s="515"/>
      <c r="D3" s="300"/>
      <c r="E3" s="300"/>
      <c r="F3" s="301"/>
      <c r="G3" s="302"/>
      <c r="H3" s="302"/>
      <c r="I3" s="302"/>
      <c r="J3" s="76"/>
      <c r="K3" s="76"/>
    </row>
    <row r="4" spans="1:39" ht="12.95" customHeight="1">
      <c r="A4" s="487" t="s">
        <v>35</v>
      </c>
      <c r="B4" s="487"/>
      <c r="C4" s="487"/>
      <c r="D4" s="481">
        <f>'3.1'!A4</f>
        <v>2023</v>
      </c>
      <c r="E4" s="353"/>
      <c r="F4" s="342"/>
      <c r="G4" s="342"/>
      <c r="H4" s="342"/>
      <c r="I4" s="481">
        <f>D4-1</f>
        <v>2022</v>
      </c>
      <c r="J4" s="482"/>
      <c r="K4" s="482"/>
    </row>
    <row r="5" spans="1:39" ht="24.95" customHeight="1">
      <c r="A5" s="354"/>
      <c r="B5" s="354"/>
      <c r="C5" s="354"/>
      <c r="D5" s="483"/>
      <c r="E5" s="355"/>
      <c r="F5" s="356"/>
      <c r="G5" s="356"/>
      <c r="H5" s="357"/>
      <c r="I5" s="483"/>
      <c r="J5" s="484"/>
      <c r="K5" s="484"/>
    </row>
    <row r="6" spans="1:39" ht="24.95" customHeight="1">
      <c r="A6" s="304"/>
      <c r="B6" s="272"/>
      <c r="C6" s="305"/>
      <c r="D6" s="364" t="s">
        <v>159</v>
      </c>
      <c r="E6" s="479" t="s">
        <v>60</v>
      </c>
      <c r="F6" s="479"/>
      <c r="G6" s="480" t="s">
        <v>33</v>
      </c>
      <c r="H6" s="480" t="s">
        <v>268</v>
      </c>
      <c r="I6" s="478" t="s">
        <v>60</v>
      </c>
      <c r="J6" s="479"/>
      <c r="K6" s="480" t="s">
        <v>33</v>
      </c>
    </row>
    <row r="7" spans="1:39" ht="24.95" customHeight="1">
      <c r="A7" s="304"/>
      <c r="B7" s="306"/>
      <c r="D7" s="365"/>
      <c r="E7" s="479"/>
      <c r="F7" s="479"/>
      <c r="G7" s="480"/>
      <c r="H7" s="480"/>
      <c r="I7" s="478"/>
      <c r="J7" s="479"/>
      <c r="K7" s="480"/>
    </row>
    <row r="8" spans="1:39" ht="15" customHeight="1">
      <c r="A8" s="488" t="s">
        <v>158</v>
      </c>
      <c r="B8" s="488"/>
      <c r="C8" s="323" t="s">
        <v>184</v>
      </c>
      <c r="D8" s="343"/>
      <c r="E8" s="219" t="s">
        <v>259</v>
      </c>
      <c r="F8" s="219" t="s">
        <v>260</v>
      </c>
      <c r="G8" s="467"/>
      <c r="H8" s="467"/>
      <c r="I8" s="221" t="s">
        <v>259</v>
      </c>
      <c r="J8" s="219" t="s">
        <v>260</v>
      </c>
      <c r="K8" s="467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</row>
    <row r="9" spans="1:39" ht="11.1" customHeight="1">
      <c r="A9" s="422" t="str">
        <f>'3.1'!D5</f>
        <v>Říjen</v>
      </c>
      <c r="B9" s="422"/>
      <c r="C9" s="164" t="s">
        <v>4</v>
      </c>
      <c r="D9" s="312">
        <v>82</v>
      </c>
      <c r="E9" s="308">
        <v>6337.9342500000002</v>
      </c>
      <c r="F9" s="308">
        <v>69634.883650000003</v>
      </c>
      <c r="G9" s="309">
        <f>E9/$E$14</f>
        <v>0.42806423029790841</v>
      </c>
      <c r="H9" s="309">
        <f>(E9-I9)/I9</f>
        <v>-0.22080705904689468</v>
      </c>
      <c r="I9" s="312">
        <v>8133.9728800000003</v>
      </c>
      <c r="J9" s="308">
        <v>89080.830839999995</v>
      </c>
      <c r="K9" s="309">
        <f>I9/$I$14</f>
        <v>0.48418915491359299</v>
      </c>
      <c r="N9" s="77"/>
      <c r="O9" s="77"/>
      <c r="P9" s="77"/>
      <c r="Q9" s="77"/>
      <c r="R9" s="77"/>
      <c r="S9" s="77"/>
      <c r="T9" s="77"/>
      <c r="U9" s="103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7"/>
      <c r="AG9" s="77"/>
      <c r="AH9" s="77"/>
      <c r="AI9" s="77"/>
      <c r="AJ9" s="77"/>
      <c r="AK9" s="77"/>
      <c r="AL9" s="77"/>
      <c r="AM9" s="93"/>
    </row>
    <row r="10" spans="1:39" ht="11.1" customHeight="1">
      <c r="A10" s="423"/>
      <c r="B10" s="423"/>
      <c r="C10" s="154" t="s">
        <v>5</v>
      </c>
      <c r="D10" s="313">
        <v>273</v>
      </c>
      <c r="E10" s="129">
        <v>2138.1773199999998</v>
      </c>
      <c r="F10" s="129">
        <v>23490.66246</v>
      </c>
      <c r="G10" s="307">
        <f>E10/$E$14</f>
        <v>0.1444125471522909</v>
      </c>
      <c r="H10" s="307">
        <f>(E10-I10)/I10</f>
        <v>-2.1414678120871042E-2</v>
      </c>
      <c r="I10" s="313">
        <v>2184.9676999999997</v>
      </c>
      <c r="J10" s="129">
        <v>23929.94296</v>
      </c>
      <c r="K10" s="307">
        <f>I10/$I$14</f>
        <v>0.13006407567177639</v>
      </c>
      <c r="L10" s="93"/>
      <c r="N10" s="77"/>
      <c r="O10" s="77"/>
      <c r="P10" s="77"/>
      <c r="Q10" s="77"/>
      <c r="R10" s="77"/>
      <c r="S10" s="77"/>
      <c r="T10" s="77"/>
      <c r="U10" s="103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7"/>
      <c r="AG10" s="77"/>
      <c r="AH10" s="77"/>
      <c r="AI10" s="77"/>
      <c r="AJ10" s="77"/>
      <c r="AK10" s="77"/>
      <c r="AL10" s="77"/>
    </row>
    <row r="11" spans="1:39" ht="11.1" customHeight="1">
      <c r="A11" s="423"/>
      <c r="B11" s="423"/>
      <c r="C11" s="154" t="s">
        <v>6</v>
      </c>
      <c r="D11" s="313">
        <v>9578</v>
      </c>
      <c r="E11" s="129">
        <v>2316.6893300000002</v>
      </c>
      <c r="F11" s="129">
        <v>25452.964670000001</v>
      </c>
      <c r="G11" s="307">
        <f>E11/$E$14</f>
        <v>0.1564692525621936</v>
      </c>
      <c r="H11" s="307">
        <f t="shared" ref="H11:H13" si="0">(E11-I11)/I11</f>
        <v>-2.8923496189290021E-2</v>
      </c>
      <c r="I11" s="313">
        <v>2385.6918800000003</v>
      </c>
      <c r="J11" s="129">
        <v>26128.12933</v>
      </c>
      <c r="K11" s="307">
        <f>I11/$I$14</f>
        <v>0.14201253831343252</v>
      </c>
      <c r="L11" s="93"/>
      <c r="N11" s="77"/>
      <c r="O11" s="77"/>
      <c r="P11" s="77"/>
      <c r="Q11" s="77"/>
      <c r="R11" s="77"/>
      <c r="S11" s="77"/>
      <c r="T11" s="77"/>
      <c r="U11" s="103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7"/>
      <c r="AG11" s="77"/>
      <c r="AH11" s="77"/>
      <c r="AI11" s="77"/>
      <c r="AJ11" s="77"/>
      <c r="AK11" s="77"/>
      <c r="AL11" s="77"/>
    </row>
    <row r="12" spans="1:39" ht="11.1" customHeight="1">
      <c r="A12" s="423"/>
      <c r="B12" s="423"/>
      <c r="C12" s="154" t="s">
        <v>7</v>
      </c>
      <c r="D12" s="313">
        <v>92599</v>
      </c>
      <c r="E12" s="129">
        <v>3678.9327399999997</v>
      </c>
      <c r="F12" s="129">
        <v>40420.704140000002</v>
      </c>
      <c r="G12" s="307">
        <f>E12/$E$14</f>
        <v>0.24847520494013881</v>
      </c>
      <c r="H12" s="307">
        <f t="shared" si="0"/>
        <v>-2.8783412827460903E-2</v>
      </c>
      <c r="I12" s="313">
        <v>3787.9632500000002</v>
      </c>
      <c r="J12" s="129">
        <v>41485.902179999997</v>
      </c>
      <c r="K12" s="307">
        <f>I12/$I$14</f>
        <v>0.22548522744290822</v>
      </c>
      <c r="L12" s="93"/>
      <c r="N12" s="77"/>
      <c r="O12" s="77"/>
      <c r="P12" s="77"/>
      <c r="Q12" s="77"/>
      <c r="R12" s="77"/>
      <c r="S12" s="77"/>
      <c r="T12" s="77"/>
      <c r="U12" s="103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7"/>
      <c r="AG12" s="77"/>
      <c r="AH12" s="77"/>
      <c r="AI12" s="77"/>
      <c r="AJ12" s="77"/>
      <c r="AK12" s="77"/>
      <c r="AL12" s="77"/>
    </row>
    <row r="13" spans="1:39" ht="11.1" customHeight="1">
      <c r="A13" s="423"/>
      <c r="B13" s="423"/>
      <c r="C13" s="154" t="s">
        <v>93</v>
      </c>
      <c r="D13" s="313">
        <v>16</v>
      </c>
      <c r="E13" s="129">
        <v>334.30200000000002</v>
      </c>
      <c r="F13" s="129">
        <v>3673.0619999999999</v>
      </c>
      <c r="G13" s="307">
        <f>E13/$E$14</f>
        <v>2.2578765047468169E-2</v>
      </c>
      <c r="H13" s="307">
        <f t="shared" si="0"/>
        <v>9.0466062994180862E-2</v>
      </c>
      <c r="I13" s="313">
        <v>306.56799999999998</v>
      </c>
      <c r="J13" s="129">
        <v>3356.9349999999999</v>
      </c>
      <c r="K13" s="307">
        <f>I13/$I$14</f>
        <v>1.8249003658289843E-2</v>
      </c>
      <c r="L13" s="93"/>
      <c r="N13" s="77"/>
      <c r="O13" s="77"/>
      <c r="P13" s="77"/>
      <c r="Q13" s="77"/>
      <c r="R13" s="77"/>
      <c r="S13" s="77"/>
      <c r="T13" s="77"/>
      <c r="U13" s="103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7"/>
      <c r="AG13" s="77"/>
      <c r="AH13" s="77"/>
      <c r="AI13" s="77"/>
      <c r="AJ13" s="77"/>
      <c r="AK13" s="77"/>
      <c r="AL13" s="77"/>
    </row>
    <row r="14" spans="1:39" ht="11.1" customHeight="1">
      <c r="A14" s="424"/>
      <c r="B14" s="424"/>
      <c r="C14" s="318" t="s">
        <v>0</v>
      </c>
      <c r="D14" s="321">
        <v>102548</v>
      </c>
      <c r="E14" s="319">
        <v>14806.035640000002</v>
      </c>
      <c r="F14" s="319">
        <v>162672.27692</v>
      </c>
      <c r="G14" s="320">
        <f>SUM(G9:G13)</f>
        <v>0.99999999999999989</v>
      </c>
      <c r="H14" s="320">
        <f>(E14-I14)/I14</f>
        <v>-0.1186444816186626</v>
      </c>
      <c r="I14" s="321">
        <v>16799.163710000001</v>
      </c>
      <c r="J14" s="319">
        <v>183981.74030999999</v>
      </c>
      <c r="K14" s="320">
        <f>SUM(K9:K13)</f>
        <v>1</v>
      </c>
      <c r="L14" s="93"/>
      <c r="M14" s="93"/>
      <c r="N14" s="77"/>
      <c r="O14" s="77"/>
      <c r="P14" s="77"/>
      <c r="Q14" s="77"/>
      <c r="R14" s="77"/>
      <c r="S14" s="77"/>
      <c r="T14" s="77"/>
      <c r="U14" s="103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7"/>
      <c r="AG14" s="77"/>
      <c r="AH14" s="77"/>
      <c r="AI14" s="77"/>
      <c r="AJ14" s="77"/>
      <c r="AK14" s="77"/>
      <c r="AL14" s="77"/>
    </row>
    <row r="15" spans="1:39" ht="11.1" customHeight="1">
      <c r="A15" s="422" t="str">
        <f>'3.1'!E5</f>
        <v>Listopad</v>
      </c>
      <c r="B15" s="422"/>
      <c r="C15" s="164" t="s">
        <v>4</v>
      </c>
      <c r="D15" s="312">
        <v>81</v>
      </c>
      <c r="E15" s="308">
        <v>7226.6351500000001</v>
      </c>
      <c r="F15" s="308">
        <v>79094.799100000004</v>
      </c>
      <c r="G15" s="309">
        <f>E15/$E$20</f>
        <v>0.29082799652711544</v>
      </c>
      <c r="H15" s="309">
        <f>(E15-I15)/I15</f>
        <v>-0.23020652537266681</v>
      </c>
      <c r="I15" s="312">
        <v>9387.7583900000009</v>
      </c>
      <c r="J15" s="308">
        <v>102227.05619</v>
      </c>
      <c r="K15" s="309">
        <f>I15/$I$20</f>
        <v>0.36210231225545336</v>
      </c>
      <c r="L15" s="93"/>
      <c r="M15" s="93"/>
      <c r="N15" s="77"/>
      <c r="O15" s="77"/>
      <c r="P15" s="77"/>
      <c r="Q15" s="77"/>
      <c r="R15" s="77"/>
      <c r="S15" s="77"/>
      <c r="T15" s="77"/>
      <c r="U15" s="103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7"/>
      <c r="AG15" s="77"/>
      <c r="AH15" s="77"/>
      <c r="AI15" s="77"/>
      <c r="AJ15" s="77"/>
      <c r="AK15" s="77"/>
      <c r="AL15" s="77"/>
    </row>
    <row r="16" spans="1:39" ht="11.1" customHeight="1">
      <c r="A16" s="423"/>
      <c r="B16" s="423"/>
      <c r="C16" s="154" t="s">
        <v>5</v>
      </c>
      <c r="D16" s="313">
        <v>274</v>
      </c>
      <c r="E16" s="129">
        <v>3368.40391</v>
      </c>
      <c r="F16" s="129">
        <v>36866.006720000005</v>
      </c>
      <c r="G16" s="307">
        <f>E16/$E$20</f>
        <v>0.13555771673894484</v>
      </c>
      <c r="H16" s="307">
        <f>(E16-I16)/I16</f>
        <v>4.5912317866531174E-2</v>
      </c>
      <c r="I16" s="313">
        <v>3220.5413899999999</v>
      </c>
      <c r="J16" s="129">
        <v>35073.971590000001</v>
      </c>
      <c r="K16" s="307">
        <f>I16/$I$20</f>
        <v>0.12422193196574072</v>
      </c>
      <c r="L16" s="97"/>
      <c r="M16" s="93"/>
      <c r="N16" s="77"/>
      <c r="O16" s="77"/>
      <c r="P16" s="77"/>
      <c r="Q16" s="77"/>
      <c r="R16" s="77"/>
      <c r="S16" s="77"/>
      <c r="T16" s="77"/>
      <c r="U16" s="103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7"/>
      <c r="AG16" s="77"/>
      <c r="AH16" s="77"/>
      <c r="AI16" s="77"/>
      <c r="AJ16" s="77"/>
      <c r="AK16" s="77"/>
      <c r="AL16" s="77"/>
    </row>
    <row r="17" spans="1:38" ht="11.1" customHeight="1">
      <c r="A17" s="423"/>
      <c r="B17" s="423"/>
      <c r="C17" s="154" t="s">
        <v>6</v>
      </c>
      <c r="D17" s="313">
        <v>9593</v>
      </c>
      <c r="E17" s="129">
        <v>5380.4045299999998</v>
      </c>
      <c r="F17" s="129">
        <v>58886.764950000004</v>
      </c>
      <c r="G17" s="307">
        <f>E17/$E$20</f>
        <v>0.21652847244755619</v>
      </c>
      <c r="H17" s="307">
        <f t="shared" ref="H17:H20" si="1">(E17-I17)/I17</f>
        <v>7.2170697322523444E-2</v>
      </c>
      <c r="I17" s="313">
        <v>5018.2350099999994</v>
      </c>
      <c r="J17" s="129">
        <v>54647.819090000005</v>
      </c>
      <c r="K17" s="307">
        <f>I17/$I$20</f>
        <v>0.19356212900599243</v>
      </c>
      <c r="L17" s="93"/>
      <c r="M17" s="93"/>
      <c r="N17" s="77"/>
      <c r="O17" s="77"/>
      <c r="P17" s="77"/>
      <c r="Q17" s="77"/>
      <c r="R17" s="77"/>
      <c r="S17" s="77"/>
      <c r="T17" s="77"/>
      <c r="U17" s="103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7"/>
      <c r="AG17" s="77"/>
      <c r="AH17" s="77"/>
      <c r="AI17" s="77"/>
      <c r="AJ17" s="77"/>
      <c r="AK17" s="77"/>
      <c r="AL17" s="77"/>
    </row>
    <row r="18" spans="1:38" ht="11.1" customHeight="1">
      <c r="A18" s="423"/>
      <c r="B18" s="423"/>
      <c r="C18" s="154" t="s">
        <v>7</v>
      </c>
      <c r="D18" s="313">
        <v>92567</v>
      </c>
      <c r="E18" s="129">
        <v>8547.3025500000003</v>
      </c>
      <c r="F18" s="129">
        <v>93548.175989999989</v>
      </c>
      <c r="G18" s="307">
        <f>E18/$E$20</f>
        <v>0.3439768059035892</v>
      </c>
      <c r="H18" s="307">
        <f t="shared" si="1"/>
        <v>7.2372549025413652E-2</v>
      </c>
      <c r="I18" s="313">
        <v>7970.4600399999999</v>
      </c>
      <c r="J18" s="129">
        <v>86797.341509999998</v>
      </c>
      <c r="K18" s="307">
        <f>I18/$I$20</f>
        <v>0.30743462819601741</v>
      </c>
      <c r="L18" s="93"/>
      <c r="M18" s="93"/>
      <c r="N18" s="77"/>
      <c r="O18" s="77"/>
      <c r="P18" s="77"/>
      <c r="Q18" s="77"/>
      <c r="R18" s="77"/>
      <c r="S18" s="77"/>
      <c r="T18" s="77"/>
      <c r="U18" s="103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7"/>
      <c r="AG18" s="77"/>
      <c r="AH18" s="77"/>
      <c r="AI18" s="77"/>
      <c r="AJ18" s="77"/>
      <c r="AK18" s="77"/>
      <c r="AL18" s="77"/>
    </row>
    <row r="19" spans="1:38" ht="11.1" customHeight="1">
      <c r="A19" s="423"/>
      <c r="B19" s="423"/>
      <c r="C19" s="154" t="s">
        <v>93</v>
      </c>
      <c r="D19" s="313">
        <v>16</v>
      </c>
      <c r="E19" s="129">
        <v>325.73899999999998</v>
      </c>
      <c r="F19" s="129">
        <v>3566.1410000000001</v>
      </c>
      <c r="G19" s="307">
        <f>E19/$E$20</f>
        <v>1.3109008382794315E-2</v>
      </c>
      <c r="H19" s="307">
        <f t="shared" si="1"/>
        <v>-9.0443914429653108E-3</v>
      </c>
      <c r="I19" s="313">
        <v>328.71199999999999</v>
      </c>
      <c r="J19" s="129">
        <v>3580.0169999999998</v>
      </c>
      <c r="K19" s="307">
        <f>I19/$I$20</f>
        <v>1.2678998576795985E-2</v>
      </c>
      <c r="L19" s="93"/>
      <c r="M19" s="93"/>
      <c r="N19" s="77"/>
      <c r="O19" s="77"/>
      <c r="P19" s="77"/>
      <c r="Q19" s="77"/>
      <c r="R19" s="77"/>
      <c r="S19" s="77"/>
      <c r="T19" s="77"/>
      <c r="U19" s="103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7"/>
      <c r="AG19" s="77"/>
      <c r="AH19" s="77"/>
      <c r="AI19" s="77"/>
      <c r="AJ19" s="77"/>
      <c r="AK19" s="77"/>
      <c r="AL19" s="77"/>
    </row>
    <row r="20" spans="1:38" ht="11.1" customHeight="1">
      <c r="A20" s="424"/>
      <c r="B20" s="424"/>
      <c r="C20" s="318" t="s">
        <v>0</v>
      </c>
      <c r="D20" s="321">
        <v>102531</v>
      </c>
      <c r="E20" s="319">
        <v>24848.485140000001</v>
      </c>
      <c r="F20" s="319">
        <v>271961.88776000001</v>
      </c>
      <c r="G20" s="320">
        <f>SUM(G15:G19)</f>
        <v>1</v>
      </c>
      <c r="H20" s="320">
        <f t="shared" si="1"/>
        <v>-4.155033060674327E-2</v>
      </c>
      <c r="I20" s="321">
        <v>25925.706830000003</v>
      </c>
      <c r="J20" s="319">
        <v>282326.20538</v>
      </c>
      <c r="K20" s="320">
        <f>SUM(K15:K19)</f>
        <v>0.99999999999999989</v>
      </c>
      <c r="L20" s="93"/>
      <c r="M20" s="93"/>
      <c r="N20" s="77"/>
      <c r="O20" s="77"/>
      <c r="P20" s="77"/>
      <c r="Q20" s="77"/>
      <c r="R20" s="77"/>
      <c r="S20" s="77"/>
      <c r="T20" s="77"/>
      <c r="U20" s="103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7"/>
      <c r="AG20" s="77"/>
      <c r="AH20" s="77"/>
      <c r="AI20" s="77"/>
      <c r="AJ20" s="77"/>
      <c r="AK20" s="77"/>
      <c r="AL20" s="77"/>
    </row>
    <row r="21" spans="1:38" ht="11.1" customHeight="1">
      <c r="A21" s="422" t="str">
        <f>'3.1'!F5</f>
        <v>Prosinec</v>
      </c>
      <c r="B21" s="422"/>
      <c r="C21" s="164" t="s">
        <v>4</v>
      </c>
      <c r="D21" s="312">
        <v>81</v>
      </c>
      <c r="E21" s="308">
        <v>6838.3292099999999</v>
      </c>
      <c r="F21" s="308">
        <v>74596.597999999998</v>
      </c>
      <c r="G21" s="309">
        <f>E21/$E$26</f>
        <v>0.23021118960092757</v>
      </c>
      <c r="H21" s="309">
        <f>(E21-I21)/I21</f>
        <v>-0.22324102783041577</v>
      </c>
      <c r="I21" s="312">
        <v>8803.6694200000002</v>
      </c>
      <c r="J21" s="308">
        <v>96056.837020000006</v>
      </c>
      <c r="K21" s="309">
        <f>I21/$I$26</f>
        <v>0.26630372542467856</v>
      </c>
      <c r="L21" s="88"/>
      <c r="M21" s="88"/>
      <c r="N21" s="77"/>
      <c r="O21" s="77"/>
      <c r="P21" s="77"/>
      <c r="Q21" s="77"/>
      <c r="R21" s="77"/>
      <c r="S21" s="77"/>
      <c r="T21" s="77"/>
      <c r="U21" s="103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7"/>
      <c r="AG21" s="77"/>
      <c r="AH21" s="77"/>
      <c r="AI21" s="77"/>
      <c r="AJ21" s="77"/>
      <c r="AK21" s="77"/>
      <c r="AL21" s="77"/>
    </row>
    <row r="22" spans="1:38" ht="11.1" customHeight="1">
      <c r="A22" s="423"/>
      <c r="B22" s="423"/>
      <c r="C22" s="154" t="s">
        <v>5</v>
      </c>
      <c r="D22" s="313">
        <v>273</v>
      </c>
      <c r="E22" s="129">
        <v>3677.9693400000001</v>
      </c>
      <c r="F22" s="129">
        <v>40120.813300000002</v>
      </c>
      <c r="G22" s="307">
        <f>E22/$E$26</f>
        <v>0.12381821217951255</v>
      </c>
      <c r="H22" s="307">
        <f t="shared" ref="H22:H26" si="2">(E22-I22)/I22</f>
        <v>-8.0870512045783313E-2</v>
      </c>
      <c r="I22" s="313">
        <v>4001.5790899999997</v>
      </c>
      <c r="J22" s="129">
        <v>43659.219399999994</v>
      </c>
      <c r="K22" s="307">
        <f>I22/$I$26</f>
        <v>0.12104446094120776</v>
      </c>
      <c r="L22" s="88"/>
      <c r="M22" s="88"/>
      <c r="N22" s="77"/>
      <c r="O22" s="77"/>
      <c r="P22" s="77"/>
      <c r="Q22" s="77"/>
      <c r="R22" s="77"/>
      <c r="S22" s="77"/>
      <c r="T22" s="77"/>
      <c r="U22" s="103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/>
      <c r="AG22" s="77"/>
      <c r="AH22" s="77"/>
      <c r="AI22" s="77"/>
      <c r="AJ22" s="77"/>
      <c r="AK22" s="77"/>
      <c r="AL22" s="77"/>
    </row>
    <row r="23" spans="1:38" ht="11.1" customHeight="1">
      <c r="A23" s="423"/>
      <c r="B23" s="423"/>
      <c r="C23" s="154" t="s">
        <v>6</v>
      </c>
      <c r="D23" s="313">
        <v>9599</v>
      </c>
      <c r="E23" s="129">
        <v>7296.4789000000001</v>
      </c>
      <c r="F23" s="129">
        <v>79594.28710999999</v>
      </c>
      <c r="G23" s="307">
        <f>E23/$E$26</f>
        <v>0.24563472097990255</v>
      </c>
      <c r="H23" s="307">
        <f t="shared" si="2"/>
        <v>-5.2029283834888945E-2</v>
      </c>
      <c r="I23" s="313">
        <v>7696.9454599999999</v>
      </c>
      <c r="J23" s="129">
        <v>83979.542690000002</v>
      </c>
      <c r="K23" s="307">
        <f>I23/$I$26</f>
        <v>0.23282624012801317</v>
      </c>
      <c r="L23" s="88"/>
      <c r="M23" s="88"/>
      <c r="N23" s="77"/>
      <c r="O23" s="77"/>
      <c r="P23" s="77"/>
      <c r="Q23" s="77"/>
      <c r="R23" s="77"/>
      <c r="S23" s="77"/>
      <c r="T23" s="77"/>
      <c r="U23" s="103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7"/>
      <c r="AG23" s="77"/>
      <c r="AH23" s="77"/>
      <c r="AI23" s="77"/>
      <c r="AJ23" s="77"/>
      <c r="AK23" s="77"/>
      <c r="AL23" s="77"/>
    </row>
    <row r="24" spans="1:38" ht="11.1" customHeight="1">
      <c r="A24" s="423"/>
      <c r="B24" s="423"/>
      <c r="C24" s="154" t="s">
        <v>7</v>
      </c>
      <c r="D24" s="313">
        <v>92540</v>
      </c>
      <c r="E24" s="129">
        <v>11594.22546</v>
      </c>
      <c r="F24" s="129">
        <v>126478.06302</v>
      </c>
      <c r="G24" s="307">
        <f>E24/$E$26</f>
        <v>0.39031762784172269</v>
      </c>
      <c r="H24" s="307">
        <f t="shared" si="2"/>
        <v>-5.2177135966682539E-2</v>
      </c>
      <c r="I24" s="313">
        <v>12232.481300000001</v>
      </c>
      <c r="J24" s="129">
        <v>133464.87921000001</v>
      </c>
      <c r="K24" s="307">
        <f>I24/$I$26</f>
        <v>0.37002245154472369</v>
      </c>
      <c r="L24" s="88"/>
      <c r="M24" s="88"/>
      <c r="N24" s="77"/>
      <c r="O24" s="77"/>
      <c r="P24" s="77"/>
      <c r="Q24" s="77"/>
      <c r="R24" s="77"/>
      <c r="S24" s="77"/>
      <c r="T24" s="77"/>
      <c r="U24" s="103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7"/>
      <c r="AG24" s="77"/>
      <c r="AH24" s="77"/>
      <c r="AI24" s="77"/>
      <c r="AJ24" s="77"/>
      <c r="AK24" s="77"/>
      <c r="AL24" s="77"/>
    </row>
    <row r="25" spans="1:38" ht="11.1" customHeight="1">
      <c r="A25" s="423"/>
      <c r="B25" s="423"/>
      <c r="C25" s="154" t="s">
        <v>93</v>
      </c>
      <c r="D25" s="313">
        <v>16</v>
      </c>
      <c r="E25" s="129">
        <v>297.58800000000002</v>
      </c>
      <c r="F25" s="129">
        <v>3246.03</v>
      </c>
      <c r="G25" s="307">
        <f>E25/$E$26</f>
        <v>1.0018249397934564E-2</v>
      </c>
      <c r="H25" s="307">
        <f t="shared" si="2"/>
        <v>-8.1742414658154294E-2</v>
      </c>
      <c r="I25" s="313">
        <v>324.07900000000001</v>
      </c>
      <c r="J25" s="129">
        <v>3536.8560000000002</v>
      </c>
      <c r="K25" s="307">
        <f>I25/$I$26</f>
        <v>9.8031219613769205E-3</v>
      </c>
      <c r="L25" s="88"/>
      <c r="M25" s="88"/>
      <c r="N25" s="77"/>
      <c r="O25" s="77"/>
      <c r="P25" s="77"/>
      <c r="Q25" s="77"/>
      <c r="R25" s="77"/>
      <c r="S25" s="77"/>
      <c r="T25" s="77"/>
      <c r="U25" s="103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7"/>
      <c r="AG25" s="77"/>
      <c r="AH25" s="77"/>
      <c r="AI25" s="77"/>
      <c r="AJ25" s="77"/>
      <c r="AK25" s="77"/>
      <c r="AL25" s="77"/>
    </row>
    <row r="26" spans="1:38" ht="11.1" customHeight="1">
      <c r="A26" s="424"/>
      <c r="B26" s="424"/>
      <c r="C26" s="318" t="s">
        <v>0</v>
      </c>
      <c r="D26" s="321">
        <v>102509</v>
      </c>
      <c r="E26" s="319">
        <v>29704.590910000003</v>
      </c>
      <c r="F26" s="319">
        <v>324035.79143000004</v>
      </c>
      <c r="G26" s="320">
        <f>SUM(G21:G25)</f>
        <v>1</v>
      </c>
      <c r="H26" s="320">
        <f t="shared" si="2"/>
        <v>-0.10146067007261116</v>
      </c>
      <c r="I26" s="321">
        <v>33058.754269999998</v>
      </c>
      <c r="J26" s="319">
        <v>360697.33432000002</v>
      </c>
      <c r="K26" s="320">
        <f>SUM(K21:K25)</f>
        <v>1.0000000000000002</v>
      </c>
      <c r="N26" s="77"/>
      <c r="O26" s="77"/>
      <c r="P26" s="77"/>
      <c r="Q26" s="77"/>
      <c r="R26" s="77"/>
      <c r="S26" s="77"/>
      <c r="T26" s="77"/>
      <c r="U26" s="103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7"/>
      <c r="AG26" s="77"/>
      <c r="AH26" s="77"/>
      <c r="AI26" s="77"/>
      <c r="AJ26" s="77"/>
      <c r="AK26" s="77"/>
      <c r="AL26" s="77"/>
    </row>
    <row r="27" spans="1:38" ht="11.1" customHeight="1">
      <c r="A27" s="491" t="str">
        <f>'3.1'!G5</f>
        <v>IV. čtvrtletí</v>
      </c>
      <c r="B27" s="422"/>
      <c r="C27" s="164" t="s">
        <v>4</v>
      </c>
      <c r="D27" s="312">
        <f>D21</f>
        <v>81</v>
      </c>
      <c r="E27" s="308">
        <f>E9+E15+E21</f>
        <v>20402.89861</v>
      </c>
      <c r="F27" s="308">
        <f>F9+F15+F21</f>
        <v>223326.28075000001</v>
      </c>
      <c r="G27" s="309">
        <f>E27/$E$32</f>
        <v>0.2941632052785017</v>
      </c>
      <c r="H27" s="309">
        <f>(E27-I27)/I27</f>
        <v>-0.2249729130333705</v>
      </c>
      <c r="I27" s="312">
        <f>I9+I15+I21</f>
        <v>26325.400690000002</v>
      </c>
      <c r="J27" s="308">
        <f>J9+J15+J21</f>
        <v>287364.72404999996</v>
      </c>
      <c r="K27" s="309">
        <f>I27/$I$32</f>
        <v>0.3473758447949859</v>
      </c>
      <c r="N27" s="77"/>
      <c r="O27" s="77"/>
      <c r="P27" s="77"/>
      <c r="Q27" s="77"/>
      <c r="R27" s="77"/>
      <c r="S27" s="77"/>
      <c r="T27" s="77"/>
      <c r="U27" s="103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7"/>
      <c r="AG27" s="77"/>
      <c r="AH27" s="77"/>
      <c r="AI27" s="77"/>
      <c r="AJ27" s="77"/>
      <c r="AK27" s="77"/>
      <c r="AL27" s="77"/>
    </row>
    <row r="28" spans="1:38" ht="11.1" customHeight="1">
      <c r="A28" s="423"/>
      <c r="B28" s="423"/>
      <c r="C28" s="154" t="s">
        <v>5</v>
      </c>
      <c r="D28" s="313">
        <f>D22</f>
        <v>273</v>
      </c>
      <c r="E28" s="129">
        <f t="shared" ref="E28:F28" si="3">E10+E16+E22</f>
        <v>9184.5505699999994</v>
      </c>
      <c r="F28" s="129">
        <f t="shared" si="3"/>
        <v>100477.48248000001</v>
      </c>
      <c r="G28" s="307">
        <f>E28/$E$32</f>
        <v>0.13242024510132533</v>
      </c>
      <c r="H28" s="307">
        <f t="shared" ref="H28:H31" si="4">(E28-I28)/I28</f>
        <v>-2.3656375463039343E-2</v>
      </c>
      <c r="I28" s="313">
        <f t="shared" ref="I28:J28" si="5">I10+I16+I22</f>
        <v>9407.0881799999988</v>
      </c>
      <c r="J28" s="129">
        <f t="shared" si="5"/>
        <v>102663.13394999999</v>
      </c>
      <c r="K28" s="307">
        <f>I28/$I$32</f>
        <v>0.12413088188358458</v>
      </c>
      <c r="N28" s="77"/>
      <c r="O28" s="77"/>
      <c r="P28" s="77"/>
      <c r="Q28" s="77"/>
      <c r="R28" s="77"/>
      <c r="S28" s="77"/>
      <c r="T28" s="77"/>
      <c r="U28" s="103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7"/>
      <c r="AG28" s="77"/>
      <c r="AH28" s="77"/>
      <c r="AI28" s="77"/>
      <c r="AJ28" s="77"/>
      <c r="AK28" s="77"/>
      <c r="AL28" s="77"/>
    </row>
    <row r="29" spans="1:38" ht="11.1" customHeight="1">
      <c r="A29" s="423"/>
      <c r="B29" s="423"/>
      <c r="C29" s="154" t="s">
        <v>6</v>
      </c>
      <c r="D29" s="313">
        <f>D23</f>
        <v>9599</v>
      </c>
      <c r="E29" s="129">
        <f t="shared" ref="E29:F29" si="6">E11+E17+E23</f>
        <v>14993.572759999999</v>
      </c>
      <c r="F29" s="129">
        <f t="shared" si="6"/>
        <v>163934.01672999997</v>
      </c>
      <c r="G29" s="307">
        <f>E29/$E$32</f>
        <v>0.21617307942197492</v>
      </c>
      <c r="H29" s="307">
        <f t="shared" si="4"/>
        <v>-7.1055226157183257E-3</v>
      </c>
      <c r="I29" s="313">
        <f t="shared" ref="I29:J29" si="7">I11+I17+I23</f>
        <v>15100.87235</v>
      </c>
      <c r="J29" s="129">
        <f t="shared" si="7"/>
        <v>164755.49111</v>
      </c>
      <c r="K29" s="307">
        <f>I29/$I$32</f>
        <v>0.19926299893756694</v>
      </c>
      <c r="N29" s="77"/>
      <c r="O29" s="77"/>
      <c r="P29" s="77"/>
      <c r="Q29" s="77"/>
      <c r="R29" s="77"/>
      <c r="S29" s="77"/>
      <c r="T29" s="77"/>
      <c r="U29" s="103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7"/>
      <c r="AG29" s="77"/>
      <c r="AH29" s="77"/>
      <c r="AI29" s="77"/>
      <c r="AJ29" s="77"/>
      <c r="AK29" s="77"/>
      <c r="AL29" s="77"/>
    </row>
    <row r="30" spans="1:38" ht="11.1" customHeight="1">
      <c r="A30" s="423"/>
      <c r="B30" s="423"/>
      <c r="C30" s="154" t="s">
        <v>7</v>
      </c>
      <c r="D30" s="313">
        <f>D24</f>
        <v>92540</v>
      </c>
      <c r="E30" s="129">
        <f t="shared" ref="E30:F31" si="8">E12+E18+E24</f>
        <v>23820.460749999998</v>
      </c>
      <c r="F30" s="129">
        <f t="shared" si="8"/>
        <v>260446.94315000001</v>
      </c>
      <c r="G30" s="307">
        <f>E30/$E$32</f>
        <v>0.34343664688880904</v>
      </c>
      <c r="H30" s="307">
        <f t="shared" si="4"/>
        <v>-7.1045191047547545E-3</v>
      </c>
      <c r="I30" s="313">
        <f t="shared" ref="I30:J30" si="9">I12+I18+I24</f>
        <v>23990.904590000002</v>
      </c>
      <c r="J30" s="129">
        <f t="shared" si="9"/>
        <v>261748.12290000002</v>
      </c>
      <c r="K30" s="307">
        <f>I30/$I$32</f>
        <v>0.31657108841320947</v>
      </c>
      <c r="N30" s="77"/>
      <c r="O30" s="77"/>
      <c r="P30" s="77"/>
      <c r="Q30" s="77"/>
      <c r="R30" s="77"/>
      <c r="S30" s="77"/>
      <c r="T30" s="77"/>
      <c r="U30" s="103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7"/>
      <c r="AG30" s="77"/>
      <c r="AH30" s="77"/>
      <c r="AI30" s="77"/>
      <c r="AJ30" s="77"/>
      <c r="AK30" s="77"/>
      <c r="AL30" s="77"/>
    </row>
    <row r="31" spans="1:38" ht="11.1" customHeight="1">
      <c r="A31" s="423"/>
      <c r="B31" s="423"/>
      <c r="C31" s="154" t="s">
        <v>93</v>
      </c>
      <c r="D31" s="313">
        <f>D25</f>
        <v>16</v>
      </c>
      <c r="E31" s="129">
        <f>E13+E19+E25</f>
        <v>957.62899999999991</v>
      </c>
      <c r="F31" s="129">
        <f t="shared" si="8"/>
        <v>10485.233</v>
      </c>
      <c r="G31" s="307">
        <f>E31/$E$32</f>
        <v>1.3806823309388896E-2</v>
      </c>
      <c r="H31" s="307">
        <f t="shared" si="4"/>
        <v>-1.8032874033599708E-3</v>
      </c>
      <c r="I31" s="313">
        <f>I13+I19+I25</f>
        <v>959.35899999999992</v>
      </c>
      <c r="J31" s="129">
        <f t="shared" ref="J31" si="10">J13+J19+J25</f>
        <v>10473.807999999999</v>
      </c>
      <c r="K31" s="307">
        <f>I31/$I$32</f>
        <v>1.265918597065323E-2</v>
      </c>
      <c r="N31" s="77"/>
      <c r="O31" s="77"/>
      <c r="P31" s="77"/>
      <c r="Q31" s="77"/>
      <c r="R31" s="77"/>
      <c r="S31" s="77"/>
      <c r="T31" s="77"/>
      <c r="U31" s="103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7"/>
      <c r="AG31" s="77"/>
      <c r="AH31" s="77"/>
      <c r="AI31" s="77"/>
      <c r="AJ31" s="77"/>
      <c r="AK31" s="77"/>
      <c r="AL31" s="77"/>
    </row>
    <row r="32" spans="1:38" ht="11.1" customHeight="1">
      <c r="A32" s="424"/>
      <c r="B32" s="424"/>
      <c r="C32" s="318" t="s">
        <v>0</v>
      </c>
      <c r="D32" s="321">
        <f>SUM(D27:D31)</f>
        <v>102509</v>
      </c>
      <c r="E32" s="319">
        <f>SUM(E27:E31)</f>
        <v>69359.111690000005</v>
      </c>
      <c r="F32" s="319">
        <f>SUM(F27:F31)</f>
        <v>758669.95611000003</v>
      </c>
      <c r="G32" s="320">
        <f>SUM(G27:G31)</f>
        <v>0.99999999999999989</v>
      </c>
      <c r="H32" s="320">
        <f>(E32-I32)/I32</f>
        <v>-8.4774423711021077E-2</v>
      </c>
      <c r="I32" s="321">
        <f>SUM(I27:I31)</f>
        <v>75783.624809999994</v>
      </c>
      <c r="J32" s="319">
        <f>SUM(J27:J31)</f>
        <v>827005.28000999987</v>
      </c>
      <c r="K32" s="320">
        <f>SUM(K27:K31)</f>
        <v>1</v>
      </c>
      <c r="N32" s="77"/>
      <c r="O32" s="77"/>
      <c r="P32" s="77"/>
      <c r="Q32" s="77"/>
      <c r="R32" s="77"/>
      <c r="S32" s="77"/>
      <c r="T32" s="77"/>
      <c r="U32" s="103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7"/>
      <c r="AG32" s="77"/>
      <c r="AH32" s="77"/>
      <c r="AI32" s="77"/>
      <c r="AJ32" s="77"/>
      <c r="AK32" s="77"/>
      <c r="AL32" s="77"/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16" t="s">
        <v>36</v>
      </c>
      <c r="B34" s="516"/>
      <c r="C34" s="516"/>
      <c r="D34" s="481">
        <f>D4</f>
        <v>2023</v>
      </c>
      <c r="E34" s="353"/>
      <c r="F34" s="342"/>
      <c r="G34" s="342"/>
      <c r="H34" s="342"/>
      <c r="I34" s="481">
        <f>D34-1</f>
        <v>2022</v>
      </c>
      <c r="J34" s="482"/>
      <c r="K34" s="482"/>
    </row>
    <row r="35" spans="1:11" ht="24.95" customHeight="1">
      <c r="A35" s="304"/>
      <c r="B35" s="272"/>
      <c r="C35" s="150"/>
      <c r="D35" s="483"/>
      <c r="E35" s="355"/>
      <c r="F35" s="356"/>
      <c r="G35" s="356"/>
      <c r="H35" s="357"/>
      <c r="I35" s="483"/>
      <c r="J35" s="484"/>
      <c r="K35" s="484"/>
    </row>
    <row r="36" spans="1:11" ht="24.95" customHeight="1">
      <c r="A36" s="130"/>
      <c r="B36" s="131"/>
      <c r="C36" s="352"/>
      <c r="D36" s="364" t="s">
        <v>159</v>
      </c>
      <c r="E36" s="479" t="s">
        <v>60</v>
      </c>
      <c r="F36" s="479"/>
      <c r="G36" s="480" t="s">
        <v>33</v>
      </c>
      <c r="H36" s="480" t="s">
        <v>268</v>
      </c>
      <c r="I36" s="478" t="s">
        <v>60</v>
      </c>
      <c r="J36" s="479"/>
      <c r="K36" s="480" t="s">
        <v>33</v>
      </c>
    </row>
    <row r="37" spans="1:11" ht="24.95" customHeight="1">
      <c r="A37" s="130"/>
      <c r="B37" s="306"/>
      <c r="C37" s="306"/>
      <c r="D37" s="365"/>
      <c r="E37" s="479"/>
      <c r="F37" s="479"/>
      <c r="G37" s="480"/>
      <c r="H37" s="480"/>
      <c r="I37" s="478"/>
      <c r="J37" s="479"/>
      <c r="K37" s="480"/>
    </row>
    <row r="38" spans="1:11" ht="15" customHeight="1">
      <c r="A38" s="517" t="s">
        <v>158</v>
      </c>
      <c r="B38" s="517"/>
      <c r="C38" s="366" t="s">
        <v>184</v>
      </c>
      <c r="D38" s="343"/>
      <c r="E38" s="219" t="s">
        <v>259</v>
      </c>
      <c r="F38" s="219" t="s">
        <v>260</v>
      </c>
      <c r="G38" s="467"/>
      <c r="H38" s="467"/>
      <c r="I38" s="221" t="s">
        <v>259</v>
      </c>
      <c r="J38" s="219" t="s">
        <v>260</v>
      </c>
      <c r="K38" s="467"/>
    </row>
    <row r="39" spans="1:11" ht="11.1" customHeight="1">
      <c r="A39" s="422" t="str">
        <f>'3.1'!D5</f>
        <v>Říjen</v>
      </c>
      <c r="B39" s="422"/>
      <c r="C39" s="164" t="s">
        <v>4</v>
      </c>
      <c r="D39" s="312">
        <v>190</v>
      </c>
      <c r="E39" s="308">
        <v>24787.536</v>
      </c>
      <c r="F39" s="308">
        <v>271987.63264000003</v>
      </c>
      <c r="G39" s="309">
        <f>E39/$E$44</f>
        <v>0.46446874970721885</v>
      </c>
      <c r="H39" s="309">
        <f>(E39-I39)/I39</f>
        <v>-0.20096989139653335</v>
      </c>
      <c r="I39" s="312">
        <v>31022.03</v>
      </c>
      <c r="J39" s="308">
        <v>339991.87019999995</v>
      </c>
      <c r="K39" s="309">
        <f>I39/$I$44</f>
        <v>0.47684531055938811</v>
      </c>
    </row>
    <row r="40" spans="1:11" ht="11.1" customHeight="1">
      <c r="A40" s="423"/>
      <c r="B40" s="423"/>
      <c r="C40" s="154" t="s">
        <v>5</v>
      </c>
      <c r="D40" s="313">
        <v>809</v>
      </c>
      <c r="E40" s="129">
        <v>6193.1790000000001</v>
      </c>
      <c r="F40" s="129">
        <v>67956.150920000029</v>
      </c>
      <c r="G40" s="307">
        <f t="shared" ref="G40:G41" si="11">E40/$E$44</f>
        <v>0.11604776315173095</v>
      </c>
      <c r="H40" s="307">
        <f>(E40-I40)/I40</f>
        <v>-0.12943321878863007</v>
      </c>
      <c r="I40" s="313">
        <v>7113.9620000000004</v>
      </c>
      <c r="J40" s="129">
        <v>77966.926679999917</v>
      </c>
      <c r="K40" s="307">
        <f t="shared" ref="K40:K43" si="12">I40/$I$44</f>
        <v>0.10935001414148868</v>
      </c>
    </row>
    <row r="41" spans="1:11" ht="11.1" customHeight="1">
      <c r="A41" s="423"/>
      <c r="B41" s="423"/>
      <c r="C41" s="154" t="s">
        <v>6</v>
      </c>
      <c r="D41" s="313">
        <v>23721</v>
      </c>
      <c r="E41" s="129">
        <v>6376.0869999999995</v>
      </c>
      <c r="F41" s="129">
        <v>69963.939060000004</v>
      </c>
      <c r="G41" s="307">
        <f t="shared" si="11"/>
        <v>0.11947509251885512</v>
      </c>
      <c r="H41" s="307">
        <f t="shared" ref="H41:H43" si="13">(E41-I41)/I41</f>
        <v>-0.17748796176661208</v>
      </c>
      <c r="I41" s="313">
        <v>7751.9679999999998</v>
      </c>
      <c r="J41" s="129">
        <v>84959.795959999989</v>
      </c>
      <c r="K41" s="307">
        <f t="shared" si="12"/>
        <v>0.11915692133643217</v>
      </c>
    </row>
    <row r="42" spans="1:11" ht="11.1" customHeight="1">
      <c r="A42" s="423"/>
      <c r="B42" s="423"/>
      <c r="C42" s="154" t="s">
        <v>7</v>
      </c>
      <c r="D42" s="313">
        <v>349422</v>
      </c>
      <c r="E42" s="129">
        <v>14867.7</v>
      </c>
      <c r="F42" s="129">
        <v>163139.9</v>
      </c>
      <c r="G42" s="307">
        <f>E42/$E$44</f>
        <v>0.27859090270295594</v>
      </c>
      <c r="H42" s="307">
        <f t="shared" si="13"/>
        <v>-0.18244205548376449</v>
      </c>
      <c r="I42" s="313">
        <v>18185.5</v>
      </c>
      <c r="J42" s="129">
        <v>199307.7</v>
      </c>
      <c r="K42" s="307">
        <f t="shared" si="12"/>
        <v>0.27953265454187726</v>
      </c>
    </row>
    <row r="43" spans="1:11" ht="11.1" customHeight="1">
      <c r="A43" s="423"/>
      <c r="B43" s="423"/>
      <c r="C43" s="154" t="s">
        <v>93</v>
      </c>
      <c r="D43" s="313">
        <v>29</v>
      </c>
      <c r="E43" s="129">
        <v>1142.998</v>
      </c>
      <c r="F43" s="129">
        <v>12541.853329999998</v>
      </c>
      <c r="G43" s="307">
        <f>E43/$E$44</f>
        <v>2.1417491919239241E-2</v>
      </c>
      <c r="H43" s="307">
        <f t="shared" si="13"/>
        <v>0.162362967030732</v>
      </c>
      <c r="I43" s="313">
        <v>983.34</v>
      </c>
      <c r="J43" s="129">
        <v>10777.11945</v>
      </c>
      <c r="K43" s="307">
        <f t="shared" si="12"/>
        <v>1.5115099420813814E-2</v>
      </c>
    </row>
    <row r="44" spans="1:11" ht="11.1" customHeight="1">
      <c r="A44" s="424"/>
      <c r="B44" s="424"/>
      <c r="C44" s="318" t="s">
        <v>0</v>
      </c>
      <c r="D44" s="321">
        <v>374171</v>
      </c>
      <c r="E44" s="319">
        <v>53367.499999999993</v>
      </c>
      <c r="F44" s="319">
        <v>585589.47594999999</v>
      </c>
      <c r="G44" s="320">
        <f>SUM(G39:G43)</f>
        <v>1</v>
      </c>
      <c r="H44" s="320">
        <f>(E44-I44)/I44</f>
        <v>-0.17967837335989478</v>
      </c>
      <c r="I44" s="321">
        <v>65056.799999999996</v>
      </c>
      <c r="J44" s="319">
        <v>713003.41228999977</v>
      </c>
      <c r="K44" s="320">
        <f>SUM(K39:K43)</f>
        <v>1</v>
      </c>
    </row>
    <row r="45" spans="1:11" ht="11.1" customHeight="1">
      <c r="A45" s="422" t="str">
        <f>'3.1'!E5</f>
        <v>Listopad</v>
      </c>
      <c r="B45" s="422"/>
      <c r="C45" s="164" t="s">
        <v>4</v>
      </c>
      <c r="D45" s="312">
        <v>190</v>
      </c>
      <c r="E45" s="308">
        <v>34114.545000000006</v>
      </c>
      <c r="F45" s="308">
        <v>372891.93823000003</v>
      </c>
      <c r="G45" s="309">
        <f>E45/$E$50</f>
        <v>0.35225231783361161</v>
      </c>
      <c r="H45" s="309">
        <f>(E45-I45)/I45</f>
        <v>-8.360736386035536E-2</v>
      </c>
      <c r="I45" s="312">
        <v>37226.995999999999</v>
      </c>
      <c r="J45" s="308">
        <v>406823.37652000011</v>
      </c>
      <c r="K45" s="309">
        <f>I45/$I$50</f>
        <v>0.37932734525853512</v>
      </c>
    </row>
    <row r="46" spans="1:11" ht="11.1" customHeight="1">
      <c r="A46" s="423"/>
      <c r="B46" s="423"/>
      <c r="C46" s="154" t="s">
        <v>5</v>
      </c>
      <c r="D46" s="313">
        <v>806</v>
      </c>
      <c r="E46" s="129">
        <v>10207.508</v>
      </c>
      <c r="F46" s="129">
        <v>111573.96114000001</v>
      </c>
      <c r="G46" s="307">
        <f t="shared" ref="G46:G48" si="14">E46/$E$50</f>
        <v>0.10539839685111241</v>
      </c>
      <c r="H46" s="307">
        <f>(E46-I46)/I46</f>
        <v>1.974308987858182E-2</v>
      </c>
      <c r="I46" s="313">
        <v>10009.882000000001</v>
      </c>
      <c r="J46" s="129">
        <v>109389.90279999997</v>
      </c>
      <c r="K46" s="307">
        <f t="shared" ref="K46:K49" si="15">I46/$I$50</f>
        <v>0.10199646421675271</v>
      </c>
    </row>
    <row r="47" spans="1:11" ht="11.1" customHeight="1">
      <c r="A47" s="423"/>
      <c r="B47" s="423"/>
      <c r="C47" s="154" t="s">
        <v>6</v>
      </c>
      <c r="D47" s="313">
        <v>23737</v>
      </c>
      <c r="E47" s="129">
        <v>14971.767</v>
      </c>
      <c r="F47" s="129">
        <v>163649.62426000001</v>
      </c>
      <c r="G47" s="307">
        <f t="shared" si="14"/>
        <v>0.15459211394479327</v>
      </c>
      <c r="H47" s="307">
        <f t="shared" ref="H47:H49" si="16">(E47-I47)/I47</f>
        <v>1.9639188397616639E-2</v>
      </c>
      <c r="I47" s="313">
        <v>14683.397000000001</v>
      </c>
      <c r="J47" s="129">
        <v>160462.25191000002</v>
      </c>
      <c r="K47" s="307">
        <f t="shared" si="15"/>
        <v>0.14961760555128162</v>
      </c>
    </row>
    <row r="48" spans="1:11" ht="11.1" customHeight="1">
      <c r="A48" s="423"/>
      <c r="B48" s="423"/>
      <c r="C48" s="154" t="s">
        <v>7</v>
      </c>
      <c r="D48" s="313">
        <v>349214</v>
      </c>
      <c r="E48" s="129">
        <v>36411</v>
      </c>
      <c r="F48" s="129">
        <v>397993.2</v>
      </c>
      <c r="G48" s="307">
        <f t="shared" si="14"/>
        <v>0.37596453784271872</v>
      </c>
      <c r="H48" s="307">
        <f t="shared" si="16"/>
        <v>3.5972082727539226E-2</v>
      </c>
      <c r="I48" s="313">
        <v>35146.699999999997</v>
      </c>
      <c r="J48" s="129">
        <v>384089.3</v>
      </c>
      <c r="K48" s="307">
        <f t="shared" si="15"/>
        <v>0.35813000881398421</v>
      </c>
    </row>
    <row r="49" spans="1:11" ht="11.1" customHeight="1">
      <c r="A49" s="423"/>
      <c r="B49" s="423"/>
      <c r="C49" s="154" t="s">
        <v>93</v>
      </c>
      <c r="D49" s="313">
        <v>29</v>
      </c>
      <c r="E49" s="129">
        <v>1142.08</v>
      </c>
      <c r="F49" s="129">
        <v>12483.583320000002</v>
      </c>
      <c r="G49" s="307">
        <f>E49/$E$50</f>
        <v>1.1792633527763923E-2</v>
      </c>
      <c r="H49" s="307">
        <f t="shared" si="16"/>
        <v>6.4851635160019419E-2</v>
      </c>
      <c r="I49" s="313">
        <v>1072.5250000000001</v>
      </c>
      <c r="J49" s="129">
        <v>11720.731669999997</v>
      </c>
      <c r="K49" s="307">
        <f t="shared" si="15"/>
        <v>1.0928576159446505E-2</v>
      </c>
    </row>
    <row r="50" spans="1:11" ht="11.1" customHeight="1">
      <c r="A50" s="424"/>
      <c r="B50" s="424"/>
      <c r="C50" s="318" t="s">
        <v>0</v>
      </c>
      <c r="D50" s="321">
        <v>373976</v>
      </c>
      <c r="E50" s="319">
        <v>96846.900000000009</v>
      </c>
      <c r="F50" s="319">
        <v>1058592.3069500001</v>
      </c>
      <c r="G50" s="320">
        <f>SUM(G45:G49)</f>
        <v>0.99999999999999989</v>
      </c>
      <c r="H50" s="320">
        <f t="shared" ref="H50" si="17">(E50-I50)/I50</f>
        <v>-1.3171047335680097E-2</v>
      </c>
      <c r="I50" s="321">
        <v>98139.499999999985</v>
      </c>
      <c r="J50" s="319">
        <v>1072485.5629</v>
      </c>
      <c r="K50" s="320">
        <f>SUM(K45:K49)</f>
        <v>1.0000000000000002</v>
      </c>
    </row>
    <row r="51" spans="1:11" ht="11.1" customHeight="1">
      <c r="A51" s="422" t="str">
        <f>'3.1'!F5</f>
        <v>Prosinec</v>
      </c>
      <c r="B51" s="422"/>
      <c r="C51" s="164" t="s">
        <v>4</v>
      </c>
      <c r="D51" s="312">
        <v>190</v>
      </c>
      <c r="E51" s="308">
        <v>40565.514999999999</v>
      </c>
      <c r="F51" s="308">
        <v>442386.70958999993</v>
      </c>
      <c r="G51" s="309">
        <f>E51/$E$56</f>
        <v>0.32550218897743943</v>
      </c>
      <c r="H51" s="309">
        <f>(E51-I51)/I51</f>
        <v>4.4556832337225252E-2</v>
      </c>
      <c r="I51" s="312">
        <v>38835.144</v>
      </c>
      <c r="J51" s="308">
        <v>422793.63588000007</v>
      </c>
      <c r="K51" s="309">
        <f>I51/$I$56</f>
        <v>0.30067679319536916</v>
      </c>
    </row>
    <row r="52" spans="1:11" ht="11.1" customHeight="1">
      <c r="A52" s="423"/>
      <c r="B52" s="423"/>
      <c r="C52" s="154" t="s">
        <v>5</v>
      </c>
      <c r="D52" s="313">
        <v>806</v>
      </c>
      <c r="E52" s="129">
        <v>12652.121999999999</v>
      </c>
      <c r="F52" s="129">
        <v>137977.06840000016</v>
      </c>
      <c r="G52" s="307">
        <f t="shared" ref="G52:G55" si="18">E52/$E$56</f>
        <v>0.10152202939392285</v>
      </c>
      <c r="H52" s="307">
        <f t="shared" ref="H52:H55" si="19">(E52-I52)/I52</f>
        <v>-4.8807822314924781E-2</v>
      </c>
      <c r="I52" s="313">
        <v>13301.331</v>
      </c>
      <c r="J52" s="129">
        <v>144810.00812000007</v>
      </c>
      <c r="K52" s="307">
        <f t="shared" ref="K52:K55" si="20">I52/$I$56</f>
        <v>0.10298407932542114</v>
      </c>
    </row>
    <row r="53" spans="1:11" ht="11.1" customHeight="1">
      <c r="A53" s="423"/>
      <c r="B53" s="423"/>
      <c r="C53" s="154" t="s">
        <v>6</v>
      </c>
      <c r="D53" s="313">
        <v>23749</v>
      </c>
      <c r="E53" s="129">
        <v>20088.337000000003</v>
      </c>
      <c r="F53" s="129">
        <v>219072.7622</v>
      </c>
      <c r="G53" s="307">
        <f t="shared" si="18"/>
        <v>0.16119104284554231</v>
      </c>
      <c r="H53" s="307">
        <f t="shared" si="19"/>
        <v>-6.0971902084309901E-2</v>
      </c>
      <c r="I53" s="313">
        <v>21392.69</v>
      </c>
      <c r="J53" s="129">
        <v>232899.31064000001</v>
      </c>
      <c r="K53" s="307">
        <f t="shared" si="20"/>
        <v>0.16563052854967245</v>
      </c>
    </row>
    <row r="54" spans="1:11" ht="11.1" customHeight="1">
      <c r="A54" s="423"/>
      <c r="B54" s="423"/>
      <c r="C54" s="154" t="s">
        <v>7</v>
      </c>
      <c r="D54" s="313">
        <v>349079</v>
      </c>
      <c r="E54" s="129">
        <v>50225.1</v>
      </c>
      <c r="F54" s="129">
        <v>547729.30000000005</v>
      </c>
      <c r="G54" s="307">
        <f t="shared" si="18"/>
        <v>0.40301176976579228</v>
      </c>
      <c r="H54" s="307">
        <f t="shared" si="19"/>
        <v>-7.8460513785909763E-2</v>
      </c>
      <c r="I54" s="313">
        <v>54501.3</v>
      </c>
      <c r="J54" s="129">
        <v>593349.4</v>
      </c>
      <c r="K54" s="307">
        <f t="shared" si="20"/>
        <v>0.42197026767761625</v>
      </c>
    </row>
    <row r="55" spans="1:11" ht="11.1" customHeight="1">
      <c r="A55" s="423"/>
      <c r="B55" s="423"/>
      <c r="C55" s="154" t="s">
        <v>93</v>
      </c>
      <c r="D55" s="313">
        <v>29</v>
      </c>
      <c r="E55" s="129">
        <v>1093.326</v>
      </c>
      <c r="F55" s="129">
        <v>11923.243980000001</v>
      </c>
      <c r="G55" s="307">
        <f t="shared" si="18"/>
        <v>8.7729690173031939E-3</v>
      </c>
      <c r="H55" s="307">
        <f t="shared" si="19"/>
        <v>-3.1284693457140675E-2</v>
      </c>
      <c r="I55" s="313">
        <v>1128.635</v>
      </c>
      <c r="J55" s="129">
        <v>12287.32093</v>
      </c>
      <c r="K55" s="307">
        <f t="shared" si="20"/>
        <v>8.7383312519210814E-3</v>
      </c>
    </row>
    <row r="56" spans="1:11" ht="11.1" customHeight="1">
      <c r="A56" s="424"/>
      <c r="B56" s="424"/>
      <c r="C56" s="318" t="s">
        <v>0</v>
      </c>
      <c r="D56" s="321">
        <v>373853</v>
      </c>
      <c r="E56" s="319">
        <v>124624.4</v>
      </c>
      <c r="F56" s="319">
        <v>1359089.0841700002</v>
      </c>
      <c r="G56" s="320">
        <f>SUM(G51:G55)</f>
        <v>1.0000000000000002</v>
      </c>
      <c r="H56" s="320">
        <f t="shared" ref="H56" si="21">(E56-I56)/I56</f>
        <v>-3.5109411570690703E-2</v>
      </c>
      <c r="I56" s="321">
        <v>129159.09999999999</v>
      </c>
      <c r="J56" s="319">
        <v>1406139.67557</v>
      </c>
      <c r="K56" s="320">
        <f>SUM(K51:K55)</f>
        <v>1</v>
      </c>
    </row>
    <row r="57" spans="1:11" ht="11.1" customHeight="1">
      <c r="A57" s="491" t="str">
        <f>'3.1'!G5</f>
        <v>IV. čtvrtletí</v>
      </c>
      <c r="B57" s="422"/>
      <c r="C57" s="164" t="s">
        <v>4</v>
      </c>
      <c r="D57" s="312">
        <f>D51</f>
        <v>190</v>
      </c>
      <c r="E57" s="308">
        <f>E39+E45+E51</f>
        <v>99467.596000000005</v>
      </c>
      <c r="F57" s="308">
        <f>F39+F45+F51</f>
        <v>1087266.28046</v>
      </c>
      <c r="G57" s="309">
        <f>E57/$E$62</f>
        <v>0.36191249561561178</v>
      </c>
      <c r="H57" s="309">
        <f>(E57-I57)/I57</f>
        <v>-7.1126983568159455E-2</v>
      </c>
      <c r="I57" s="312">
        <f>I39+I45+I51</f>
        <v>107084.17</v>
      </c>
      <c r="J57" s="308">
        <f>J39+J45+J51</f>
        <v>1169608.8826000001</v>
      </c>
      <c r="K57" s="309">
        <f>I57/$I$62</f>
        <v>0.36628080069668628</v>
      </c>
    </row>
    <row r="58" spans="1:11" ht="11.1" customHeight="1">
      <c r="A58" s="423"/>
      <c r="B58" s="423"/>
      <c r="C58" s="154" t="s">
        <v>5</v>
      </c>
      <c r="D58" s="313">
        <f>D52</f>
        <v>806</v>
      </c>
      <c r="E58" s="129">
        <f t="shared" ref="E58:F58" si="22">E40+E46+E52</f>
        <v>29052.808999999997</v>
      </c>
      <c r="F58" s="129">
        <f t="shared" si="22"/>
        <v>317507.18046000018</v>
      </c>
      <c r="G58" s="307">
        <f t="shared" ref="G58:G61" si="23">E58/$E$62</f>
        <v>0.1057085426075212</v>
      </c>
      <c r="H58" s="307">
        <f t="shared" ref="H58:H61" si="24">(E58-I58)/I58</f>
        <v>-4.5106264795519019E-2</v>
      </c>
      <c r="I58" s="313">
        <f t="shared" ref="I58:J59" si="25">I40+I46+I52</f>
        <v>30425.175000000003</v>
      </c>
      <c r="J58" s="129">
        <f t="shared" si="25"/>
        <v>332166.83759999997</v>
      </c>
      <c r="K58" s="307">
        <f t="shared" ref="K58:K61" si="26">I58/$I$62</f>
        <v>0.1040691398209166</v>
      </c>
    </row>
    <row r="59" spans="1:11" ht="11.1" customHeight="1">
      <c r="A59" s="423"/>
      <c r="B59" s="423"/>
      <c r="C59" s="154" t="s">
        <v>6</v>
      </c>
      <c r="D59" s="313">
        <f>D53</f>
        <v>23749</v>
      </c>
      <c r="E59" s="129">
        <f>E41+E47+E53</f>
        <v>41436.191000000006</v>
      </c>
      <c r="F59" s="129">
        <f t="shared" ref="F59" si="27">F41+F47+F53</f>
        <v>452686.32552000001</v>
      </c>
      <c r="G59" s="307">
        <f t="shared" si="23"/>
        <v>0.15076543413812027</v>
      </c>
      <c r="H59" s="307">
        <f t="shared" si="24"/>
        <v>-5.4573811226621714E-2</v>
      </c>
      <c r="I59" s="313">
        <f>I41+I47+I53</f>
        <v>43828.055</v>
      </c>
      <c r="J59" s="129">
        <f t="shared" si="25"/>
        <v>478321.35851000005</v>
      </c>
      <c r="K59" s="307">
        <f t="shared" si="26"/>
        <v>0.14991361541466311</v>
      </c>
    </row>
    <row r="60" spans="1:11" ht="11.1" customHeight="1">
      <c r="A60" s="423"/>
      <c r="B60" s="423"/>
      <c r="C60" s="154" t="s">
        <v>7</v>
      </c>
      <c r="D60" s="313">
        <f>D54</f>
        <v>349079</v>
      </c>
      <c r="E60" s="129">
        <f t="shared" ref="E60:F60" si="28">E42+E48+E54</f>
        <v>101503.79999999999</v>
      </c>
      <c r="F60" s="129">
        <f t="shared" si="28"/>
        <v>1108862.3999999999</v>
      </c>
      <c r="G60" s="307">
        <f t="shared" si="23"/>
        <v>0.36932121665499917</v>
      </c>
      <c r="H60" s="307">
        <f t="shared" si="24"/>
        <v>-5.869882735884499E-2</v>
      </c>
      <c r="I60" s="313">
        <f t="shared" ref="I60:J61" si="29">I42+I48+I54</f>
        <v>107833.5</v>
      </c>
      <c r="J60" s="129">
        <f t="shared" si="29"/>
        <v>1176746.3999999999</v>
      </c>
      <c r="K60" s="307">
        <f t="shared" si="26"/>
        <v>0.36884387974362709</v>
      </c>
    </row>
    <row r="61" spans="1:11" ht="11.1" customHeight="1">
      <c r="A61" s="423"/>
      <c r="B61" s="423"/>
      <c r="C61" s="154" t="s">
        <v>93</v>
      </c>
      <c r="D61" s="313">
        <f>D55</f>
        <v>29</v>
      </c>
      <c r="E61" s="129">
        <f>E43+E49+E55</f>
        <v>3378.404</v>
      </c>
      <c r="F61" s="129">
        <f t="shared" ref="F61" si="30">F43+F49+F55</f>
        <v>36948.680630000003</v>
      </c>
      <c r="G61" s="307">
        <f t="shared" si="23"/>
        <v>1.2292310983747565E-2</v>
      </c>
      <c r="H61" s="307">
        <f t="shared" si="24"/>
        <v>6.0889935625686918E-2</v>
      </c>
      <c r="I61" s="313">
        <f>I43+I49+I55</f>
        <v>3184.5</v>
      </c>
      <c r="J61" s="129">
        <f t="shared" si="29"/>
        <v>34785.172050000001</v>
      </c>
      <c r="K61" s="307">
        <f t="shared" si="26"/>
        <v>1.0892564324106891E-2</v>
      </c>
    </row>
    <row r="62" spans="1:11" ht="11.1" customHeight="1">
      <c r="A62" s="424"/>
      <c r="B62" s="424"/>
      <c r="C62" s="318" t="s">
        <v>0</v>
      </c>
      <c r="D62" s="321">
        <f>SUM(D57:D61)</f>
        <v>373853</v>
      </c>
      <c r="E62" s="319">
        <f>SUM(E57:E61)</f>
        <v>274838.8</v>
      </c>
      <c r="F62" s="319">
        <f>SUM(F57:F61)</f>
        <v>3003270.8670700002</v>
      </c>
      <c r="G62" s="320">
        <f>SUM(G57:G61)</f>
        <v>1</v>
      </c>
      <c r="H62" s="320">
        <f>(E62-I62)/I62</f>
        <v>-5.9915431697174171E-2</v>
      </c>
      <c r="I62" s="321">
        <f>SUM(I57:I61)</f>
        <v>292355.40000000002</v>
      </c>
      <c r="J62" s="319">
        <f>SUM(J57:J61)</f>
        <v>3191628.6507600001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D34:D35"/>
    <mergeCell ref="I34:K35"/>
    <mergeCell ref="H36:H38"/>
    <mergeCell ref="G36:G38"/>
    <mergeCell ref="K36:K38"/>
    <mergeCell ref="A45:B50"/>
    <mergeCell ref="E36:F37"/>
    <mergeCell ref="I36:J37"/>
    <mergeCell ref="A51:B56"/>
    <mergeCell ref="A57:B62"/>
    <mergeCell ref="A39:B44"/>
    <mergeCell ref="A38:B38"/>
    <mergeCell ref="A9:B14"/>
    <mergeCell ref="A15:B20"/>
    <mergeCell ref="A21:B26"/>
    <mergeCell ref="A27:B32"/>
    <mergeCell ref="A34:C34"/>
    <mergeCell ref="A2:K2"/>
    <mergeCell ref="A8:B8"/>
    <mergeCell ref="H6:H8"/>
    <mergeCell ref="A3:C3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20"/>
  <sheetViews>
    <sheetView showGridLines="0" topLeftCell="A7" zoomScaleNormal="100" zoomScaleSheetLayoutView="100" workbookViewId="0">
      <selection activeCell="D1" sqref="D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495" t="s">
        <v>302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15"/>
      <c r="B3" s="515"/>
      <c r="C3" s="515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487" t="s">
        <v>37</v>
      </c>
      <c r="B4" s="487"/>
      <c r="C4" s="487"/>
      <c r="D4" s="481">
        <f>'3.1'!A4</f>
        <v>2023</v>
      </c>
      <c r="E4" s="353"/>
      <c r="F4" s="342"/>
      <c r="G4" s="342"/>
      <c r="H4" s="342"/>
      <c r="I4" s="481">
        <f>D4-1</f>
        <v>2022</v>
      </c>
      <c r="J4" s="482"/>
      <c r="K4" s="482"/>
    </row>
    <row r="5" spans="1:16" ht="24.95" customHeight="1">
      <c r="A5" s="354"/>
      <c r="B5" s="354"/>
      <c r="C5" s="354"/>
      <c r="D5" s="483"/>
      <c r="E5" s="355"/>
      <c r="F5" s="356"/>
      <c r="G5" s="356"/>
      <c r="H5" s="357"/>
      <c r="I5" s="483"/>
      <c r="J5" s="484"/>
      <c r="K5" s="484"/>
    </row>
    <row r="6" spans="1:16" ht="24.95" customHeight="1">
      <c r="A6" s="304"/>
      <c r="B6" s="272"/>
      <c r="C6" s="305"/>
      <c r="D6" s="364" t="s">
        <v>159</v>
      </c>
      <c r="E6" s="479" t="s">
        <v>60</v>
      </c>
      <c r="F6" s="479"/>
      <c r="G6" s="480" t="s">
        <v>33</v>
      </c>
      <c r="H6" s="480" t="s">
        <v>268</v>
      </c>
      <c r="I6" s="478" t="s">
        <v>60</v>
      </c>
      <c r="J6" s="479"/>
      <c r="K6" s="480" t="s">
        <v>33</v>
      </c>
    </row>
    <row r="7" spans="1:16" ht="24.95" customHeight="1">
      <c r="A7" s="304"/>
      <c r="B7" s="306"/>
      <c r="D7" s="365"/>
      <c r="E7" s="479"/>
      <c r="F7" s="479"/>
      <c r="G7" s="480"/>
      <c r="H7" s="480"/>
      <c r="I7" s="478"/>
      <c r="J7" s="479"/>
      <c r="K7" s="480"/>
    </row>
    <row r="8" spans="1:16" ht="15" customHeight="1">
      <c r="A8" s="488" t="s">
        <v>158</v>
      </c>
      <c r="B8" s="488"/>
      <c r="C8" s="323" t="s">
        <v>184</v>
      </c>
      <c r="D8" s="343"/>
      <c r="E8" s="219" t="s">
        <v>259</v>
      </c>
      <c r="F8" s="219" t="s">
        <v>260</v>
      </c>
      <c r="G8" s="467"/>
      <c r="H8" s="467"/>
      <c r="I8" s="221" t="s">
        <v>259</v>
      </c>
      <c r="J8" s="219" t="s">
        <v>260</v>
      </c>
      <c r="K8" s="467"/>
    </row>
    <row r="9" spans="1:16" ht="11.1" customHeight="1">
      <c r="A9" s="422" t="str">
        <f>'3.1'!D5</f>
        <v>Říjen</v>
      </c>
      <c r="B9" s="422"/>
      <c r="C9" s="164" t="s">
        <v>4</v>
      </c>
      <c r="D9" s="312">
        <v>55</v>
      </c>
      <c r="E9" s="308">
        <v>7292.1900000000005</v>
      </c>
      <c r="F9" s="308">
        <v>80015.964910000024</v>
      </c>
      <c r="G9" s="309">
        <f>E9/$E$14</f>
        <v>0.59754416729489657</v>
      </c>
      <c r="H9" s="309">
        <f>(E9-I9)/I9</f>
        <v>1.0615342271197694E-2</v>
      </c>
      <c r="I9" s="312">
        <v>7215.5940000000001</v>
      </c>
      <c r="J9" s="308">
        <v>79080.944980000058</v>
      </c>
      <c r="K9" s="309">
        <f>I9/$I$14</f>
        <v>0.55940474621473479</v>
      </c>
    </row>
    <row r="10" spans="1:16" ht="11.1" customHeight="1">
      <c r="A10" s="423"/>
      <c r="B10" s="423"/>
      <c r="C10" s="154" t="s">
        <v>5</v>
      </c>
      <c r="D10" s="313">
        <v>159</v>
      </c>
      <c r="E10" s="129">
        <v>1170.1009999999999</v>
      </c>
      <c r="F10" s="129">
        <v>12839.046509999998</v>
      </c>
      <c r="G10" s="307">
        <f>E10/$E$14</f>
        <v>9.5881625094234466E-2</v>
      </c>
      <c r="H10" s="307">
        <f>(E10-I10)/I10</f>
        <v>-3.6667684801821969E-2</v>
      </c>
      <c r="I10" s="313">
        <v>1214.6390000000001</v>
      </c>
      <c r="J10" s="129">
        <v>13311.664180000007</v>
      </c>
      <c r="K10" s="307">
        <f>I10/$I$14</f>
        <v>9.4167551768782901E-2</v>
      </c>
      <c r="L10" s="93"/>
      <c r="N10" s="93"/>
      <c r="O10" s="93"/>
      <c r="P10" s="93"/>
    </row>
    <row r="11" spans="1:16" ht="11.1" customHeight="1">
      <c r="A11" s="423"/>
      <c r="B11" s="423"/>
      <c r="C11" s="154" t="s">
        <v>6</v>
      </c>
      <c r="D11" s="313">
        <v>5796</v>
      </c>
      <c r="E11" s="129">
        <v>1586.3589999999999</v>
      </c>
      <c r="F11" s="129">
        <v>17407.313130000002</v>
      </c>
      <c r="G11" s="307">
        <f>E11/$E$14</f>
        <v>0.12999106820938081</v>
      </c>
      <c r="H11" s="307">
        <f t="shared" ref="H11:H13" si="0">(E11-I11)/I11</f>
        <v>-0.17894570674395735</v>
      </c>
      <c r="I11" s="313">
        <v>1932.1</v>
      </c>
      <c r="J11" s="129">
        <v>21175.4</v>
      </c>
      <c r="K11" s="307">
        <f>I11/$I$14</f>
        <v>0.14979028894384705</v>
      </c>
      <c r="L11" s="93"/>
      <c r="N11" s="93"/>
      <c r="O11" s="93"/>
      <c r="P11" s="93"/>
    </row>
    <row r="12" spans="1:16" ht="11.1" customHeight="1">
      <c r="A12" s="423"/>
      <c r="B12" s="423"/>
      <c r="C12" s="154" t="s">
        <v>7</v>
      </c>
      <c r="D12" s="313">
        <v>76240</v>
      </c>
      <c r="E12" s="129">
        <v>1967.1</v>
      </c>
      <c r="F12" s="129">
        <v>21585.1</v>
      </c>
      <c r="G12" s="307">
        <f>E12/$E$14</f>
        <v>0.16119014061424494</v>
      </c>
      <c r="H12" s="307">
        <f t="shared" si="0"/>
        <v>-0.18245293213083413</v>
      </c>
      <c r="I12" s="313">
        <v>2406.1</v>
      </c>
      <c r="J12" s="129">
        <v>26370.400000000001</v>
      </c>
      <c r="K12" s="307">
        <f>I12/$I$14</f>
        <v>0.18653817826602678</v>
      </c>
      <c r="L12" s="93"/>
      <c r="N12" s="93"/>
      <c r="O12" s="93"/>
      <c r="P12" s="93"/>
    </row>
    <row r="13" spans="1:16" ht="11.1" customHeight="1">
      <c r="A13" s="423"/>
      <c r="B13" s="423"/>
      <c r="C13" s="154" t="s">
        <v>93</v>
      </c>
      <c r="D13" s="313">
        <v>8</v>
      </c>
      <c r="E13" s="129">
        <v>187.85</v>
      </c>
      <c r="F13" s="129">
        <v>2061.2318799999998</v>
      </c>
      <c r="G13" s="307">
        <f>E13/$E$14</f>
        <v>1.5392998787243106E-2</v>
      </c>
      <c r="H13" s="307">
        <f t="shared" si="0"/>
        <v>0.44203827523471023</v>
      </c>
      <c r="I13" s="313">
        <v>130.267</v>
      </c>
      <c r="J13" s="129">
        <v>1427.6971799999999</v>
      </c>
      <c r="K13" s="307">
        <f>I13/$I$14</f>
        <v>1.0099234806608418E-2</v>
      </c>
      <c r="L13" s="93"/>
      <c r="N13" s="93"/>
      <c r="O13" s="93"/>
      <c r="P13" s="93"/>
    </row>
    <row r="14" spans="1:16" ht="11.1" customHeight="1">
      <c r="A14" s="424"/>
      <c r="B14" s="424"/>
      <c r="C14" s="318" t="s">
        <v>0</v>
      </c>
      <c r="D14" s="321">
        <v>82258</v>
      </c>
      <c r="E14" s="319">
        <v>12203.600000000002</v>
      </c>
      <c r="F14" s="319">
        <v>133908.65643000003</v>
      </c>
      <c r="G14" s="320">
        <f>SUM(G9:G13)</f>
        <v>0.99999999999999989</v>
      </c>
      <c r="H14" s="320">
        <f>(E14-I14)/I14</f>
        <v>-5.3889151619930575E-2</v>
      </c>
      <c r="I14" s="321">
        <v>12898.7</v>
      </c>
      <c r="J14" s="319">
        <v>141366.10634000006</v>
      </c>
      <c r="K14" s="320">
        <f>SUM(K9:K13)</f>
        <v>1</v>
      </c>
      <c r="L14" s="93"/>
    </row>
    <row r="15" spans="1:16" ht="11.1" customHeight="1">
      <c r="A15" s="422" t="str">
        <f>'3.1'!E5</f>
        <v>Listopad</v>
      </c>
      <c r="B15" s="422"/>
      <c r="C15" s="164" t="s">
        <v>4</v>
      </c>
      <c r="D15" s="312">
        <v>55</v>
      </c>
      <c r="E15" s="308">
        <v>12171.57</v>
      </c>
      <c r="F15" s="308">
        <v>133042.06815000004</v>
      </c>
      <c r="G15" s="309">
        <f>E15/$E$20</f>
        <v>0.5345253570362043</v>
      </c>
      <c r="H15" s="309">
        <f>(E15-I15)/I15</f>
        <v>0.33845487454181405</v>
      </c>
      <c r="I15" s="312">
        <v>9093.7470000000012</v>
      </c>
      <c r="J15" s="308">
        <v>99377.498700000011</v>
      </c>
      <c r="K15" s="309">
        <f>I15/$I$20</f>
        <v>0.47112001616379323</v>
      </c>
      <c r="L15" s="93"/>
      <c r="M15" s="93"/>
    </row>
    <row r="16" spans="1:16" ht="11.1" customHeight="1">
      <c r="A16" s="423"/>
      <c r="B16" s="423"/>
      <c r="C16" s="154" t="s">
        <v>5</v>
      </c>
      <c r="D16" s="313">
        <v>159</v>
      </c>
      <c r="E16" s="129">
        <v>1860.2070000000001</v>
      </c>
      <c r="F16" s="129">
        <v>20333.531370000008</v>
      </c>
      <c r="G16" s="307">
        <f>E16/$E$20</f>
        <v>8.1692650236267511E-2</v>
      </c>
      <c r="H16" s="307">
        <f>(E16-I16)/I16</f>
        <v>6.1004990731498704E-2</v>
      </c>
      <c r="I16" s="313">
        <v>1753.25</v>
      </c>
      <c r="J16" s="129">
        <v>19159.480170000003</v>
      </c>
      <c r="K16" s="307">
        <f>I16/$I$20</f>
        <v>9.083067390583556E-2</v>
      </c>
      <c r="L16" s="97"/>
      <c r="M16" s="93"/>
    </row>
    <row r="17" spans="1:20" ht="11.1" customHeight="1">
      <c r="A17" s="423"/>
      <c r="B17" s="423"/>
      <c r="C17" s="154" t="s">
        <v>6</v>
      </c>
      <c r="D17" s="313">
        <v>5800</v>
      </c>
      <c r="E17" s="129">
        <v>3726.0230000000001</v>
      </c>
      <c r="F17" s="129">
        <v>40727.934359999999</v>
      </c>
      <c r="G17" s="307">
        <f>E17/$E$20</f>
        <v>0.1636316247123509</v>
      </c>
      <c r="H17" s="307">
        <f t="shared" ref="H17:H20" si="1">(E17-I17)/I17</f>
        <v>1.8539992345962583E-2</v>
      </c>
      <c r="I17" s="313">
        <v>3658.2</v>
      </c>
      <c r="J17" s="129">
        <v>39976.9</v>
      </c>
      <c r="K17" s="307">
        <f>I17/$I$20</f>
        <v>0.18952047413793105</v>
      </c>
      <c r="L17" s="93"/>
      <c r="M17" s="93"/>
      <c r="N17" s="93"/>
      <c r="O17" s="93"/>
    </row>
    <row r="18" spans="1:20" ht="11.1" customHeight="1">
      <c r="A18" s="423"/>
      <c r="B18" s="423"/>
      <c r="C18" s="154" t="s">
        <v>7</v>
      </c>
      <c r="D18" s="313">
        <v>76195</v>
      </c>
      <c r="E18" s="129">
        <v>4817.5</v>
      </c>
      <c r="F18" s="129">
        <v>52658.5</v>
      </c>
      <c r="G18" s="307">
        <f>E18/$E$20</f>
        <v>0.2115648110738314</v>
      </c>
      <c r="H18" s="307">
        <f t="shared" si="1"/>
        <v>3.5954669591209132E-2</v>
      </c>
      <c r="I18" s="313">
        <v>4650.3</v>
      </c>
      <c r="J18" s="129">
        <v>50818.9</v>
      </c>
      <c r="K18" s="307">
        <f>I18/$I$20</f>
        <v>0.24091822778514593</v>
      </c>
      <c r="L18" s="93"/>
      <c r="M18" s="93"/>
      <c r="N18" s="93"/>
      <c r="O18" s="93"/>
    </row>
    <row r="19" spans="1:20" ht="11.1" customHeight="1">
      <c r="A19" s="423"/>
      <c r="B19" s="423"/>
      <c r="C19" s="154" t="s">
        <v>93</v>
      </c>
      <c r="D19" s="313">
        <v>9</v>
      </c>
      <c r="E19" s="129">
        <v>195.5</v>
      </c>
      <c r="F19" s="129">
        <v>2136.92038</v>
      </c>
      <c r="G19" s="307">
        <f>E19/$E$20</f>
        <v>8.5855569413459346E-3</v>
      </c>
      <c r="H19" s="307">
        <f t="shared" si="1"/>
        <v>0.33081012640994406</v>
      </c>
      <c r="I19" s="313">
        <v>146.90299999999999</v>
      </c>
      <c r="J19" s="129">
        <v>1605.3746799999999</v>
      </c>
      <c r="K19" s="307">
        <f>I19/$I$20</f>
        <v>7.6106080072944303E-3</v>
      </c>
      <c r="L19" s="93"/>
      <c r="M19" s="93"/>
      <c r="N19" s="93"/>
      <c r="O19" s="93"/>
    </row>
    <row r="20" spans="1:20" ht="11.1" customHeight="1">
      <c r="A20" s="424"/>
      <c r="B20" s="424"/>
      <c r="C20" s="318" t="s">
        <v>0</v>
      </c>
      <c r="D20" s="321">
        <v>82218</v>
      </c>
      <c r="E20" s="319">
        <v>22770.799999999999</v>
      </c>
      <c r="F20" s="319">
        <v>248898.95426000006</v>
      </c>
      <c r="G20" s="320">
        <f>SUM(G15:G19)</f>
        <v>1</v>
      </c>
      <c r="H20" s="320">
        <f t="shared" si="1"/>
        <v>0.17968750000000008</v>
      </c>
      <c r="I20" s="321">
        <v>19302.399999999998</v>
      </c>
      <c r="J20" s="319">
        <v>210938.15355000002</v>
      </c>
      <c r="K20" s="320">
        <f>SUM(K15:K19)</f>
        <v>1.0000000000000002</v>
      </c>
      <c r="L20" s="93"/>
      <c r="M20" s="93"/>
      <c r="N20" s="93"/>
      <c r="O20" s="93"/>
    </row>
    <row r="21" spans="1:20" ht="11.1" customHeight="1">
      <c r="A21" s="422" t="str">
        <f>'3.1'!F5</f>
        <v>Prosinec</v>
      </c>
      <c r="B21" s="422"/>
      <c r="C21" s="164" t="s">
        <v>4</v>
      </c>
      <c r="D21" s="312">
        <v>54</v>
      </c>
      <c r="E21" s="308">
        <v>9249.5709999999999</v>
      </c>
      <c r="F21" s="308">
        <v>100870.50845000001</v>
      </c>
      <c r="G21" s="309">
        <f>E21/$E$26</f>
        <v>0.39747371180315327</v>
      </c>
      <c r="H21" s="309">
        <f>(E21-I21)/I21</f>
        <v>-7.0398891743482891E-2</v>
      </c>
      <c r="I21" s="312">
        <v>9950.0429999999997</v>
      </c>
      <c r="J21" s="308">
        <v>108325.22898</v>
      </c>
      <c r="K21" s="309">
        <f>I21/$I$26</f>
        <v>0.39873858891231001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3"/>
      <c r="B22" s="423"/>
      <c r="C22" s="154" t="s">
        <v>5</v>
      </c>
      <c r="D22" s="313">
        <v>159</v>
      </c>
      <c r="E22" s="129">
        <v>2171.7620000000002</v>
      </c>
      <c r="F22" s="129">
        <v>23684.438059999993</v>
      </c>
      <c r="G22" s="307">
        <f>E22/$E$26</f>
        <v>9.3325225925941849E-2</v>
      </c>
      <c r="H22" s="307">
        <f t="shared" ref="H22:H26" si="2">(E22-I22)/I22</f>
        <v>-5.6611674537061292E-2</v>
      </c>
      <c r="I22" s="313">
        <v>2302.087</v>
      </c>
      <c r="J22" s="129">
        <v>25062.659850000029</v>
      </c>
      <c r="K22" s="307">
        <f>I22/$I$26</f>
        <v>9.2253965327926027E-2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3"/>
      <c r="B23" s="423"/>
      <c r="C23" s="154" t="s">
        <v>6</v>
      </c>
      <c r="D23" s="313">
        <v>5803</v>
      </c>
      <c r="E23" s="129">
        <v>5003.7069999999994</v>
      </c>
      <c r="F23" s="129">
        <v>54568.134859999998</v>
      </c>
      <c r="G23" s="307">
        <f>E23/$E$26</f>
        <v>0.21501991757946617</v>
      </c>
      <c r="H23" s="307">
        <f t="shared" si="2"/>
        <v>-6.2449503466366983E-2</v>
      </c>
      <c r="I23" s="313">
        <v>5337</v>
      </c>
      <c r="J23" s="129">
        <v>58103.8</v>
      </c>
      <c r="K23" s="307">
        <f>I23/$I$26</f>
        <v>0.2138752414461926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3"/>
      <c r="B24" s="423"/>
      <c r="C24" s="154" t="s">
        <v>7</v>
      </c>
      <c r="D24" s="313">
        <v>76163</v>
      </c>
      <c r="E24" s="129">
        <v>6645.3</v>
      </c>
      <c r="F24" s="129">
        <v>72470.100000000006</v>
      </c>
      <c r="G24" s="307">
        <f>E24/$E$26</f>
        <v>0.28556265550537363</v>
      </c>
      <c r="H24" s="307">
        <f t="shared" si="2"/>
        <v>-7.8462370512127164E-2</v>
      </c>
      <c r="I24" s="313">
        <v>7211.1</v>
      </c>
      <c r="J24" s="129">
        <v>78506.100000000006</v>
      </c>
      <c r="K24" s="307">
        <f>I24/$I$26</f>
        <v>0.28897803140203104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3"/>
      <c r="B25" s="423"/>
      <c r="C25" s="154" t="s">
        <v>93</v>
      </c>
      <c r="D25" s="313">
        <v>10</v>
      </c>
      <c r="E25" s="129">
        <v>200.56</v>
      </c>
      <c r="F25" s="129">
        <v>2187.2048799999998</v>
      </c>
      <c r="G25" s="307">
        <f>E25/$E$26</f>
        <v>8.6184891860649985E-3</v>
      </c>
      <c r="H25" s="307">
        <f t="shared" si="2"/>
        <v>0.3059842417138765</v>
      </c>
      <c r="I25" s="313">
        <v>153.57</v>
      </c>
      <c r="J25" s="129">
        <v>1671.8920699999999</v>
      </c>
      <c r="K25" s="307">
        <f>I25/$I$26</f>
        <v>6.1541729115405274E-3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24"/>
      <c r="B26" s="424"/>
      <c r="C26" s="318" t="s">
        <v>0</v>
      </c>
      <c r="D26" s="321">
        <v>82189</v>
      </c>
      <c r="E26" s="319">
        <v>23270.9</v>
      </c>
      <c r="F26" s="319">
        <v>253780.38625000001</v>
      </c>
      <c r="G26" s="320">
        <f>SUM(G21:G25)</f>
        <v>0.99999999999999989</v>
      </c>
      <c r="H26" s="320">
        <f t="shared" si="2"/>
        <v>-6.7440630284766032E-2</v>
      </c>
      <c r="I26" s="321">
        <v>24953.799999999996</v>
      </c>
      <c r="J26" s="319">
        <v>271669.68090000009</v>
      </c>
      <c r="K26" s="320">
        <f>SUM(K21:K25)</f>
        <v>1.0000000000000002</v>
      </c>
    </row>
    <row r="27" spans="1:20" ht="11.1" customHeight="1">
      <c r="A27" s="491" t="str">
        <f>'3.1'!G5</f>
        <v>IV. čtvrtletí</v>
      </c>
      <c r="B27" s="422"/>
      <c r="C27" s="164" t="s">
        <v>4</v>
      </c>
      <c r="D27" s="312">
        <f>D21</f>
        <v>54</v>
      </c>
      <c r="E27" s="308">
        <f>E9+E15+E21</f>
        <v>28713.331000000002</v>
      </c>
      <c r="F27" s="308">
        <f>F9+F15+F21</f>
        <v>313928.54151000007</v>
      </c>
      <c r="G27" s="309">
        <f>E27/$E$32</f>
        <v>0.49297249735171766</v>
      </c>
      <c r="H27" s="309">
        <f>(E27-I27)/I27</f>
        <v>9.3450288095105499E-2</v>
      </c>
      <c r="I27" s="312">
        <f>I9+I15+I21</f>
        <v>26259.383999999998</v>
      </c>
      <c r="J27" s="308">
        <f>J9+J15+J21</f>
        <v>286783.6726600001</v>
      </c>
      <c r="K27" s="309">
        <f>I27/$I$32</f>
        <v>0.45944239251577723</v>
      </c>
    </row>
    <row r="28" spans="1:20" ht="11.1" customHeight="1">
      <c r="A28" s="423"/>
      <c r="B28" s="423"/>
      <c r="C28" s="154" t="s">
        <v>5</v>
      </c>
      <c r="D28" s="313">
        <f>D22</f>
        <v>159</v>
      </c>
      <c r="E28" s="129">
        <f t="shared" ref="E28:F31" si="3">E10+E16+E22</f>
        <v>5202.07</v>
      </c>
      <c r="F28" s="129">
        <f t="shared" si="3"/>
        <v>56857.015939999997</v>
      </c>
      <c r="G28" s="307">
        <f>E28/$E$32</f>
        <v>8.9313129128015464E-2</v>
      </c>
      <c r="H28" s="307">
        <f t="shared" ref="H28:H31" si="4">(E28-I28)/I28</f>
        <v>-1.28854476756632E-2</v>
      </c>
      <c r="I28" s="313">
        <f t="shared" ref="I28:J28" si="5">I10+I16+I22</f>
        <v>5269.9760000000006</v>
      </c>
      <c r="J28" s="129">
        <f t="shared" si="5"/>
        <v>57533.804200000042</v>
      </c>
      <c r="K28" s="307">
        <f>I28/$I$32</f>
        <v>9.2205147765108506E-2</v>
      </c>
    </row>
    <row r="29" spans="1:20" ht="11.1" customHeight="1">
      <c r="A29" s="423"/>
      <c r="B29" s="423"/>
      <c r="C29" s="154" t="s">
        <v>6</v>
      </c>
      <c r="D29" s="313">
        <f>D23</f>
        <v>5803</v>
      </c>
      <c r="E29" s="129">
        <f t="shared" si="3"/>
        <v>10316.089</v>
      </c>
      <c r="F29" s="129">
        <f t="shared" si="3"/>
        <v>112703.38235</v>
      </c>
      <c r="G29" s="307">
        <f>E29/$E$32</f>
        <v>0.17711453112955036</v>
      </c>
      <c r="H29" s="307">
        <f t="shared" si="4"/>
        <v>-5.593431131203494E-2</v>
      </c>
      <c r="I29" s="313">
        <f t="shared" ref="I29:J29" si="6">I11+I17+I23</f>
        <v>10927.3</v>
      </c>
      <c r="J29" s="129">
        <f t="shared" si="6"/>
        <v>119256.1</v>
      </c>
      <c r="K29" s="307">
        <f>I29/$I$32</f>
        <v>0.19118745724338593</v>
      </c>
    </row>
    <row r="30" spans="1:20" ht="11.1" customHeight="1">
      <c r="A30" s="423"/>
      <c r="B30" s="423"/>
      <c r="C30" s="154" t="s">
        <v>7</v>
      </c>
      <c r="D30" s="313">
        <f>D24</f>
        <v>76163</v>
      </c>
      <c r="E30" s="129">
        <f t="shared" si="3"/>
        <v>13429.900000000001</v>
      </c>
      <c r="F30" s="129">
        <f t="shared" si="3"/>
        <v>146713.70000000001</v>
      </c>
      <c r="G30" s="307">
        <f>E30/$E$32</f>
        <v>0.23057482749681091</v>
      </c>
      <c r="H30" s="307">
        <f t="shared" si="4"/>
        <v>-5.8706851235324937E-2</v>
      </c>
      <c r="I30" s="313">
        <f t="shared" ref="I30:J30" si="7">I12+I18+I24</f>
        <v>14267.5</v>
      </c>
      <c r="J30" s="129">
        <f t="shared" si="7"/>
        <v>155695.40000000002</v>
      </c>
      <c r="K30" s="307">
        <f>I30/$I$32</f>
        <v>0.24962864076395899</v>
      </c>
    </row>
    <row r="31" spans="1:20" ht="11.1" customHeight="1">
      <c r="A31" s="423"/>
      <c r="B31" s="423"/>
      <c r="C31" s="154" t="s">
        <v>93</v>
      </c>
      <c r="D31" s="313">
        <f>D25</f>
        <v>10</v>
      </c>
      <c r="E31" s="129">
        <f>E13+E19+E25</f>
        <v>583.91000000000008</v>
      </c>
      <c r="F31" s="129">
        <f t="shared" si="3"/>
        <v>6385.3571400000001</v>
      </c>
      <c r="G31" s="307">
        <f>E31/$E$32</f>
        <v>1.0025014893905603E-2</v>
      </c>
      <c r="H31" s="307">
        <f t="shared" si="4"/>
        <v>0.35559734410549321</v>
      </c>
      <c r="I31" s="313">
        <f>I13+I19+I25</f>
        <v>430.73999999999995</v>
      </c>
      <c r="J31" s="129">
        <f t="shared" ref="J31" si="8">J13+J19+J25</f>
        <v>4704.9639299999999</v>
      </c>
      <c r="K31" s="307">
        <f>I31/$I$32</f>
        <v>7.5363617117692435E-3</v>
      </c>
    </row>
    <row r="32" spans="1:20" ht="11.1" customHeight="1">
      <c r="A32" s="424"/>
      <c r="B32" s="424"/>
      <c r="C32" s="318" t="s">
        <v>0</v>
      </c>
      <c r="D32" s="321">
        <f>SUM(D27:D31)</f>
        <v>82189</v>
      </c>
      <c r="E32" s="319">
        <f>SUM(E27:E31)</f>
        <v>58245.3</v>
      </c>
      <c r="F32" s="319">
        <f>SUM(F27:F31)</f>
        <v>636587.99693999998</v>
      </c>
      <c r="G32" s="320">
        <f>SUM(G27:G31)</f>
        <v>1</v>
      </c>
      <c r="H32" s="320">
        <f>(E32-I32)/I32</f>
        <v>1.9077979315859209E-2</v>
      </c>
      <c r="I32" s="321">
        <f>SUM(I27:I31)</f>
        <v>57154.9</v>
      </c>
      <c r="J32" s="319">
        <f>SUM(J27:J31)</f>
        <v>623973.94079000014</v>
      </c>
      <c r="K32" s="320">
        <f>SUM(K27:K31)</f>
        <v>0.99999999999999978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16" t="s">
        <v>38</v>
      </c>
      <c r="B34" s="516"/>
      <c r="C34" s="516"/>
      <c r="D34" s="481">
        <f>D4</f>
        <v>2023</v>
      </c>
      <c r="E34" s="353"/>
      <c r="F34" s="342"/>
      <c r="G34" s="342"/>
      <c r="H34" s="342"/>
      <c r="I34" s="481">
        <f>D34-1</f>
        <v>2022</v>
      </c>
      <c r="J34" s="482"/>
      <c r="K34" s="482"/>
    </row>
    <row r="35" spans="1:11" ht="24.95" customHeight="1">
      <c r="A35" s="304"/>
      <c r="B35" s="272"/>
      <c r="C35" s="150"/>
      <c r="D35" s="483"/>
      <c r="E35" s="355"/>
      <c r="F35" s="356"/>
      <c r="G35" s="356"/>
      <c r="H35" s="357"/>
      <c r="I35" s="483"/>
      <c r="J35" s="484"/>
      <c r="K35" s="484"/>
    </row>
    <row r="36" spans="1:11" ht="24.95" customHeight="1">
      <c r="A36" s="130"/>
      <c r="B36" s="131"/>
      <c r="C36" s="352"/>
      <c r="D36" s="364" t="s">
        <v>159</v>
      </c>
      <c r="E36" s="479" t="s">
        <v>60</v>
      </c>
      <c r="F36" s="479"/>
      <c r="G36" s="480" t="s">
        <v>33</v>
      </c>
      <c r="H36" s="480" t="s">
        <v>268</v>
      </c>
      <c r="I36" s="478" t="s">
        <v>60</v>
      </c>
      <c r="J36" s="479"/>
      <c r="K36" s="480" t="s">
        <v>33</v>
      </c>
    </row>
    <row r="37" spans="1:11" ht="24.95" customHeight="1">
      <c r="A37" s="130"/>
      <c r="B37" s="306"/>
      <c r="C37" s="306"/>
      <c r="D37" s="365"/>
      <c r="E37" s="479"/>
      <c r="F37" s="479"/>
      <c r="G37" s="480"/>
      <c r="H37" s="480"/>
      <c r="I37" s="478"/>
      <c r="J37" s="479"/>
      <c r="K37" s="480"/>
    </row>
    <row r="38" spans="1:11" ht="15" customHeight="1">
      <c r="A38" s="517" t="s">
        <v>158</v>
      </c>
      <c r="B38" s="517"/>
      <c r="C38" s="366" t="s">
        <v>184</v>
      </c>
      <c r="D38" s="343"/>
      <c r="E38" s="219" t="s">
        <v>259</v>
      </c>
      <c r="F38" s="219" t="s">
        <v>260</v>
      </c>
      <c r="G38" s="467"/>
      <c r="H38" s="467"/>
      <c r="I38" s="221" t="s">
        <v>259</v>
      </c>
      <c r="J38" s="219" t="s">
        <v>260</v>
      </c>
      <c r="K38" s="467"/>
    </row>
    <row r="39" spans="1:11" ht="11.1" customHeight="1">
      <c r="A39" s="422" t="str">
        <f>'3.1'!D5</f>
        <v>Říjen</v>
      </c>
      <c r="B39" s="422"/>
      <c r="C39" s="164" t="s">
        <v>4</v>
      </c>
      <c r="D39" s="312">
        <v>77</v>
      </c>
      <c r="E39" s="308">
        <v>10046.390000000001</v>
      </c>
      <c r="F39" s="308">
        <v>110236.62965999996</v>
      </c>
      <c r="G39" s="309">
        <f>E39/$E$44</f>
        <v>0.53374932925306684</v>
      </c>
      <c r="H39" s="309">
        <f>(E39-I39)/I39</f>
        <v>6.7857555500448738E-2</v>
      </c>
      <c r="I39" s="312">
        <v>9407.987000000001</v>
      </c>
      <c r="J39" s="308">
        <v>103109.13844000002</v>
      </c>
      <c r="K39" s="309">
        <f>I39/$I$44</f>
        <v>0.47881938895476966</v>
      </c>
    </row>
    <row r="40" spans="1:11" ht="11.1" customHeight="1">
      <c r="A40" s="423"/>
      <c r="B40" s="423"/>
      <c r="C40" s="154" t="s">
        <v>5</v>
      </c>
      <c r="D40" s="313">
        <v>240</v>
      </c>
      <c r="E40" s="129">
        <v>2005.6139999999998</v>
      </c>
      <c r="F40" s="129">
        <v>22007.149780000007</v>
      </c>
      <c r="G40" s="307">
        <f t="shared" ref="G40" si="9">E40/$E$44</f>
        <v>0.10655520313670484</v>
      </c>
      <c r="H40" s="307">
        <f>(E40-I40)/I40</f>
        <v>-1.6673195657428655E-2</v>
      </c>
      <c r="I40" s="313">
        <v>2039.6210000000001</v>
      </c>
      <c r="J40" s="129">
        <v>22353.821150000007</v>
      </c>
      <c r="K40" s="307">
        <f t="shared" ref="K40:K43" si="10">I40/$I$44</f>
        <v>0.10380648707521771</v>
      </c>
    </row>
    <row r="41" spans="1:11" ht="11.1" customHeight="1">
      <c r="A41" s="423"/>
      <c r="B41" s="423"/>
      <c r="C41" s="154" t="s">
        <v>6</v>
      </c>
      <c r="D41" s="313">
        <v>9778</v>
      </c>
      <c r="E41" s="129">
        <v>2517.8269999999998</v>
      </c>
      <c r="F41" s="129">
        <v>27627.01542</v>
      </c>
      <c r="G41" s="307">
        <f>E41/$E$44</f>
        <v>0.1337682961168401</v>
      </c>
      <c r="H41" s="307">
        <f t="shared" ref="H41:H43" si="11">(E41-I41)/I41</f>
        <v>-0.17778448309362388</v>
      </c>
      <c r="I41" s="313">
        <v>3062.2470000000003</v>
      </c>
      <c r="J41" s="129">
        <v>33561.620389999996</v>
      </c>
      <c r="K41" s="307">
        <f t="shared" si="10"/>
        <v>0.1558530254525837</v>
      </c>
    </row>
    <row r="42" spans="1:11" ht="11.1" customHeight="1">
      <c r="A42" s="423"/>
      <c r="B42" s="423"/>
      <c r="C42" s="154" t="s">
        <v>7</v>
      </c>
      <c r="D42" s="313">
        <v>105258</v>
      </c>
      <c r="E42" s="129">
        <v>4115.8</v>
      </c>
      <c r="F42" s="129">
        <v>45161.3</v>
      </c>
      <c r="G42" s="307">
        <f>E42/$E$44</f>
        <v>0.21866615663335509</v>
      </c>
      <c r="H42" s="307">
        <f t="shared" si="11"/>
        <v>-0.18243216399825188</v>
      </c>
      <c r="I42" s="313">
        <v>5034.2</v>
      </c>
      <c r="J42" s="129">
        <v>55173.4</v>
      </c>
      <c r="K42" s="307">
        <f t="shared" si="10"/>
        <v>0.2562155504547467</v>
      </c>
    </row>
    <row r="43" spans="1:11" ht="11.1" customHeight="1">
      <c r="A43" s="423"/>
      <c r="B43" s="423"/>
      <c r="C43" s="154" t="s">
        <v>93</v>
      </c>
      <c r="D43" s="313">
        <v>15</v>
      </c>
      <c r="E43" s="129">
        <v>136.66900000000001</v>
      </c>
      <c r="F43" s="129">
        <v>1499.6471099999999</v>
      </c>
      <c r="G43" s="307">
        <f>E43/$E$44</f>
        <v>7.2610148600330453E-3</v>
      </c>
      <c r="H43" s="307">
        <f t="shared" si="11"/>
        <v>0.31103650055158527</v>
      </c>
      <c r="I43" s="313">
        <v>104.245</v>
      </c>
      <c r="J43" s="129">
        <v>1142.5021399999998</v>
      </c>
      <c r="K43" s="307">
        <f t="shared" si="10"/>
        <v>5.3055480626822684E-3</v>
      </c>
    </row>
    <row r="44" spans="1:11" ht="11.1" customHeight="1">
      <c r="A44" s="424"/>
      <c r="B44" s="424"/>
      <c r="C44" s="318" t="s">
        <v>0</v>
      </c>
      <c r="D44" s="321">
        <v>115368</v>
      </c>
      <c r="E44" s="319">
        <v>18822.300000000003</v>
      </c>
      <c r="F44" s="319">
        <v>206531.74196999994</v>
      </c>
      <c r="G44" s="320">
        <f>SUM(G39:G43)</f>
        <v>1</v>
      </c>
      <c r="H44" s="320">
        <f>(E44-I44)/I44</f>
        <v>-4.2039260394028818E-2</v>
      </c>
      <c r="I44" s="321">
        <v>19648.3</v>
      </c>
      <c r="J44" s="319">
        <v>215340.48212000003</v>
      </c>
      <c r="K44" s="320">
        <f>SUM(K39:K43)</f>
        <v>1</v>
      </c>
    </row>
    <row r="45" spans="1:11" ht="11.1" customHeight="1">
      <c r="A45" s="422" t="str">
        <f>'3.1'!E5</f>
        <v>Listopad</v>
      </c>
      <c r="B45" s="422"/>
      <c r="C45" s="164" t="s">
        <v>4</v>
      </c>
      <c r="D45" s="312">
        <v>76</v>
      </c>
      <c r="E45" s="308">
        <v>12212.752</v>
      </c>
      <c r="F45" s="308">
        <v>133492.28450000001</v>
      </c>
      <c r="G45" s="309">
        <f>E45/$E$50</f>
        <v>0.3887950388070725</v>
      </c>
      <c r="H45" s="309">
        <f>(E45-I45)/I45</f>
        <v>4.1315387181849031E-2</v>
      </c>
      <c r="I45" s="312">
        <v>11728.197</v>
      </c>
      <c r="J45" s="308">
        <v>128168.08512999998</v>
      </c>
      <c r="K45" s="309">
        <f>I45/$I$50</f>
        <v>0.38682664335894984</v>
      </c>
    </row>
    <row r="46" spans="1:11" ht="11.1" customHeight="1">
      <c r="A46" s="423"/>
      <c r="B46" s="423"/>
      <c r="C46" s="154" t="s">
        <v>5</v>
      </c>
      <c r="D46" s="313">
        <v>241</v>
      </c>
      <c r="E46" s="129">
        <v>3064.7720000000004</v>
      </c>
      <c r="F46" s="129">
        <v>33500.029670000004</v>
      </c>
      <c r="G46" s="307">
        <f t="shared" ref="G46:G49" si="12">E46/$E$50</f>
        <v>9.7567538313627369E-2</v>
      </c>
      <c r="H46" s="307">
        <f>(E46-I46)/I46</f>
        <v>4.7048248771207092E-2</v>
      </c>
      <c r="I46" s="313">
        <v>2927.0589999999997</v>
      </c>
      <c r="J46" s="129">
        <v>31987.040420000005</v>
      </c>
      <c r="K46" s="307">
        <f t="shared" ref="K46:K49" si="13">I46/$I$50</f>
        <v>9.6542069329463367E-2</v>
      </c>
    </row>
    <row r="47" spans="1:11" ht="11.1" customHeight="1">
      <c r="A47" s="423"/>
      <c r="B47" s="423"/>
      <c r="C47" s="154" t="s">
        <v>6</v>
      </c>
      <c r="D47" s="313">
        <v>9785</v>
      </c>
      <c r="E47" s="129">
        <v>5912.9360000000006</v>
      </c>
      <c r="F47" s="129">
        <v>64632.011500000001</v>
      </c>
      <c r="G47" s="307">
        <f t="shared" si="12"/>
        <v>0.18823932407566585</v>
      </c>
      <c r="H47" s="307">
        <f t="shared" ref="H47:H49" si="14">(E47-I47)/I47</f>
        <v>1.9544498521101395E-2</v>
      </c>
      <c r="I47" s="313">
        <v>5799.5860000000002</v>
      </c>
      <c r="J47" s="129">
        <v>63378.925770000002</v>
      </c>
      <c r="K47" s="307">
        <f t="shared" si="13"/>
        <v>0.19128553052541311</v>
      </c>
    </row>
    <row r="48" spans="1:11" ht="11.1" customHeight="1">
      <c r="A48" s="423"/>
      <c r="B48" s="423"/>
      <c r="C48" s="154" t="s">
        <v>7</v>
      </c>
      <c r="D48" s="313">
        <v>105195</v>
      </c>
      <c r="E48" s="129">
        <v>10079.5</v>
      </c>
      <c r="F48" s="129">
        <v>110174.6</v>
      </c>
      <c r="G48" s="307">
        <f t="shared" si="12"/>
        <v>0.32088259825925286</v>
      </c>
      <c r="H48" s="307">
        <f t="shared" si="14"/>
        <v>3.5973071586412456E-2</v>
      </c>
      <c r="I48" s="313">
        <v>9729.5</v>
      </c>
      <c r="J48" s="129">
        <v>106325.7</v>
      </c>
      <c r="K48" s="307">
        <f t="shared" si="13"/>
        <v>0.32090438338995347</v>
      </c>
    </row>
    <row r="49" spans="1:11" ht="11.1" customHeight="1">
      <c r="A49" s="423"/>
      <c r="B49" s="423"/>
      <c r="C49" s="154" t="s">
        <v>93</v>
      </c>
      <c r="D49" s="313">
        <v>15</v>
      </c>
      <c r="E49" s="129">
        <v>141.84</v>
      </c>
      <c r="F49" s="129">
        <v>1550.3910900000001</v>
      </c>
      <c r="G49" s="307">
        <f t="shared" si="12"/>
        <v>4.5155005443814102E-3</v>
      </c>
      <c r="H49" s="307">
        <f t="shared" si="14"/>
        <v>5.3335115626253302E-2</v>
      </c>
      <c r="I49" s="313">
        <v>134.65799999999999</v>
      </c>
      <c r="J49" s="129">
        <v>1471.5644799999998</v>
      </c>
      <c r="K49" s="307">
        <f t="shared" si="13"/>
        <v>4.4413733962201914E-3</v>
      </c>
    </row>
    <row r="50" spans="1:11" ht="11.1" customHeight="1">
      <c r="A50" s="424"/>
      <c r="B50" s="424"/>
      <c r="C50" s="318" t="s">
        <v>0</v>
      </c>
      <c r="D50" s="321">
        <v>115312</v>
      </c>
      <c r="E50" s="319">
        <v>31411.800000000003</v>
      </c>
      <c r="F50" s="319">
        <v>343349.31676000002</v>
      </c>
      <c r="G50" s="320">
        <f>SUM(G45:G49)</f>
        <v>1</v>
      </c>
      <c r="H50" s="320">
        <f t="shared" ref="H50" si="15">(E50-I50)/I50</f>
        <v>3.6043405125498959E-2</v>
      </c>
      <c r="I50" s="321">
        <v>30319</v>
      </c>
      <c r="J50" s="319">
        <v>331331.31579999998</v>
      </c>
      <c r="K50" s="320">
        <f>SUM(K45:K49)</f>
        <v>0.99999999999999989</v>
      </c>
    </row>
    <row r="51" spans="1:11" ht="11.1" customHeight="1">
      <c r="A51" s="422" t="str">
        <f>'3.1'!F5</f>
        <v>Prosinec</v>
      </c>
      <c r="B51" s="422"/>
      <c r="C51" s="164" t="s">
        <v>4</v>
      </c>
      <c r="D51" s="312">
        <v>76</v>
      </c>
      <c r="E51" s="308">
        <v>11233.701999999999</v>
      </c>
      <c r="F51" s="308">
        <v>122509.24483999998</v>
      </c>
      <c r="G51" s="309">
        <f>E51/$E$56</f>
        <v>0.30824219907585249</v>
      </c>
      <c r="H51" s="309">
        <f>(E51-I51)/I51</f>
        <v>-5.4294722043329871E-2</v>
      </c>
      <c r="I51" s="312">
        <v>11878.65</v>
      </c>
      <c r="J51" s="308">
        <v>129321.29042</v>
      </c>
      <c r="K51" s="309">
        <f>I51/$I$56</f>
        <v>0.30416351927484092</v>
      </c>
    </row>
    <row r="52" spans="1:11" ht="11.1" customHeight="1">
      <c r="A52" s="423"/>
      <c r="B52" s="423"/>
      <c r="C52" s="154" t="s">
        <v>5</v>
      </c>
      <c r="D52" s="313">
        <v>241</v>
      </c>
      <c r="E52" s="129">
        <v>3248.0169999999998</v>
      </c>
      <c r="F52" s="129">
        <v>35421.246209999976</v>
      </c>
      <c r="G52" s="307">
        <f t="shared" ref="G52:G55" si="16">E52/$E$56</f>
        <v>8.9122526368934585E-2</v>
      </c>
      <c r="H52" s="307">
        <f t="shared" ref="H52:H55" si="17">(E52-I52)/I52</f>
        <v>-7.1049471218843668E-2</v>
      </c>
      <c r="I52" s="313">
        <v>3496.4369999999999</v>
      </c>
      <c r="J52" s="129">
        <v>38065.566670000022</v>
      </c>
      <c r="K52" s="307">
        <f t="shared" ref="K52:K55" si="18">I52/$I$56</f>
        <v>8.9529414777164654E-2</v>
      </c>
    </row>
    <row r="53" spans="1:11" ht="11.1" customHeight="1">
      <c r="A53" s="423"/>
      <c r="B53" s="423"/>
      <c r="C53" s="154" t="s">
        <v>6</v>
      </c>
      <c r="D53" s="313">
        <v>9790</v>
      </c>
      <c r="E53" s="129">
        <v>7910.31</v>
      </c>
      <c r="F53" s="129">
        <v>86266.139979999993</v>
      </c>
      <c r="G53" s="307">
        <f t="shared" si="16"/>
        <v>0.21705145372128504</v>
      </c>
      <c r="H53" s="307">
        <f t="shared" si="17"/>
        <v>-6.5189763768175257E-2</v>
      </c>
      <c r="I53" s="313">
        <v>8461.9420000000009</v>
      </c>
      <c r="J53" s="129">
        <v>92124.522509999995</v>
      </c>
      <c r="K53" s="307">
        <f t="shared" si="18"/>
        <v>0.21667563726682629</v>
      </c>
    </row>
    <row r="54" spans="1:11" ht="11.1" customHeight="1">
      <c r="A54" s="423"/>
      <c r="B54" s="423"/>
      <c r="C54" s="154" t="s">
        <v>7</v>
      </c>
      <c r="D54" s="313">
        <v>105150</v>
      </c>
      <c r="E54" s="129">
        <v>13903.6</v>
      </c>
      <c r="F54" s="129">
        <v>151625.4</v>
      </c>
      <c r="G54" s="307">
        <f t="shared" si="16"/>
        <v>0.38150168475815216</v>
      </c>
      <c r="H54" s="307">
        <f t="shared" si="17"/>
        <v>-7.8456715250574918E-2</v>
      </c>
      <c r="I54" s="313">
        <v>15087.3</v>
      </c>
      <c r="J54" s="129">
        <v>164254.20000000001</v>
      </c>
      <c r="K54" s="307">
        <f t="shared" si="18"/>
        <v>0.38632388902403114</v>
      </c>
    </row>
    <row r="55" spans="1:11" ht="11.1" customHeight="1">
      <c r="A55" s="423"/>
      <c r="B55" s="423"/>
      <c r="C55" s="154" t="s">
        <v>93</v>
      </c>
      <c r="D55" s="313">
        <v>15</v>
      </c>
      <c r="E55" s="129">
        <v>148.77099999999999</v>
      </c>
      <c r="F55" s="129">
        <v>1622.4177099999999</v>
      </c>
      <c r="G55" s="307">
        <f t="shared" si="16"/>
        <v>4.0821360757757018E-3</v>
      </c>
      <c r="H55" s="307">
        <f t="shared" si="17"/>
        <v>0.15173684495745945</v>
      </c>
      <c r="I55" s="313">
        <v>129.17099999999999</v>
      </c>
      <c r="J55" s="129">
        <v>1406.2782500000001</v>
      </c>
      <c r="K55" s="307">
        <f t="shared" si="18"/>
        <v>3.3075396571370041E-3</v>
      </c>
    </row>
    <row r="56" spans="1:11" ht="11.1" customHeight="1">
      <c r="A56" s="424"/>
      <c r="B56" s="424"/>
      <c r="C56" s="318" t="s">
        <v>0</v>
      </c>
      <c r="D56" s="321">
        <v>115272</v>
      </c>
      <c r="E56" s="319">
        <v>36444.400000000001</v>
      </c>
      <c r="F56" s="319">
        <v>397444.44873999996</v>
      </c>
      <c r="G56" s="320">
        <f>SUM(G51:G55)</f>
        <v>0.99999999999999989</v>
      </c>
      <c r="H56" s="320">
        <f t="shared" ref="H56" si="19">(E56-I56)/I56</f>
        <v>-6.6808352644449245E-2</v>
      </c>
      <c r="I56" s="321">
        <v>39053.5</v>
      </c>
      <c r="J56" s="319">
        <v>425171.85785000003</v>
      </c>
      <c r="K56" s="320">
        <f>SUM(K51:K55)</f>
        <v>1</v>
      </c>
    </row>
    <row r="57" spans="1:11" ht="11.1" customHeight="1">
      <c r="A57" s="491" t="str">
        <f>'3.1'!G5</f>
        <v>IV. čtvrtletí</v>
      </c>
      <c r="B57" s="422"/>
      <c r="C57" s="164" t="s">
        <v>4</v>
      </c>
      <c r="D57" s="312">
        <f>D51</f>
        <v>76</v>
      </c>
      <c r="E57" s="308">
        <f>E39+E45+E51</f>
        <v>33492.843999999997</v>
      </c>
      <c r="F57" s="308">
        <f>F39+F45+F51</f>
        <v>366238.15899999999</v>
      </c>
      <c r="G57" s="309">
        <f>E57/$E$62</f>
        <v>0.38640313341832172</v>
      </c>
      <c r="H57" s="309">
        <f>(E57-I57)/I57</f>
        <v>1.4478643145683989E-2</v>
      </c>
      <c r="I57" s="312">
        <f>I39+I45+I51</f>
        <v>33014.834000000003</v>
      </c>
      <c r="J57" s="308">
        <f>J39+J45+J51</f>
        <v>360598.51399000001</v>
      </c>
      <c r="K57" s="309">
        <f>I57/$I$62</f>
        <v>0.37086651658938141</v>
      </c>
    </row>
    <row r="58" spans="1:11" ht="11.1" customHeight="1">
      <c r="A58" s="423"/>
      <c r="B58" s="423"/>
      <c r="C58" s="154" t="s">
        <v>5</v>
      </c>
      <c r="D58" s="313">
        <f>D52</f>
        <v>241</v>
      </c>
      <c r="E58" s="129">
        <f t="shared" ref="E58:F59" si="20">E40+E46+E52</f>
        <v>8318.4030000000002</v>
      </c>
      <c r="F58" s="129">
        <f t="shared" si="20"/>
        <v>90928.425659999979</v>
      </c>
      <c r="G58" s="307">
        <f t="shared" ref="G58:G61" si="21">E58/$E$62</f>
        <v>9.5968469689715452E-2</v>
      </c>
      <c r="H58" s="307">
        <f t="shared" ref="H58:H61" si="22">(E58-I58)/I58</f>
        <v>-1.7099373670480974E-2</v>
      </c>
      <c r="I58" s="313">
        <f t="shared" ref="I58:J58" si="23">I40+I46+I52</f>
        <v>8463.1170000000002</v>
      </c>
      <c r="J58" s="129">
        <f t="shared" si="23"/>
        <v>92406.428240000037</v>
      </c>
      <c r="K58" s="307">
        <f t="shared" ref="K58:K61" si="24">I58/$I$62</f>
        <v>9.5068983877925173E-2</v>
      </c>
    </row>
    <row r="59" spans="1:11" ht="11.1" customHeight="1">
      <c r="A59" s="423"/>
      <c r="B59" s="423"/>
      <c r="C59" s="154" t="s">
        <v>6</v>
      </c>
      <c r="D59" s="313">
        <f>D53</f>
        <v>9790</v>
      </c>
      <c r="E59" s="129">
        <f>E41+E47+E53</f>
        <v>16341.073</v>
      </c>
      <c r="F59" s="129">
        <f t="shared" si="20"/>
        <v>178525.16690000001</v>
      </c>
      <c r="G59" s="307">
        <f t="shared" si="21"/>
        <v>0.18852510138038844</v>
      </c>
      <c r="H59" s="307">
        <f t="shared" si="22"/>
        <v>-5.6725627064539978E-2</v>
      </c>
      <c r="I59" s="313">
        <f>I41+I47+I53</f>
        <v>17323.775000000001</v>
      </c>
      <c r="J59" s="129">
        <f t="shared" ref="J59" si="25">J41+J47+J53</f>
        <v>189065.06867000001</v>
      </c>
      <c r="K59" s="307">
        <f t="shared" si="24"/>
        <v>0.19460367689349009</v>
      </c>
    </row>
    <row r="60" spans="1:11" ht="11.1" customHeight="1">
      <c r="A60" s="423"/>
      <c r="B60" s="423"/>
      <c r="C60" s="154" t="s">
        <v>7</v>
      </c>
      <c r="D60" s="313">
        <f>D54</f>
        <v>105150</v>
      </c>
      <c r="E60" s="129">
        <f t="shared" ref="E60:F61" si="26">E42+E48+E54</f>
        <v>28098.9</v>
      </c>
      <c r="F60" s="129">
        <f t="shared" si="26"/>
        <v>306961.30000000005</v>
      </c>
      <c r="G60" s="307">
        <f t="shared" si="21"/>
        <v>0.32417381472914275</v>
      </c>
      <c r="H60" s="307">
        <f t="shared" si="22"/>
        <v>-5.8694851093765654E-2</v>
      </c>
      <c r="I60" s="313">
        <f t="shared" ref="I60:J60" si="27">I42+I48+I54</f>
        <v>29851</v>
      </c>
      <c r="J60" s="129">
        <f t="shared" si="27"/>
        <v>325753.30000000005</v>
      </c>
      <c r="K60" s="307">
        <f t="shared" si="24"/>
        <v>0.33532612602897305</v>
      </c>
    </row>
    <row r="61" spans="1:11" ht="11.1" customHeight="1">
      <c r="A61" s="423"/>
      <c r="B61" s="423"/>
      <c r="C61" s="154" t="s">
        <v>93</v>
      </c>
      <c r="D61" s="313">
        <f>D55</f>
        <v>15</v>
      </c>
      <c r="E61" s="129">
        <f>E43+E49+E55</f>
        <v>427.28</v>
      </c>
      <c r="F61" s="129">
        <f t="shared" si="26"/>
        <v>4672.4559099999997</v>
      </c>
      <c r="G61" s="307">
        <f t="shared" si="21"/>
        <v>4.929480782431629E-3</v>
      </c>
      <c r="H61" s="307">
        <f t="shared" si="22"/>
        <v>0.16085352401962655</v>
      </c>
      <c r="I61" s="313">
        <f>I43+I49+I55</f>
        <v>368.07399999999996</v>
      </c>
      <c r="J61" s="129">
        <f t="shared" ref="J61" si="28">J43+J49+J55</f>
        <v>4020.3448699999999</v>
      </c>
      <c r="K61" s="307">
        <f t="shared" si="24"/>
        <v>4.1346966102304185E-3</v>
      </c>
    </row>
    <row r="62" spans="1:11" ht="11.1" customHeight="1">
      <c r="A62" s="424"/>
      <c r="B62" s="424"/>
      <c r="C62" s="318" t="s">
        <v>0</v>
      </c>
      <c r="D62" s="321">
        <f>SUM(D57:D61)</f>
        <v>115272</v>
      </c>
      <c r="E62" s="319">
        <f>SUM(E57:E61)</f>
        <v>86678.5</v>
      </c>
      <c r="F62" s="319">
        <f>SUM(F57:F61)</f>
        <v>947325.50747000007</v>
      </c>
      <c r="G62" s="320">
        <f>SUM(G57:G61)</f>
        <v>1</v>
      </c>
      <c r="H62" s="320">
        <f>(E62-I62)/I62</f>
        <v>-2.63118282468815E-2</v>
      </c>
      <c r="I62" s="321">
        <f>SUM(I57:I61)</f>
        <v>89020.799999999988</v>
      </c>
      <c r="J62" s="319">
        <f>SUM(J57:J61)</f>
        <v>971843.65577000019</v>
      </c>
      <c r="K62" s="320">
        <f>SUM(K57:K61)</f>
        <v>1.0000000000000002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20"/>
  <sheetViews>
    <sheetView showGridLines="0" topLeftCell="A4" zoomScaleNormal="100" zoomScaleSheetLayoutView="100" workbookViewId="0">
      <selection activeCell="D1" sqref="D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495" t="s">
        <v>303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15"/>
      <c r="B3" s="515"/>
      <c r="C3" s="515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487" t="s">
        <v>39</v>
      </c>
      <c r="B4" s="487"/>
      <c r="C4" s="487"/>
      <c r="D4" s="481">
        <f>'3.1'!A4</f>
        <v>2023</v>
      </c>
      <c r="E4" s="353"/>
      <c r="F4" s="342"/>
      <c r="G4" s="342"/>
      <c r="H4" s="342"/>
      <c r="I4" s="481">
        <f>D4-1</f>
        <v>2022</v>
      </c>
      <c r="J4" s="482"/>
      <c r="K4" s="482"/>
    </row>
    <row r="5" spans="1:16" ht="24.95" customHeight="1">
      <c r="A5" s="354"/>
      <c r="B5" s="354"/>
      <c r="C5" s="354"/>
      <c r="D5" s="483"/>
      <c r="E5" s="355"/>
      <c r="F5" s="356"/>
      <c r="G5" s="356"/>
      <c r="H5" s="357"/>
      <c r="I5" s="483"/>
      <c r="J5" s="484"/>
      <c r="K5" s="484"/>
    </row>
    <row r="6" spans="1:16" ht="24.95" customHeight="1">
      <c r="A6" s="304"/>
      <c r="B6" s="272"/>
      <c r="C6" s="305"/>
      <c r="D6" s="364" t="s">
        <v>159</v>
      </c>
      <c r="E6" s="479" t="s">
        <v>60</v>
      </c>
      <c r="F6" s="479"/>
      <c r="G6" s="480" t="s">
        <v>33</v>
      </c>
      <c r="H6" s="480" t="s">
        <v>268</v>
      </c>
      <c r="I6" s="478" t="s">
        <v>60</v>
      </c>
      <c r="J6" s="479"/>
      <c r="K6" s="480" t="s">
        <v>33</v>
      </c>
    </row>
    <row r="7" spans="1:16" ht="24.95" customHeight="1">
      <c r="A7" s="304"/>
      <c r="B7" s="306"/>
      <c r="D7" s="365"/>
      <c r="E7" s="479"/>
      <c r="F7" s="479"/>
      <c r="G7" s="480"/>
      <c r="H7" s="480"/>
      <c r="I7" s="478"/>
      <c r="J7" s="479"/>
      <c r="K7" s="480"/>
    </row>
    <row r="8" spans="1:16" ht="15" customHeight="1">
      <c r="A8" s="488" t="s">
        <v>158</v>
      </c>
      <c r="B8" s="488"/>
      <c r="C8" s="323" t="s">
        <v>184</v>
      </c>
      <c r="D8" s="343"/>
      <c r="E8" s="219" t="s">
        <v>259</v>
      </c>
      <c r="F8" s="219" t="s">
        <v>260</v>
      </c>
      <c r="G8" s="467"/>
      <c r="H8" s="467"/>
      <c r="I8" s="221" t="s">
        <v>259</v>
      </c>
      <c r="J8" s="219" t="s">
        <v>260</v>
      </c>
      <c r="K8" s="467"/>
    </row>
    <row r="9" spans="1:16" ht="11.1" customHeight="1">
      <c r="A9" s="422" t="str">
        <f>'3.1'!D5</f>
        <v>Říjen</v>
      </c>
      <c r="B9" s="422"/>
      <c r="C9" s="164" t="s">
        <v>4</v>
      </c>
      <c r="D9" s="312">
        <v>88</v>
      </c>
      <c r="E9" s="308">
        <v>8013.116</v>
      </c>
      <c r="F9" s="308">
        <v>87925.781409999981</v>
      </c>
      <c r="G9" s="309">
        <f>E9/$E$14</f>
        <v>0.49011982164374007</v>
      </c>
      <c r="H9" s="309">
        <f>(E9-I9)/I9</f>
        <v>-0.11346891505013257</v>
      </c>
      <c r="I9" s="312">
        <v>9038.7309999999998</v>
      </c>
      <c r="J9" s="308">
        <v>99062.338839999997</v>
      </c>
      <c r="K9" s="309">
        <f>I9/$I$14</f>
        <v>0.48349421758154754</v>
      </c>
    </row>
    <row r="10" spans="1:16" ht="11.1" customHeight="1">
      <c r="A10" s="423"/>
      <c r="B10" s="423"/>
      <c r="C10" s="154" t="s">
        <v>5</v>
      </c>
      <c r="D10" s="313">
        <v>281</v>
      </c>
      <c r="E10" s="129">
        <v>2157.0430000000001</v>
      </c>
      <c r="F10" s="129">
        <v>23669.002699999994</v>
      </c>
      <c r="G10" s="307">
        <f>E10/$E$14</f>
        <v>0.1319348840623146</v>
      </c>
      <c r="H10" s="307">
        <f>(E10-I10)/I10</f>
        <v>-7.3565143834226074E-4</v>
      </c>
      <c r="I10" s="313">
        <v>2158.6310000000003</v>
      </c>
      <c r="J10" s="129">
        <v>23658.145800000013</v>
      </c>
      <c r="K10" s="307">
        <f>I10/$I$14</f>
        <v>0.11546815657997497</v>
      </c>
      <c r="L10" s="93"/>
      <c r="N10" s="93"/>
      <c r="O10" s="93"/>
      <c r="P10" s="93"/>
    </row>
    <row r="11" spans="1:16" ht="11.1" customHeight="1">
      <c r="A11" s="423"/>
      <c r="B11" s="423"/>
      <c r="C11" s="154" t="s">
        <v>6</v>
      </c>
      <c r="D11" s="313">
        <v>8718</v>
      </c>
      <c r="E11" s="129">
        <v>2737.4659999999999</v>
      </c>
      <c r="F11" s="129">
        <v>30038.135590000002</v>
      </c>
      <c r="G11" s="307">
        <f>E11/$E$14</f>
        <v>0.16743628167566804</v>
      </c>
      <c r="H11" s="307">
        <f t="shared" ref="H11:H13" si="0">(E11-I11)/I11</f>
        <v>-0.17784901005784717</v>
      </c>
      <c r="I11" s="313">
        <v>3329.6390000000001</v>
      </c>
      <c r="J11" s="129">
        <v>36491.842880000004</v>
      </c>
      <c r="K11" s="307">
        <f>I11/$I$14</f>
        <v>0.17810699346335304</v>
      </c>
      <c r="L11" s="93"/>
      <c r="N11" s="93"/>
      <c r="O11" s="93"/>
      <c r="P11" s="93"/>
    </row>
    <row r="12" spans="1:16" ht="11.1" customHeight="1">
      <c r="A12" s="423"/>
      <c r="B12" s="423"/>
      <c r="C12" s="154" t="s">
        <v>7</v>
      </c>
      <c r="D12" s="313">
        <v>82009</v>
      </c>
      <c r="E12" s="129">
        <v>3217.2</v>
      </c>
      <c r="F12" s="129">
        <v>35302</v>
      </c>
      <c r="G12" s="307">
        <f>E12/$E$14</f>
        <v>0.19677906699369391</v>
      </c>
      <c r="H12" s="307">
        <f t="shared" si="0"/>
        <v>-0.18245578369587315</v>
      </c>
      <c r="I12" s="313">
        <v>3935.2</v>
      </c>
      <c r="J12" s="129">
        <v>43128.4</v>
      </c>
      <c r="K12" s="307">
        <f>I12/$I$14</f>
        <v>0.2104992885646122</v>
      </c>
      <c r="L12" s="93"/>
      <c r="N12" s="93"/>
      <c r="O12" s="93"/>
      <c r="P12" s="93"/>
    </row>
    <row r="13" spans="1:16" ht="11.1" customHeight="1">
      <c r="A13" s="423"/>
      <c r="B13" s="423"/>
      <c r="C13" s="154" t="s">
        <v>93</v>
      </c>
      <c r="D13" s="313">
        <v>9</v>
      </c>
      <c r="E13" s="129">
        <v>224.47499999999999</v>
      </c>
      <c r="F13" s="129">
        <v>2463.1212600000003</v>
      </c>
      <c r="G13" s="307">
        <f>E13/$E$14</f>
        <v>1.3729945624583314E-2</v>
      </c>
      <c r="H13" s="307">
        <f t="shared" si="0"/>
        <v>-3.4096532257023512E-2</v>
      </c>
      <c r="I13" s="313">
        <v>232.399</v>
      </c>
      <c r="J13" s="129">
        <v>2547.0278699999999</v>
      </c>
      <c r="K13" s="307">
        <f>I13/$I$14</f>
        <v>1.2431343810512125E-2</v>
      </c>
      <c r="L13" s="93"/>
      <c r="N13" s="93"/>
      <c r="O13" s="93"/>
      <c r="P13" s="93"/>
    </row>
    <row r="14" spans="1:16" ht="11.1" customHeight="1">
      <c r="A14" s="424"/>
      <c r="B14" s="424"/>
      <c r="C14" s="318" t="s">
        <v>0</v>
      </c>
      <c r="D14" s="321">
        <v>91105</v>
      </c>
      <c r="E14" s="319">
        <v>16349.300000000001</v>
      </c>
      <c r="F14" s="319">
        <v>179398.04095999998</v>
      </c>
      <c r="G14" s="320">
        <f>SUM(G9:G13)</f>
        <v>0.99999999999999989</v>
      </c>
      <c r="H14" s="320">
        <f>(E14-I14)/I14</f>
        <v>-0.1254533394670119</v>
      </c>
      <c r="I14" s="321">
        <v>18694.600000000002</v>
      </c>
      <c r="J14" s="319">
        <v>204887.75539000001</v>
      </c>
      <c r="K14" s="320">
        <f>SUM(K9:K13)</f>
        <v>0.99999999999999989</v>
      </c>
      <c r="L14" s="93"/>
    </row>
    <row r="15" spans="1:16" ht="11.1" customHeight="1">
      <c r="A15" s="422" t="str">
        <f>'3.1'!E5</f>
        <v>Listopad</v>
      </c>
      <c r="B15" s="422"/>
      <c r="C15" s="164" t="s">
        <v>4</v>
      </c>
      <c r="D15" s="312">
        <v>88</v>
      </c>
      <c r="E15" s="308">
        <v>11848.751</v>
      </c>
      <c r="F15" s="308">
        <v>129514.06724999998</v>
      </c>
      <c r="G15" s="309">
        <f>E15/$E$20</f>
        <v>0.39529964202428097</v>
      </c>
      <c r="H15" s="309">
        <f>(E15-I15)/I15</f>
        <v>-3.6113123600894748E-2</v>
      </c>
      <c r="I15" s="312">
        <v>12292.678</v>
      </c>
      <c r="J15" s="308">
        <v>134337.04656999998</v>
      </c>
      <c r="K15" s="309">
        <f>I15/$I$20</f>
        <v>0.41239249602458383</v>
      </c>
      <c r="L15" s="93"/>
      <c r="M15" s="93"/>
    </row>
    <row r="16" spans="1:16" ht="11.1" customHeight="1">
      <c r="A16" s="423"/>
      <c r="B16" s="423"/>
      <c r="C16" s="154" t="s">
        <v>5</v>
      </c>
      <c r="D16" s="313">
        <v>282</v>
      </c>
      <c r="E16" s="129">
        <v>3599.3790000000004</v>
      </c>
      <c r="F16" s="129">
        <v>39343.747049999991</v>
      </c>
      <c r="G16" s="307">
        <f>E16/$E$20</f>
        <v>0.12008297163217579</v>
      </c>
      <c r="H16" s="307">
        <f>(E16-I16)/I16</f>
        <v>6.9998602816365482E-2</v>
      </c>
      <c r="I16" s="313">
        <v>3363.9100000000003</v>
      </c>
      <c r="J16" s="129">
        <v>36760.90168000001</v>
      </c>
      <c r="K16" s="307">
        <f>I16/$I$20</f>
        <v>0.11285183271717179</v>
      </c>
      <c r="L16" s="97"/>
      <c r="M16" s="93"/>
    </row>
    <row r="17" spans="1:20" ht="11.1" customHeight="1">
      <c r="A17" s="423"/>
      <c r="B17" s="423"/>
      <c r="C17" s="154" t="s">
        <v>6</v>
      </c>
      <c r="D17" s="313">
        <v>8724</v>
      </c>
      <c r="E17" s="129">
        <v>6427.8159999999998</v>
      </c>
      <c r="F17" s="129">
        <v>70259.939270000003</v>
      </c>
      <c r="G17" s="307">
        <f>E17/$E$20</f>
        <v>0.21444567142966761</v>
      </c>
      <c r="H17" s="307">
        <f t="shared" ref="H17:H20" si="1">(E17-I17)/I17</f>
        <v>1.9598810962745759E-2</v>
      </c>
      <c r="I17" s="313">
        <v>6304.26</v>
      </c>
      <c r="J17" s="129">
        <v>68894.398740000004</v>
      </c>
      <c r="K17" s="307">
        <f>I17/$I$20</f>
        <v>0.21149415261572319</v>
      </c>
      <c r="L17" s="93"/>
      <c r="M17" s="93"/>
      <c r="N17" s="93"/>
      <c r="O17" s="93"/>
    </row>
    <row r="18" spans="1:20" ht="11.1" customHeight="1">
      <c r="A18" s="423"/>
      <c r="B18" s="423"/>
      <c r="C18" s="154" t="s">
        <v>7</v>
      </c>
      <c r="D18" s="313">
        <v>81960</v>
      </c>
      <c r="E18" s="129">
        <v>7879</v>
      </c>
      <c r="F18" s="129">
        <v>86122.2</v>
      </c>
      <c r="G18" s="307">
        <f>E18/$E$20</f>
        <v>0.26286026936588591</v>
      </c>
      <c r="H18" s="307">
        <f t="shared" si="1"/>
        <v>3.5974439214242558E-2</v>
      </c>
      <c r="I18" s="313">
        <v>7605.4</v>
      </c>
      <c r="J18" s="129">
        <v>83113.5</v>
      </c>
      <c r="K18" s="307">
        <f>I18/$I$20</f>
        <v>0.2551445575378587</v>
      </c>
      <c r="L18" s="93"/>
      <c r="M18" s="93"/>
      <c r="N18" s="93"/>
      <c r="O18" s="93"/>
    </row>
    <row r="19" spans="1:20" ht="11.1" customHeight="1">
      <c r="A19" s="423"/>
      <c r="B19" s="423"/>
      <c r="C19" s="154" t="s">
        <v>93</v>
      </c>
      <c r="D19" s="313">
        <v>9</v>
      </c>
      <c r="E19" s="129">
        <v>219.154</v>
      </c>
      <c r="F19" s="129">
        <v>2395.4765300000004</v>
      </c>
      <c r="G19" s="307">
        <f>E19/$E$20</f>
        <v>7.3114455479897644E-3</v>
      </c>
      <c r="H19" s="307">
        <f t="shared" si="1"/>
        <v>-9.4225300886126184E-2</v>
      </c>
      <c r="I19" s="313">
        <v>241.952</v>
      </c>
      <c r="J19" s="129">
        <v>2644.1000099999997</v>
      </c>
      <c r="K19" s="307">
        <f>I19/$I$20</f>
        <v>8.1169611046624755E-3</v>
      </c>
      <c r="L19" s="93"/>
      <c r="M19" s="93"/>
      <c r="N19" s="93"/>
      <c r="O19" s="93"/>
    </row>
    <row r="20" spans="1:20" ht="11.1" customHeight="1">
      <c r="A20" s="424"/>
      <c r="B20" s="424"/>
      <c r="C20" s="318" t="s">
        <v>0</v>
      </c>
      <c r="D20" s="321">
        <v>91063</v>
      </c>
      <c r="E20" s="319">
        <v>29974.1</v>
      </c>
      <c r="F20" s="319">
        <v>327635.43009999994</v>
      </c>
      <c r="G20" s="320">
        <f>SUM(G15:G19)</f>
        <v>1</v>
      </c>
      <c r="H20" s="320">
        <f t="shared" si="1"/>
        <v>5.565582624915218E-3</v>
      </c>
      <c r="I20" s="321">
        <v>29808.2</v>
      </c>
      <c r="J20" s="319">
        <v>325749.94699999999</v>
      </c>
      <c r="K20" s="320">
        <f>SUM(K15:K19)</f>
        <v>1</v>
      </c>
      <c r="L20" s="93"/>
      <c r="M20" s="93"/>
      <c r="N20" s="93"/>
      <c r="O20" s="93"/>
    </row>
    <row r="21" spans="1:20" ht="11.1" customHeight="1">
      <c r="A21" s="422" t="str">
        <f>'3.1'!F5</f>
        <v>Prosinec</v>
      </c>
      <c r="B21" s="422"/>
      <c r="C21" s="164" t="s">
        <v>4</v>
      </c>
      <c r="D21" s="312">
        <v>88</v>
      </c>
      <c r="E21" s="308">
        <v>12801.662</v>
      </c>
      <c r="F21" s="308">
        <v>139608.10016999999</v>
      </c>
      <c r="G21" s="309">
        <f>E21/$E$26</f>
        <v>0.3503724139441064</v>
      </c>
      <c r="H21" s="309">
        <f>(E21-I21)/I21</f>
        <v>-3.2790638145350839E-2</v>
      </c>
      <c r="I21" s="312">
        <v>13235.668</v>
      </c>
      <c r="J21" s="308">
        <v>144095.59721000007</v>
      </c>
      <c r="K21" s="309">
        <f>I21/$I$26</f>
        <v>0.34236344306862182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3"/>
      <c r="B22" s="423"/>
      <c r="C22" s="154" t="s">
        <v>5</v>
      </c>
      <c r="D22" s="313">
        <v>282</v>
      </c>
      <c r="E22" s="129">
        <v>4037.2309999999998</v>
      </c>
      <c r="F22" s="129">
        <v>44027.467299999989</v>
      </c>
      <c r="G22" s="307">
        <f>E22/$E$26</f>
        <v>0.11049615050920565</v>
      </c>
      <c r="H22" s="307">
        <f t="shared" ref="H22:H26" si="2">(E22-I22)/I22</f>
        <v>-3.7958319790378822E-2</v>
      </c>
      <c r="I22" s="313">
        <v>4196.5239999999994</v>
      </c>
      <c r="J22" s="129">
        <v>45687.446660000009</v>
      </c>
      <c r="K22" s="307">
        <f>I22/$I$26</f>
        <v>0.10855035088218479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3"/>
      <c r="B23" s="423"/>
      <c r="C23" s="154" t="s">
        <v>6</v>
      </c>
      <c r="D23" s="313">
        <v>8729</v>
      </c>
      <c r="E23" s="129">
        <v>8622.030999999999</v>
      </c>
      <c r="F23" s="129">
        <v>94027.004260000002</v>
      </c>
      <c r="G23" s="307">
        <f>E23/$E$26</f>
        <v>0.2359788763811228</v>
      </c>
      <c r="H23" s="307">
        <f t="shared" si="2"/>
        <v>-6.2589587497412461E-2</v>
      </c>
      <c r="I23" s="313">
        <v>9197.7119999999995</v>
      </c>
      <c r="J23" s="129">
        <v>100134.61139000001</v>
      </c>
      <c r="K23" s="307">
        <f>I23/$I$26</f>
        <v>0.23791472773973926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3"/>
      <c r="B24" s="423"/>
      <c r="C24" s="154" t="s">
        <v>7</v>
      </c>
      <c r="D24" s="313">
        <v>81925</v>
      </c>
      <c r="E24" s="129">
        <v>10868.3</v>
      </c>
      <c r="F24" s="129">
        <v>118523.7</v>
      </c>
      <c r="G24" s="307">
        <f>E24/$E$26</f>
        <v>0.29745766654897865</v>
      </c>
      <c r="H24" s="307">
        <f t="shared" si="2"/>
        <v>-7.8457807624474379E-2</v>
      </c>
      <c r="I24" s="313">
        <v>11793.6</v>
      </c>
      <c r="J24" s="129">
        <v>128395.5</v>
      </c>
      <c r="K24" s="307">
        <f>I24/$I$26</f>
        <v>0.30506186028344762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3"/>
      <c r="B25" s="423"/>
      <c r="C25" s="154" t="s">
        <v>93</v>
      </c>
      <c r="D25" s="313">
        <v>9</v>
      </c>
      <c r="E25" s="129">
        <v>208.07599999999999</v>
      </c>
      <c r="F25" s="129">
        <v>2269.1733200000003</v>
      </c>
      <c r="G25" s="307">
        <f>E25/$E$26</f>
        <v>5.6948926165863376E-3</v>
      </c>
      <c r="H25" s="307">
        <f t="shared" si="2"/>
        <v>-0.11905366729326494</v>
      </c>
      <c r="I25" s="313">
        <v>236.196</v>
      </c>
      <c r="J25" s="129">
        <v>2571.44065</v>
      </c>
      <c r="K25" s="307">
        <f>I25/$I$26</f>
        <v>6.1096180260064087E-3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24"/>
      <c r="B26" s="424"/>
      <c r="C26" s="318" t="s">
        <v>0</v>
      </c>
      <c r="D26" s="321">
        <v>91033</v>
      </c>
      <c r="E26" s="319">
        <v>36537.300000000003</v>
      </c>
      <c r="F26" s="319">
        <v>398455.44504999998</v>
      </c>
      <c r="G26" s="320">
        <f>SUM(G21:G25)</f>
        <v>0.99999999999999978</v>
      </c>
      <c r="H26" s="320">
        <f t="shared" si="2"/>
        <v>-5.4899546556233005E-2</v>
      </c>
      <c r="I26" s="321">
        <v>38659.700000000004</v>
      </c>
      <c r="J26" s="319">
        <v>420884.59591000009</v>
      </c>
      <c r="K26" s="320">
        <f>SUM(K21:K25)</f>
        <v>0.99999999999999989</v>
      </c>
    </row>
    <row r="27" spans="1:20" ht="11.1" customHeight="1">
      <c r="A27" s="491" t="str">
        <f>'3.1'!G5</f>
        <v>IV. čtvrtletí</v>
      </c>
      <c r="B27" s="422"/>
      <c r="C27" s="164" t="s">
        <v>4</v>
      </c>
      <c r="D27" s="312">
        <f>D21</f>
        <v>88</v>
      </c>
      <c r="E27" s="308">
        <f>E9+E15+E21</f>
        <v>32663.528999999999</v>
      </c>
      <c r="F27" s="308">
        <f>F9+F15+F21</f>
        <v>357047.94882999995</v>
      </c>
      <c r="G27" s="309">
        <f>E27/$E$32</f>
        <v>0.39419808184096922</v>
      </c>
      <c r="H27" s="309">
        <f>(E27-I27)/I27</f>
        <v>-5.5068237328831683E-2</v>
      </c>
      <c r="I27" s="312">
        <f>I9+I15+I21</f>
        <v>34567.076999999997</v>
      </c>
      <c r="J27" s="308">
        <f>J9+J15+J21</f>
        <v>377494.98262000002</v>
      </c>
      <c r="K27" s="309">
        <f>I27/$I$32</f>
        <v>0.39658198193030259</v>
      </c>
    </row>
    <row r="28" spans="1:20" ht="11.1" customHeight="1">
      <c r="A28" s="423"/>
      <c r="B28" s="423"/>
      <c r="C28" s="154" t="s">
        <v>5</v>
      </c>
      <c r="D28" s="313">
        <f>D22</f>
        <v>282</v>
      </c>
      <c r="E28" s="129">
        <f t="shared" ref="E28:F31" si="3">E10+E16+E22</f>
        <v>9793.6530000000002</v>
      </c>
      <c r="F28" s="129">
        <f t="shared" si="3"/>
        <v>107040.21704999998</v>
      </c>
      <c r="G28" s="307">
        <f>E28/$E$32</f>
        <v>0.11819418614614649</v>
      </c>
      <c r="H28" s="307">
        <f t="shared" ref="H28:H31" si="4">(E28-I28)/I28</f>
        <v>7.6744007782641368E-3</v>
      </c>
      <c r="I28" s="313">
        <f t="shared" ref="I28:J28" si="5">I10+I16+I22</f>
        <v>9719.0650000000005</v>
      </c>
      <c r="J28" s="129">
        <f t="shared" si="5"/>
        <v>106106.49414000002</v>
      </c>
      <c r="K28" s="307">
        <f>I28/$I$32</f>
        <v>0.11150511974759789</v>
      </c>
    </row>
    <row r="29" spans="1:20" ht="11.1" customHeight="1">
      <c r="A29" s="423"/>
      <c r="B29" s="423"/>
      <c r="C29" s="154" t="s">
        <v>6</v>
      </c>
      <c r="D29" s="313">
        <f>D23</f>
        <v>8729</v>
      </c>
      <c r="E29" s="129">
        <f t="shared" si="3"/>
        <v>17787.312999999998</v>
      </c>
      <c r="F29" s="129">
        <f t="shared" si="3"/>
        <v>194325.07912000001</v>
      </c>
      <c r="G29" s="307">
        <f>E29/$E$32</f>
        <v>0.21466525144006748</v>
      </c>
      <c r="H29" s="307">
        <f t="shared" si="4"/>
        <v>-5.5454522717148437E-2</v>
      </c>
      <c r="I29" s="313">
        <f t="shared" ref="I29:J29" si="6">I11+I17+I23</f>
        <v>18831.611000000001</v>
      </c>
      <c r="J29" s="129">
        <f t="shared" si="6"/>
        <v>205520.85301000002</v>
      </c>
      <c r="K29" s="307">
        <f>I29/$I$32</f>
        <v>0.2160517539079306</v>
      </c>
    </row>
    <row r="30" spans="1:20" ht="11.1" customHeight="1">
      <c r="A30" s="423"/>
      <c r="B30" s="423"/>
      <c r="C30" s="154" t="s">
        <v>7</v>
      </c>
      <c r="D30" s="313">
        <f>D24</f>
        <v>81925</v>
      </c>
      <c r="E30" s="129">
        <f t="shared" si="3"/>
        <v>21964.5</v>
      </c>
      <c r="F30" s="129">
        <f t="shared" si="3"/>
        <v>239947.9</v>
      </c>
      <c r="G30" s="307">
        <f>E30/$E$32</f>
        <v>0.26507741305588778</v>
      </c>
      <c r="H30" s="307">
        <f t="shared" si="4"/>
        <v>-5.8699248313633948E-2</v>
      </c>
      <c r="I30" s="313">
        <f t="shared" ref="I30:J30" si="7">I12+I18+I24</f>
        <v>23334.199999999997</v>
      </c>
      <c r="J30" s="129">
        <f t="shared" si="7"/>
        <v>254637.4</v>
      </c>
      <c r="K30" s="307">
        <f>I30/$I$32</f>
        <v>0.26770916391796928</v>
      </c>
    </row>
    <row r="31" spans="1:20" ht="11.1" customHeight="1">
      <c r="A31" s="423"/>
      <c r="B31" s="423"/>
      <c r="C31" s="154" t="s">
        <v>93</v>
      </c>
      <c r="D31" s="313">
        <f>D25</f>
        <v>9</v>
      </c>
      <c r="E31" s="129">
        <f>E13+E19+E25</f>
        <v>651.70500000000004</v>
      </c>
      <c r="F31" s="129">
        <f t="shared" si="3"/>
        <v>7127.7711100000015</v>
      </c>
      <c r="G31" s="307">
        <f>E31/$E$32</f>
        <v>7.8650675169290151E-3</v>
      </c>
      <c r="H31" s="307">
        <f t="shared" si="4"/>
        <v>-8.2812255909883489E-2</v>
      </c>
      <c r="I31" s="313">
        <f>I13+I19+I25</f>
        <v>710.54700000000003</v>
      </c>
      <c r="J31" s="129">
        <f t="shared" ref="J31" si="8">J13+J19+J25</f>
        <v>7762.5685300000005</v>
      </c>
      <c r="K31" s="307">
        <f>I31/$I$32</f>
        <v>8.1519804961996279E-3</v>
      </c>
    </row>
    <row r="32" spans="1:20" ht="11.1" customHeight="1">
      <c r="A32" s="424"/>
      <c r="B32" s="424"/>
      <c r="C32" s="318" t="s">
        <v>0</v>
      </c>
      <c r="D32" s="321">
        <f>SUM(D27:D31)</f>
        <v>91033</v>
      </c>
      <c r="E32" s="319">
        <f>SUM(E27:E31)</f>
        <v>82860.7</v>
      </c>
      <c r="F32" s="319">
        <f>SUM(F27:F31)</f>
        <v>905488.91610999987</v>
      </c>
      <c r="G32" s="320">
        <f>SUM(G27:G31)</f>
        <v>0.99999999999999989</v>
      </c>
      <c r="H32" s="320">
        <f>(E32-I32)/I32</f>
        <v>-4.9353793202351962E-2</v>
      </c>
      <c r="I32" s="321">
        <f>SUM(I27:I31)</f>
        <v>87162.5</v>
      </c>
      <c r="J32" s="319">
        <f>SUM(J27:J31)</f>
        <v>951522.29830000014</v>
      </c>
      <c r="K32" s="320">
        <f>SUM(K27:K31)</f>
        <v>1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16" t="s">
        <v>40</v>
      </c>
      <c r="B34" s="516"/>
      <c r="C34" s="516"/>
      <c r="D34" s="481">
        <f>D4</f>
        <v>2023</v>
      </c>
      <c r="E34" s="353"/>
      <c r="F34" s="342"/>
      <c r="G34" s="342"/>
      <c r="H34" s="342"/>
      <c r="I34" s="481">
        <f>D34-1</f>
        <v>2022</v>
      </c>
      <c r="J34" s="482"/>
      <c r="K34" s="482"/>
    </row>
    <row r="35" spans="1:11" ht="24.95" customHeight="1">
      <c r="A35" s="304"/>
      <c r="B35" s="272"/>
      <c r="C35" s="150"/>
      <c r="D35" s="483"/>
      <c r="E35" s="355"/>
      <c r="F35" s="356"/>
      <c r="G35" s="356"/>
      <c r="H35" s="357"/>
      <c r="I35" s="483"/>
      <c r="J35" s="484"/>
      <c r="K35" s="484"/>
    </row>
    <row r="36" spans="1:11" ht="24.95" customHeight="1">
      <c r="A36" s="130"/>
      <c r="B36" s="131"/>
      <c r="C36" s="352"/>
      <c r="D36" s="364" t="s">
        <v>159</v>
      </c>
      <c r="E36" s="479" t="s">
        <v>60</v>
      </c>
      <c r="F36" s="479"/>
      <c r="G36" s="480" t="s">
        <v>33</v>
      </c>
      <c r="H36" s="480" t="s">
        <v>268</v>
      </c>
      <c r="I36" s="478" t="s">
        <v>60</v>
      </c>
      <c r="J36" s="479"/>
      <c r="K36" s="480" t="s">
        <v>33</v>
      </c>
    </row>
    <row r="37" spans="1:11" ht="24.95" customHeight="1">
      <c r="A37" s="130"/>
      <c r="B37" s="306"/>
      <c r="C37" s="306"/>
      <c r="D37" s="365"/>
      <c r="E37" s="479"/>
      <c r="F37" s="479"/>
      <c r="G37" s="480"/>
      <c r="H37" s="480"/>
      <c r="I37" s="478"/>
      <c r="J37" s="479"/>
      <c r="K37" s="480"/>
    </row>
    <row r="38" spans="1:11" ht="15" customHeight="1">
      <c r="A38" s="517" t="s">
        <v>158</v>
      </c>
      <c r="B38" s="517"/>
      <c r="C38" s="366" t="s">
        <v>184</v>
      </c>
      <c r="D38" s="343"/>
      <c r="E38" s="219" t="s">
        <v>259</v>
      </c>
      <c r="F38" s="219" t="s">
        <v>260</v>
      </c>
      <c r="G38" s="467"/>
      <c r="H38" s="467"/>
      <c r="I38" s="221" t="s">
        <v>259</v>
      </c>
      <c r="J38" s="219" t="s">
        <v>260</v>
      </c>
      <c r="K38" s="467"/>
    </row>
    <row r="39" spans="1:11" ht="11.1" customHeight="1">
      <c r="A39" s="422" t="str">
        <f>'3.1'!D5</f>
        <v>Říjen</v>
      </c>
      <c r="B39" s="422"/>
      <c r="C39" s="164" t="s">
        <v>4</v>
      </c>
      <c r="D39" s="312">
        <v>177</v>
      </c>
      <c r="E39" s="308">
        <v>35204.895000000004</v>
      </c>
      <c r="F39" s="308">
        <v>386015.31883999996</v>
      </c>
      <c r="G39" s="309">
        <f>E39/$E$44</f>
        <v>0.66094978908776802</v>
      </c>
      <c r="H39" s="309">
        <f>(E39-I39)/I39</f>
        <v>0.28239533147696005</v>
      </c>
      <c r="I39" s="312">
        <v>27452.451000000001</v>
      </c>
      <c r="J39" s="308">
        <v>300516.84746999998</v>
      </c>
      <c r="K39" s="309">
        <f>I39/$I$44</f>
        <v>0.56260544836265691</v>
      </c>
    </row>
    <row r="40" spans="1:11" ht="11.1" customHeight="1">
      <c r="A40" s="423"/>
      <c r="B40" s="423"/>
      <c r="C40" s="154" t="s">
        <v>5</v>
      </c>
      <c r="D40" s="313">
        <v>426</v>
      </c>
      <c r="E40" s="129">
        <v>2692.8</v>
      </c>
      <c r="F40" s="129">
        <v>29533.100859999977</v>
      </c>
      <c r="G40" s="307">
        <f t="shared" ref="G40" si="9">E40/$E$44</f>
        <v>5.05556284731297E-2</v>
      </c>
      <c r="H40" s="307">
        <f>(E40-I40)/I40</f>
        <v>-0.13351518102125368</v>
      </c>
      <c r="I40" s="313">
        <v>3107.7289999999998</v>
      </c>
      <c r="J40" s="129">
        <v>34046.521800000031</v>
      </c>
      <c r="K40" s="307">
        <f t="shared" ref="K40:K43" si="10">I40/$I$44</f>
        <v>6.368922277412066E-2</v>
      </c>
    </row>
    <row r="41" spans="1:11" ht="11.1" customHeight="1">
      <c r="A41" s="423"/>
      <c r="B41" s="423"/>
      <c r="C41" s="154" t="s">
        <v>6</v>
      </c>
      <c r="D41" s="313">
        <v>18055</v>
      </c>
      <c r="E41" s="129">
        <v>4403.067</v>
      </c>
      <c r="F41" s="129">
        <v>48310.356189999999</v>
      </c>
      <c r="G41" s="307">
        <f>E41/$E$44</f>
        <v>8.2664817065618595E-2</v>
      </c>
      <c r="H41" s="307">
        <f t="shared" ref="H41:H43" si="11">(E41-I41)/I41</f>
        <v>-0.1778774923535181</v>
      </c>
      <c r="I41" s="313">
        <v>5355.7309999999998</v>
      </c>
      <c r="J41" s="129">
        <v>58692.288280000001</v>
      </c>
      <c r="K41" s="307">
        <f t="shared" si="10"/>
        <v>0.10975935957648301</v>
      </c>
    </row>
    <row r="42" spans="1:11" ht="11.1" customHeight="1">
      <c r="A42" s="423"/>
      <c r="B42" s="423"/>
      <c r="C42" s="154" t="s">
        <v>7</v>
      </c>
      <c r="D42" s="313">
        <v>350690</v>
      </c>
      <c r="E42" s="129">
        <v>8951.7000000000007</v>
      </c>
      <c r="F42" s="129">
        <v>98225.4</v>
      </c>
      <c r="G42" s="307">
        <f>E42/$E$44</f>
        <v>0.16806254434154605</v>
      </c>
      <c r="H42" s="307">
        <f t="shared" si="11"/>
        <v>-0.18244835333442919</v>
      </c>
      <c r="I42" s="313">
        <v>10949.4</v>
      </c>
      <c r="J42" s="129">
        <v>120001.8</v>
      </c>
      <c r="K42" s="307">
        <f t="shared" si="10"/>
        <v>0.22439497647412524</v>
      </c>
    </row>
    <row r="43" spans="1:11" ht="11.1" customHeight="1">
      <c r="A43" s="423"/>
      <c r="B43" s="423"/>
      <c r="C43" s="154" t="s">
        <v>93</v>
      </c>
      <c r="D43" s="313">
        <v>33</v>
      </c>
      <c r="E43" s="129">
        <v>2011.6369999999999</v>
      </c>
      <c r="F43" s="129">
        <v>22060.773000000001</v>
      </c>
      <c r="G43" s="307">
        <f>E43/$E$44</f>
        <v>3.7767221031937463E-2</v>
      </c>
      <c r="H43" s="307">
        <f t="shared" si="11"/>
        <v>4.2353511764087047E-2</v>
      </c>
      <c r="I43" s="313">
        <v>1929.8990000000001</v>
      </c>
      <c r="J43" s="129">
        <v>21127.69742</v>
      </c>
      <c r="K43" s="307">
        <f t="shared" si="10"/>
        <v>3.9550992812614191E-2</v>
      </c>
    </row>
    <row r="44" spans="1:11" ht="11.1" customHeight="1">
      <c r="A44" s="424"/>
      <c r="B44" s="424"/>
      <c r="C44" s="318" t="s">
        <v>0</v>
      </c>
      <c r="D44" s="321">
        <v>369381</v>
      </c>
      <c r="E44" s="319">
        <v>53264.099000000017</v>
      </c>
      <c r="F44" s="319">
        <v>584144.94889</v>
      </c>
      <c r="G44" s="320">
        <f>SUM(G39:G43)</f>
        <v>0.99999999999999967</v>
      </c>
      <c r="H44" s="320">
        <f>(E44-I44)/I44</f>
        <v>9.1584583814682166E-2</v>
      </c>
      <c r="I44" s="321">
        <v>48795.21</v>
      </c>
      <c r="J44" s="319">
        <v>534385.15497000003</v>
      </c>
      <c r="K44" s="320">
        <f>SUM(K39:K43)</f>
        <v>1</v>
      </c>
    </row>
    <row r="45" spans="1:11" ht="11.1" customHeight="1">
      <c r="A45" s="422" t="str">
        <f>'3.1'!E5</f>
        <v>Listopad</v>
      </c>
      <c r="B45" s="422"/>
      <c r="C45" s="164" t="s">
        <v>4</v>
      </c>
      <c r="D45" s="312">
        <v>178</v>
      </c>
      <c r="E45" s="308">
        <v>40216.761000000006</v>
      </c>
      <c r="F45" s="308">
        <v>439259.8047700001</v>
      </c>
      <c r="G45" s="309">
        <f>E45/$E$50</f>
        <v>0.50676833411076838</v>
      </c>
      <c r="H45" s="309">
        <f>(E45-I45)/I45</f>
        <v>0.14399838473306528</v>
      </c>
      <c r="I45" s="312">
        <v>35154.560999999994</v>
      </c>
      <c r="J45" s="308">
        <v>383835.78528999997</v>
      </c>
      <c r="K45" s="309">
        <f>I45/$I$50</f>
        <v>0.47765428449830327</v>
      </c>
    </row>
    <row r="46" spans="1:11" ht="11.1" customHeight="1">
      <c r="A46" s="423"/>
      <c r="B46" s="423"/>
      <c r="C46" s="154" t="s">
        <v>5</v>
      </c>
      <c r="D46" s="313">
        <v>427</v>
      </c>
      <c r="E46" s="129">
        <v>4826.0010000000002</v>
      </c>
      <c r="F46" s="129">
        <v>52724.850480000001</v>
      </c>
      <c r="G46" s="307">
        <f t="shared" ref="G46:G49" si="12">E46/$E$50</f>
        <v>6.0812070051760314E-2</v>
      </c>
      <c r="H46" s="307">
        <f>(E46-I46)/I46</f>
        <v>-6.3478159115920238E-2</v>
      </c>
      <c r="I46" s="313">
        <v>5153.110999999999</v>
      </c>
      <c r="J46" s="129">
        <v>56290.437859999969</v>
      </c>
      <c r="K46" s="307">
        <f t="shared" ref="K46:K49" si="13">I46/$I$50</f>
        <v>7.0016677143126205E-2</v>
      </c>
    </row>
    <row r="47" spans="1:11" ht="11.1" customHeight="1">
      <c r="A47" s="423"/>
      <c r="B47" s="423"/>
      <c r="C47" s="154" t="s">
        <v>6</v>
      </c>
      <c r="D47" s="313">
        <v>18065</v>
      </c>
      <c r="E47" s="129">
        <v>10344.285</v>
      </c>
      <c r="F47" s="129">
        <v>113059.68538000001</v>
      </c>
      <c r="G47" s="307">
        <f t="shared" si="12"/>
        <v>0.13034754531865481</v>
      </c>
      <c r="H47" s="307">
        <f t="shared" ref="H47:H49" si="14">(E47-I47)/I47</f>
        <v>1.9789322299459074E-2</v>
      </c>
      <c r="I47" s="313">
        <v>10143.550999999999</v>
      </c>
      <c r="J47" s="129">
        <v>110847.57604999999</v>
      </c>
      <c r="K47" s="307">
        <f t="shared" si="13"/>
        <v>0.13782310054098099</v>
      </c>
    </row>
    <row r="48" spans="1:11" ht="11.1" customHeight="1">
      <c r="A48" s="423"/>
      <c r="B48" s="423"/>
      <c r="C48" s="154" t="s">
        <v>7</v>
      </c>
      <c r="D48" s="313">
        <v>350478</v>
      </c>
      <c r="E48" s="129">
        <v>21922.799999999999</v>
      </c>
      <c r="F48" s="129">
        <v>239629.057</v>
      </c>
      <c r="G48" s="307">
        <f t="shared" si="12"/>
        <v>0.27624752861235025</v>
      </c>
      <c r="H48" s="307">
        <f t="shared" si="14"/>
        <v>3.5970815061243042E-2</v>
      </c>
      <c r="I48" s="313">
        <v>21161.599999999999</v>
      </c>
      <c r="J48" s="129">
        <v>231257.60000000001</v>
      </c>
      <c r="K48" s="307">
        <f t="shared" si="13"/>
        <v>0.28752823586217718</v>
      </c>
    </row>
    <row r="49" spans="1:11" ht="11.1" customHeight="1">
      <c r="A49" s="423"/>
      <c r="B49" s="423"/>
      <c r="C49" s="154" t="s">
        <v>93</v>
      </c>
      <c r="D49" s="313">
        <v>33</v>
      </c>
      <c r="E49" s="129">
        <v>2049.415</v>
      </c>
      <c r="F49" s="129">
        <v>22387.912390000001</v>
      </c>
      <c r="G49" s="307">
        <f t="shared" si="12"/>
        <v>2.5824521906466315E-2</v>
      </c>
      <c r="H49" s="307">
        <f t="shared" si="14"/>
        <v>3.2183605857223907E-2</v>
      </c>
      <c r="I49" s="313">
        <v>1985.5139999999999</v>
      </c>
      <c r="J49" s="129">
        <v>21681.411239999998</v>
      </c>
      <c r="K49" s="307">
        <f t="shared" si="13"/>
        <v>2.6977701955412395E-2</v>
      </c>
    </row>
    <row r="50" spans="1:11" ht="11.1" customHeight="1">
      <c r="A50" s="424"/>
      <c r="B50" s="424"/>
      <c r="C50" s="318" t="s">
        <v>0</v>
      </c>
      <c r="D50" s="321">
        <v>369181</v>
      </c>
      <c r="E50" s="319">
        <v>79359.262000000002</v>
      </c>
      <c r="F50" s="319">
        <v>867061.31002000009</v>
      </c>
      <c r="G50" s="320">
        <f>SUM(G45:G49)</f>
        <v>1</v>
      </c>
      <c r="H50" s="320">
        <f t="shared" ref="H50" si="15">(E50-I50)/I50</f>
        <v>7.8275206136791092E-2</v>
      </c>
      <c r="I50" s="321">
        <v>73598.336999999985</v>
      </c>
      <c r="J50" s="319">
        <v>803912.81043999991</v>
      </c>
      <c r="K50" s="320">
        <f>SUM(K45:K49)</f>
        <v>1.0000000000000002</v>
      </c>
    </row>
    <row r="51" spans="1:11" ht="11.1" customHeight="1">
      <c r="A51" s="422" t="str">
        <f>'3.1'!F5</f>
        <v>Prosinec</v>
      </c>
      <c r="B51" s="422"/>
      <c r="C51" s="164" t="s">
        <v>4</v>
      </c>
      <c r="D51" s="312">
        <v>178</v>
      </c>
      <c r="E51" s="308">
        <v>39374.602999999996</v>
      </c>
      <c r="F51" s="308">
        <v>429104.50057000003</v>
      </c>
      <c r="G51" s="309">
        <f>E51/$E$56</f>
        <v>0.42931796415859391</v>
      </c>
      <c r="H51" s="309">
        <f>(E51-I51)/I51</f>
        <v>-2.7358441184828084E-2</v>
      </c>
      <c r="I51" s="312">
        <v>40482.131000000001</v>
      </c>
      <c r="J51" s="308">
        <v>440459.63557999983</v>
      </c>
      <c r="K51" s="309">
        <f>I51/$I$56</f>
        <v>0.41761955786052174</v>
      </c>
    </row>
    <row r="52" spans="1:11" ht="11.1" customHeight="1">
      <c r="A52" s="423"/>
      <c r="B52" s="423"/>
      <c r="C52" s="154" t="s">
        <v>5</v>
      </c>
      <c r="D52" s="313">
        <v>427</v>
      </c>
      <c r="E52" s="129">
        <v>5993.6970000000001</v>
      </c>
      <c r="F52" s="129">
        <v>65332.164729999968</v>
      </c>
      <c r="G52" s="307">
        <f t="shared" ref="G52:G55" si="16">E52/$E$56</f>
        <v>6.5351815580806549E-2</v>
      </c>
      <c r="H52" s="307">
        <f t="shared" ref="H52:H55" si="17">(E52-I52)/I52</f>
        <v>-8.9326208629594547E-2</v>
      </c>
      <c r="I52" s="313">
        <v>6581.607</v>
      </c>
      <c r="J52" s="129">
        <v>71618.233869999953</v>
      </c>
      <c r="K52" s="307">
        <f t="shared" ref="K52:K55" si="18">I52/$I$56</f>
        <v>6.7896816137265975E-2</v>
      </c>
    </row>
    <row r="53" spans="1:11" ht="11.1" customHeight="1">
      <c r="A53" s="423"/>
      <c r="B53" s="423"/>
      <c r="C53" s="154" t="s">
        <v>6</v>
      </c>
      <c r="D53" s="313">
        <v>18075</v>
      </c>
      <c r="E53" s="129">
        <v>13884.166999999999</v>
      </c>
      <c r="F53" s="129">
        <v>151406.20457999999</v>
      </c>
      <c r="G53" s="307">
        <f t="shared" si="16"/>
        <v>0.15138495010293648</v>
      </c>
      <c r="H53" s="307">
        <f t="shared" si="17"/>
        <v>-6.2140800667058203E-2</v>
      </c>
      <c r="I53" s="313">
        <v>14804.106</v>
      </c>
      <c r="J53" s="129">
        <v>161160.06289000003</v>
      </c>
      <c r="K53" s="307">
        <f t="shared" si="18"/>
        <v>0.15272131307119918</v>
      </c>
    </row>
    <row r="54" spans="1:11" ht="11.1" customHeight="1">
      <c r="A54" s="423"/>
      <c r="B54" s="423"/>
      <c r="C54" s="154" t="s">
        <v>7</v>
      </c>
      <c r="D54" s="313">
        <v>350333</v>
      </c>
      <c r="E54" s="129">
        <v>30430.826000000001</v>
      </c>
      <c r="F54" s="129">
        <v>331818.48499999999</v>
      </c>
      <c r="G54" s="307">
        <f t="shared" si="16"/>
        <v>0.33180017754044178</v>
      </c>
      <c r="H54" s="307">
        <f t="shared" si="17"/>
        <v>-7.8490967109743168E-2</v>
      </c>
      <c r="I54" s="313">
        <v>33022.819000000003</v>
      </c>
      <c r="J54" s="129">
        <v>359463.32900000003</v>
      </c>
      <c r="K54" s="307">
        <f t="shared" si="18"/>
        <v>0.34066820914363521</v>
      </c>
    </row>
    <row r="55" spans="1:11" ht="11.1" customHeight="1">
      <c r="A55" s="423"/>
      <c r="B55" s="423"/>
      <c r="C55" s="154" t="s">
        <v>93</v>
      </c>
      <c r="D55" s="313">
        <v>33</v>
      </c>
      <c r="E55" s="129">
        <v>2031.0219999999999</v>
      </c>
      <c r="F55" s="129">
        <v>22143.795569999998</v>
      </c>
      <c r="G55" s="307">
        <f t="shared" si="16"/>
        <v>2.2145092617221203E-2</v>
      </c>
      <c r="H55" s="307">
        <f t="shared" si="17"/>
        <v>-6.7215515124957647E-3</v>
      </c>
      <c r="I55" s="313">
        <v>2044.7659999999998</v>
      </c>
      <c r="J55" s="129">
        <v>22242.67253</v>
      </c>
      <c r="K55" s="307">
        <f t="shared" si="18"/>
        <v>2.1094103787377881E-2</v>
      </c>
    </row>
    <row r="56" spans="1:11" ht="11.1" customHeight="1">
      <c r="A56" s="424"/>
      <c r="B56" s="424"/>
      <c r="C56" s="318" t="s">
        <v>0</v>
      </c>
      <c r="D56" s="321">
        <v>369046</v>
      </c>
      <c r="E56" s="319">
        <v>91714.315000000002</v>
      </c>
      <c r="F56" s="319">
        <v>999805.15044999996</v>
      </c>
      <c r="G56" s="320">
        <f>SUM(G51:G55)</f>
        <v>0.99999999999999989</v>
      </c>
      <c r="H56" s="320">
        <f t="shared" ref="H56" si="19">(E56-I56)/I56</f>
        <v>-5.386177225253732E-2</v>
      </c>
      <c r="I56" s="321">
        <v>96935.429000000004</v>
      </c>
      <c r="J56" s="319">
        <v>1054943.9338699998</v>
      </c>
      <c r="K56" s="320">
        <f>SUM(K51:K55)</f>
        <v>0.99999999999999989</v>
      </c>
    </row>
    <row r="57" spans="1:11" ht="11.1" customHeight="1">
      <c r="A57" s="491" t="str">
        <f>'3.1'!G5</f>
        <v>IV. čtvrtletí</v>
      </c>
      <c r="B57" s="422"/>
      <c r="C57" s="164" t="s">
        <v>4</v>
      </c>
      <c r="D57" s="312">
        <f>D51</f>
        <v>178</v>
      </c>
      <c r="E57" s="308">
        <f>E39+E45+E51</f>
        <v>114796.25900000002</v>
      </c>
      <c r="F57" s="308">
        <f>F39+F45+F51</f>
        <v>1254379.6241800003</v>
      </c>
      <c r="G57" s="309">
        <f>E57/$E$62</f>
        <v>0.51171190255175869</v>
      </c>
      <c r="H57" s="309">
        <f>(E57-I57)/I57</f>
        <v>0.11356303544011442</v>
      </c>
      <c r="I57" s="312">
        <f>I39+I45+I51</f>
        <v>103089.143</v>
      </c>
      <c r="J57" s="308">
        <f>J39+J45+J51</f>
        <v>1124812.2683399997</v>
      </c>
      <c r="K57" s="309">
        <f>I57/$I$62</f>
        <v>0.47002062782621107</v>
      </c>
    </row>
    <row r="58" spans="1:11" ht="11.1" customHeight="1">
      <c r="A58" s="423"/>
      <c r="B58" s="423"/>
      <c r="C58" s="154" t="s">
        <v>5</v>
      </c>
      <c r="D58" s="313">
        <f>D52</f>
        <v>427</v>
      </c>
      <c r="E58" s="129">
        <f t="shared" ref="E58:F59" si="20">E40+E46+E52</f>
        <v>13512.498</v>
      </c>
      <c r="F58" s="129">
        <f t="shared" si="20"/>
        <v>147590.11606999993</v>
      </c>
      <c r="G58" s="307">
        <f t="shared" ref="G58:G61" si="21">E58/$E$62</f>
        <v>6.0232851837156411E-2</v>
      </c>
      <c r="H58" s="307">
        <f t="shared" ref="H58:H61" si="22">(E58-I58)/I58</f>
        <v>-8.9604429781692932E-2</v>
      </c>
      <c r="I58" s="313">
        <f t="shared" ref="I58:J58" si="23">I40+I46+I52</f>
        <v>14842.446999999998</v>
      </c>
      <c r="J58" s="129">
        <f t="shared" si="23"/>
        <v>161955.19352999993</v>
      </c>
      <c r="K58" s="307">
        <f t="shared" ref="K58:K61" si="24">I58/$I$62</f>
        <v>6.7672075394178632E-2</v>
      </c>
    </row>
    <row r="59" spans="1:11" ht="11.1" customHeight="1">
      <c r="A59" s="423"/>
      <c r="B59" s="423"/>
      <c r="C59" s="154" t="s">
        <v>6</v>
      </c>
      <c r="D59" s="313">
        <f>D53</f>
        <v>18075</v>
      </c>
      <c r="E59" s="129">
        <f>E41+E47+E53</f>
        <v>28631.519</v>
      </c>
      <c r="F59" s="129">
        <f t="shared" si="20"/>
        <v>312776.24615000002</v>
      </c>
      <c r="G59" s="307">
        <f t="shared" si="21"/>
        <v>0.12762688599840893</v>
      </c>
      <c r="H59" s="307">
        <f t="shared" si="22"/>
        <v>-5.5171025761211877E-2</v>
      </c>
      <c r="I59" s="313">
        <f>I41+I47+I53</f>
        <v>30303.387999999999</v>
      </c>
      <c r="J59" s="129">
        <f t="shared" ref="J59" si="25">J41+J47+J53</f>
        <v>330699.92722000001</v>
      </c>
      <c r="K59" s="307">
        <f t="shared" si="24"/>
        <v>0.13816408826893897</v>
      </c>
    </row>
    <row r="60" spans="1:11" ht="11.1" customHeight="1">
      <c r="A60" s="423"/>
      <c r="B60" s="423"/>
      <c r="C60" s="154" t="s">
        <v>7</v>
      </c>
      <c r="D60" s="313">
        <f>D54</f>
        <v>350333</v>
      </c>
      <c r="E60" s="129">
        <f t="shared" ref="E60:F61" si="26">E42+E48+E54</f>
        <v>61305.326000000001</v>
      </c>
      <c r="F60" s="129">
        <f t="shared" si="26"/>
        <v>669672.94200000004</v>
      </c>
      <c r="G60" s="307">
        <f t="shared" si="21"/>
        <v>0.27327253760086201</v>
      </c>
      <c r="H60" s="307">
        <f t="shared" si="22"/>
        <v>-5.8778881060236959E-2</v>
      </c>
      <c r="I60" s="313">
        <f t="shared" ref="I60:J60" si="27">I42+I48+I54</f>
        <v>65133.819000000003</v>
      </c>
      <c r="J60" s="129">
        <f t="shared" si="27"/>
        <v>710722.72900000005</v>
      </c>
      <c r="K60" s="307">
        <f t="shared" si="24"/>
        <v>0.29696860026374261</v>
      </c>
    </row>
    <row r="61" spans="1:11" ht="11.1" customHeight="1">
      <c r="A61" s="423"/>
      <c r="B61" s="423"/>
      <c r="C61" s="154" t="s">
        <v>93</v>
      </c>
      <c r="D61" s="313">
        <f>D55</f>
        <v>33</v>
      </c>
      <c r="E61" s="129">
        <f>E43+E49+E55</f>
        <v>6092.0739999999996</v>
      </c>
      <c r="F61" s="129">
        <f t="shared" si="26"/>
        <v>66592.480960000001</v>
      </c>
      <c r="G61" s="307">
        <f t="shared" si="21"/>
        <v>2.7155822011814011E-2</v>
      </c>
      <c r="H61" s="307">
        <f t="shared" si="22"/>
        <v>2.2129368933382625E-2</v>
      </c>
      <c r="I61" s="313">
        <f>I43+I49+I55</f>
        <v>5960.1790000000001</v>
      </c>
      <c r="J61" s="129">
        <f t="shared" ref="J61" si="28">J43+J49+J55</f>
        <v>65051.781189999994</v>
      </c>
      <c r="K61" s="307">
        <f t="shared" si="24"/>
        <v>2.7174608246928574E-2</v>
      </c>
    </row>
    <row r="62" spans="1:11" ht="11.1" customHeight="1">
      <c r="A62" s="424"/>
      <c r="B62" s="424"/>
      <c r="C62" s="318" t="s">
        <v>0</v>
      </c>
      <c r="D62" s="321">
        <f>SUM(D57:D61)</f>
        <v>369046</v>
      </c>
      <c r="E62" s="319">
        <f>SUM(E57:E61)</f>
        <v>224337.67600000001</v>
      </c>
      <c r="F62" s="319">
        <f>SUM(F57:F61)</f>
        <v>2451011.4093600004</v>
      </c>
      <c r="G62" s="320">
        <f>SUM(G57:G61)</f>
        <v>1</v>
      </c>
      <c r="H62" s="320">
        <f>(E62-I62)/I62</f>
        <v>2.2836471912402408E-2</v>
      </c>
      <c r="I62" s="321">
        <f>SUM(I57:I61)</f>
        <v>219328.97600000002</v>
      </c>
      <c r="J62" s="319">
        <f>SUM(J57:J61)</f>
        <v>2393241.89928</v>
      </c>
      <c r="K62" s="320">
        <f>SUM(K57:K61)</f>
        <v>0.99999999999999989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20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495" t="s">
        <v>304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15"/>
      <c r="B3" s="515"/>
      <c r="C3" s="515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487" t="s">
        <v>41</v>
      </c>
      <c r="B4" s="487"/>
      <c r="C4" s="487"/>
      <c r="D4" s="481">
        <f>'3.1'!A4</f>
        <v>2023</v>
      </c>
      <c r="E4" s="353"/>
      <c r="F4" s="342"/>
      <c r="G4" s="342"/>
      <c r="H4" s="342"/>
      <c r="I4" s="481">
        <f>D4-1</f>
        <v>2022</v>
      </c>
      <c r="J4" s="482"/>
      <c r="K4" s="482"/>
    </row>
    <row r="5" spans="1:16" ht="24.95" customHeight="1">
      <c r="A5" s="354"/>
      <c r="B5" s="354"/>
      <c r="C5" s="354"/>
      <c r="D5" s="483"/>
      <c r="E5" s="355"/>
      <c r="F5" s="356"/>
      <c r="G5" s="356"/>
      <c r="H5" s="357"/>
      <c r="I5" s="483"/>
      <c r="J5" s="484"/>
      <c r="K5" s="484"/>
    </row>
    <row r="6" spans="1:16" ht="24.95" customHeight="1">
      <c r="A6" s="304"/>
      <c r="B6" s="272"/>
      <c r="C6" s="305"/>
      <c r="D6" s="364" t="s">
        <v>159</v>
      </c>
      <c r="E6" s="479" t="s">
        <v>60</v>
      </c>
      <c r="F6" s="479"/>
      <c r="G6" s="480" t="s">
        <v>33</v>
      </c>
      <c r="H6" s="480" t="s">
        <v>268</v>
      </c>
      <c r="I6" s="478" t="s">
        <v>60</v>
      </c>
      <c r="J6" s="479"/>
      <c r="K6" s="480" t="s">
        <v>33</v>
      </c>
    </row>
    <row r="7" spans="1:16" ht="24.95" customHeight="1">
      <c r="A7" s="304"/>
      <c r="B7" s="306"/>
      <c r="D7" s="365"/>
      <c r="E7" s="479"/>
      <c r="F7" s="479"/>
      <c r="G7" s="480"/>
      <c r="H7" s="480"/>
      <c r="I7" s="478"/>
      <c r="J7" s="479"/>
      <c r="K7" s="480"/>
    </row>
    <row r="8" spans="1:16" ht="15" customHeight="1">
      <c r="A8" s="488" t="s">
        <v>158</v>
      </c>
      <c r="B8" s="488"/>
      <c r="C8" s="323" t="s">
        <v>184</v>
      </c>
      <c r="D8" s="343"/>
      <c r="E8" s="219" t="s">
        <v>259</v>
      </c>
      <c r="F8" s="219" t="s">
        <v>260</v>
      </c>
      <c r="G8" s="467"/>
      <c r="H8" s="467"/>
      <c r="I8" s="221" t="s">
        <v>259</v>
      </c>
      <c r="J8" s="219" t="s">
        <v>260</v>
      </c>
      <c r="K8" s="467"/>
    </row>
    <row r="9" spans="1:16" ht="11.1" customHeight="1">
      <c r="A9" s="422" t="str">
        <f>'3.1'!D5</f>
        <v>Říjen</v>
      </c>
      <c r="B9" s="422"/>
      <c r="C9" s="164" t="s">
        <v>4</v>
      </c>
      <c r="D9" s="312">
        <v>118</v>
      </c>
      <c r="E9" s="308">
        <v>15184.155000000001</v>
      </c>
      <c r="F9" s="308">
        <v>166612.1612700001</v>
      </c>
      <c r="G9" s="309">
        <f>E9/$E$14</f>
        <v>0.56030505760190119</v>
      </c>
      <c r="H9" s="309">
        <f>(E9-I9)/I9</f>
        <v>1.4746147977000867E-2</v>
      </c>
      <c r="I9" s="312">
        <v>14963.501</v>
      </c>
      <c r="J9" s="308">
        <v>163996.09135000006</v>
      </c>
      <c r="K9" s="309">
        <f>I9/$I$14</f>
        <v>0.51209615983518186</v>
      </c>
    </row>
    <row r="10" spans="1:16" ht="11.1" customHeight="1">
      <c r="A10" s="423"/>
      <c r="B10" s="423"/>
      <c r="C10" s="154" t="s">
        <v>5</v>
      </c>
      <c r="D10" s="313">
        <v>350</v>
      </c>
      <c r="E10" s="129">
        <v>2332.5940000000001</v>
      </c>
      <c r="F10" s="129">
        <v>25594.625049999988</v>
      </c>
      <c r="G10" s="307">
        <f>E10/$E$14</f>
        <v>8.6074214569849233E-2</v>
      </c>
      <c r="H10" s="307">
        <f>(E10-I10)/I10</f>
        <v>-0.12524357187751722</v>
      </c>
      <c r="I10" s="313">
        <v>2666.5639999999999</v>
      </c>
      <c r="J10" s="129">
        <v>29225.10253</v>
      </c>
      <c r="K10" s="307">
        <f>I10/$I$14</f>
        <v>9.1257867016197744E-2</v>
      </c>
      <c r="L10" s="93"/>
      <c r="N10" s="93"/>
      <c r="O10" s="93"/>
      <c r="P10" s="93"/>
    </row>
    <row r="11" spans="1:16" ht="11.1" customHeight="1">
      <c r="A11" s="423"/>
      <c r="B11" s="423"/>
      <c r="C11" s="154" t="s">
        <v>6</v>
      </c>
      <c r="D11" s="313">
        <v>13024</v>
      </c>
      <c r="E11" s="129">
        <v>3276.6</v>
      </c>
      <c r="F11" s="129">
        <v>35953.4</v>
      </c>
      <c r="G11" s="307">
        <f>E11/$E$14</f>
        <v>0.12090864139218739</v>
      </c>
      <c r="H11" s="307">
        <f t="shared" ref="H11:H13" si="0">(E11-I11)/I11</f>
        <v>-0.17776662484316189</v>
      </c>
      <c r="I11" s="313">
        <v>3985</v>
      </c>
      <c r="J11" s="129">
        <v>43674.3</v>
      </c>
      <c r="K11" s="307">
        <f>I11/$I$14</f>
        <v>0.13637872560326622</v>
      </c>
      <c r="L11" s="93"/>
      <c r="N11" s="93"/>
      <c r="O11" s="93"/>
      <c r="P11" s="93"/>
    </row>
    <row r="12" spans="1:16" ht="11.1" customHeight="1">
      <c r="A12" s="423"/>
      <c r="B12" s="423"/>
      <c r="C12" s="154" t="s">
        <v>7</v>
      </c>
      <c r="D12" s="313">
        <v>169367</v>
      </c>
      <c r="E12" s="129">
        <v>5932.7</v>
      </c>
      <c r="F12" s="129">
        <v>65098.1</v>
      </c>
      <c r="G12" s="307">
        <f>E12/$E$14</f>
        <v>0.21892043483715748</v>
      </c>
      <c r="H12" s="307">
        <f t="shared" si="0"/>
        <v>-0.18244081250172264</v>
      </c>
      <c r="I12" s="313">
        <v>7256.6</v>
      </c>
      <c r="J12" s="129">
        <v>79530.2</v>
      </c>
      <c r="K12" s="307">
        <f>I12/$I$14</f>
        <v>0.24834275036704187</v>
      </c>
      <c r="L12" s="93"/>
      <c r="N12" s="93"/>
      <c r="O12" s="93"/>
      <c r="P12" s="93"/>
    </row>
    <row r="13" spans="1:16" ht="11.1" customHeight="1">
      <c r="A13" s="423"/>
      <c r="B13" s="423"/>
      <c r="C13" s="154" t="s">
        <v>93</v>
      </c>
      <c r="D13" s="313">
        <v>15</v>
      </c>
      <c r="E13" s="129">
        <v>373.75099999999998</v>
      </c>
      <c r="F13" s="129">
        <v>4101.08655</v>
      </c>
      <c r="G13" s="307">
        <f>E13/$E$14</f>
        <v>1.3791651598904789E-2</v>
      </c>
      <c r="H13" s="307">
        <f t="shared" si="0"/>
        <v>7.2656306054213762E-2</v>
      </c>
      <c r="I13" s="313">
        <v>348.435</v>
      </c>
      <c r="J13" s="129">
        <v>3818.7519900000002</v>
      </c>
      <c r="K13" s="307">
        <f>I13/$I$14</f>
        <v>1.1924497178312189E-2</v>
      </c>
      <c r="L13" s="93"/>
      <c r="N13" s="93"/>
      <c r="O13" s="93"/>
      <c r="P13" s="93"/>
    </row>
    <row r="14" spans="1:16" ht="11.1" customHeight="1">
      <c r="A14" s="424"/>
      <c r="B14" s="424"/>
      <c r="C14" s="318" t="s">
        <v>0</v>
      </c>
      <c r="D14" s="321">
        <v>182874</v>
      </c>
      <c r="E14" s="319">
        <v>27099.8</v>
      </c>
      <c r="F14" s="319">
        <v>297359.37287000008</v>
      </c>
      <c r="G14" s="320">
        <f>SUM(G9:G13)</f>
        <v>1</v>
      </c>
      <c r="H14" s="320">
        <f>(E14-I14)/I14</f>
        <v>-7.2563064465898566E-2</v>
      </c>
      <c r="I14" s="321">
        <v>29220.100000000002</v>
      </c>
      <c r="J14" s="319">
        <v>320244.44587000011</v>
      </c>
      <c r="K14" s="320">
        <f>SUM(K9:K13)</f>
        <v>1</v>
      </c>
      <c r="L14" s="93"/>
    </row>
    <row r="15" spans="1:16" ht="11.1" customHeight="1">
      <c r="A15" s="422" t="str">
        <f>'3.1'!E5</f>
        <v>Listopad</v>
      </c>
      <c r="B15" s="422"/>
      <c r="C15" s="164" t="s">
        <v>4</v>
      </c>
      <c r="D15" s="312">
        <v>119</v>
      </c>
      <c r="E15" s="308">
        <v>18541.476999999999</v>
      </c>
      <c r="F15" s="308">
        <v>202669.11781999996</v>
      </c>
      <c r="G15" s="309">
        <f>E15/$E$20</f>
        <v>0.40918308932898434</v>
      </c>
      <c r="H15" s="309">
        <f>(E15-I15)/I15</f>
        <v>-3.5951115488327759E-2</v>
      </c>
      <c r="I15" s="312">
        <v>19232.921999999999</v>
      </c>
      <c r="J15" s="308">
        <v>210181.02086000002</v>
      </c>
      <c r="K15" s="309">
        <f>I15/$I$20</f>
        <v>0.42229784711319945</v>
      </c>
      <c r="L15" s="93"/>
      <c r="M15" s="93"/>
    </row>
    <row r="16" spans="1:16" ht="11.1" customHeight="1">
      <c r="A16" s="423"/>
      <c r="B16" s="423"/>
      <c r="C16" s="154" t="s">
        <v>5</v>
      </c>
      <c r="D16" s="313">
        <v>346</v>
      </c>
      <c r="E16" s="129">
        <v>4172.0460000000003</v>
      </c>
      <c r="F16" s="129">
        <v>45603.283229999979</v>
      </c>
      <c r="G16" s="307">
        <f>E16/$E$20</f>
        <v>9.2070910591568939E-2</v>
      </c>
      <c r="H16" s="307">
        <f>(E16-I16)/I16</f>
        <v>-4.0581439870852269E-2</v>
      </c>
      <c r="I16" s="313">
        <v>4348.5149999999994</v>
      </c>
      <c r="J16" s="129">
        <v>47521.292499999996</v>
      </c>
      <c r="K16" s="307">
        <f>I16/$I$20</f>
        <v>9.5480474710990582E-2</v>
      </c>
      <c r="L16" s="97"/>
      <c r="M16" s="93"/>
    </row>
    <row r="17" spans="1:20" ht="11.1" customHeight="1">
      <c r="A17" s="423"/>
      <c r="B17" s="423"/>
      <c r="C17" s="154" t="s">
        <v>6</v>
      </c>
      <c r="D17" s="313">
        <v>13031</v>
      </c>
      <c r="E17" s="129">
        <v>7693.2</v>
      </c>
      <c r="F17" s="129">
        <v>84091.199999999997</v>
      </c>
      <c r="G17" s="307">
        <f>E17/$E$20</f>
        <v>0.1697775933829728</v>
      </c>
      <c r="H17" s="307">
        <f t="shared" ref="H17:H20" si="1">(E17-I17)/I17</f>
        <v>1.9642147117296199E-2</v>
      </c>
      <c r="I17" s="313">
        <v>7545</v>
      </c>
      <c r="J17" s="129">
        <v>82452.600000000006</v>
      </c>
      <c r="K17" s="307">
        <f>I17/$I$20</f>
        <v>0.16566579204496801</v>
      </c>
      <c r="L17" s="93"/>
      <c r="M17" s="93"/>
      <c r="N17" s="93"/>
      <c r="O17" s="93"/>
    </row>
    <row r="18" spans="1:20" ht="11.1" customHeight="1">
      <c r="A18" s="423"/>
      <c r="B18" s="423"/>
      <c r="C18" s="154" t="s">
        <v>7</v>
      </c>
      <c r="D18" s="313">
        <v>169303</v>
      </c>
      <c r="E18" s="129">
        <v>14529.2</v>
      </c>
      <c r="F18" s="129">
        <v>158812.1</v>
      </c>
      <c r="G18" s="307">
        <f>E18/$E$20</f>
        <v>0.32063804525813555</v>
      </c>
      <c r="H18" s="307">
        <f t="shared" si="1"/>
        <v>3.5972248960762079E-2</v>
      </c>
      <c r="I18" s="313">
        <v>14024.7</v>
      </c>
      <c r="J18" s="129">
        <v>153264</v>
      </c>
      <c r="K18" s="307">
        <f>I18/$I$20</f>
        <v>0.3079407599328115</v>
      </c>
      <c r="L18" s="93"/>
      <c r="M18" s="93"/>
      <c r="N18" s="93"/>
      <c r="O18" s="93"/>
    </row>
    <row r="19" spans="1:20" ht="11.1" customHeight="1">
      <c r="A19" s="423"/>
      <c r="B19" s="423"/>
      <c r="C19" s="154" t="s">
        <v>93</v>
      </c>
      <c r="D19" s="313">
        <v>15</v>
      </c>
      <c r="E19" s="129">
        <v>377.47699999999998</v>
      </c>
      <c r="F19" s="129">
        <v>4126.0338499999998</v>
      </c>
      <c r="G19" s="307">
        <f>E19/$E$20</f>
        <v>8.3303614383383271E-3</v>
      </c>
      <c r="H19" s="307">
        <f t="shared" si="1"/>
        <v>-3.7939357176900022E-2</v>
      </c>
      <c r="I19" s="313">
        <v>392.363</v>
      </c>
      <c r="J19" s="129">
        <v>4287.8131899999998</v>
      </c>
      <c r="K19" s="307">
        <f>I19/$I$20</f>
        <v>8.6151261980304539E-3</v>
      </c>
      <c r="L19" s="93"/>
      <c r="M19" s="93"/>
      <c r="N19" s="93"/>
      <c r="O19" s="93"/>
    </row>
    <row r="20" spans="1:20" ht="11.1" customHeight="1">
      <c r="A20" s="424"/>
      <c r="B20" s="424"/>
      <c r="C20" s="318" t="s">
        <v>0</v>
      </c>
      <c r="D20" s="321">
        <v>182814</v>
      </c>
      <c r="E20" s="319">
        <v>45313.4</v>
      </c>
      <c r="F20" s="319">
        <v>495301.73489999992</v>
      </c>
      <c r="G20" s="320">
        <f>SUM(G15:G19)</f>
        <v>1</v>
      </c>
      <c r="H20" s="320">
        <f t="shared" si="1"/>
        <v>-5.0523126241944199E-3</v>
      </c>
      <c r="I20" s="321">
        <v>45543.5</v>
      </c>
      <c r="J20" s="319">
        <v>497706.72655000002</v>
      </c>
      <c r="K20" s="320">
        <f>SUM(K15:K19)</f>
        <v>1</v>
      </c>
      <c r="L20" s="93"/>
      <c r="M20" s="93"/>
      <c r="N20" s="93"/>
      <c r="O20" s="93"/>
    </row>
    <row r="21" spans="1:20" ht="11.1" customHeight="1">
      <c r="A21" s="422" t="str">
        <f>'3.1'!F5</f>
        <v>Prosinec</v>
      </c>
      <c r="B21" s="422"/>
      <c r="C21" s="164" t="s">
        <v>4</v>
      </c>
      <c r="D21" s="312">
        <v>119</v>
      </c>
      <c r="E21" s="308">
        <v>18339.91</v>
      </c>
      <c r="F21" s="308">
        <v>200005.48056000008</v>
      </c>
      <c r="G21" s="309">
        <f>E21/$E$26</f>
        <v>0.3398104537622057</v>
      </c>
      <c r="H21" s="309">
        <f>(E21-I21)/I21</f>
        <v>-5.8059804251129457E-2</v>
      </c>
      <c r="I21" s="312">
        <v>19470.355</v>
      </c>
      <c r="J21" s="308">
        <v>211971.67856000006</v>
      </c>
      <c r="K21" s="309">
        <f>I21/$I$26</f>
        <v>0.33548580802015293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3"/>
      <c r="B22" s="423"/>
      <c r="C22" s="154" t="s">
        <v>5</v>
      </c>
      <c r="D22" s="313">
        <v>346</v>
      </c>
      <c r="E22" s="129">
        <v>4898.3279999999995</v>
      </c>
      <c r="F22" s="129">
        <v>53419.089969999972</v>
      </c>
      <c r="G22" s="307">
        <f>E22/$E$26</f>
        <v>9.0758518463619348E-2</v>
      </c>
      <c r="H22" s="307">
        <f t="shared" ref="H22:H26" si="2">(E22-I22)/I22</f>
        <v>-9.952388997279088E-2</v>
      </c>
      <c r="I22" s="313">
        <v>5439.7089999999998</v>
      </c>
      <c r="J22" s="129">
        <v>59221.392500000082</v>
      </c>
      <c r="K22" s="307">
        <f>I22/$I$26</f>
        <v>9.3729424515346438E-2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3"/>
      <c r="B23" s="423"/>
      <c r="C23" s="154" t="s">
        <v>6</v>
      </c>
      <c r="D23" s="313">
        <v>13038</v>
      </c>
      <c r="E23" s="129">
        <v>10323.700000000001</v>
      </c>
      <c r="F23" s="129">
        <v>112585.1</v>
      </c>
      <c r="G23" s="307">
        <f>E23/$E$26</f>
        <v>0.19128235533897839</v>
      </c>
      <c r="H23" s="307">
        <f t="shared" si="2"/>
        <v>-6.2138321356868371E-2</v>
      </c>
      <c r="I23" s="313">
        <v>11007.7</v>
      </c>
      <c r="J23" s="129">
        <v>119839.4</v>
      </c>
      <c r="K23" s="307">
        <f>I23/$I$26</f>
        <v>0.18966922426136748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3"/>
      <c r="B24" s="423"/>
      <c r="C24" s="154" t="s">
        <v>7</v>
      </c>
      <c r="D24" s="313">
        <v>169183</v>
      </c>
      <c r="E24" s="129">
        <v>20041.400000000001</v>
      </c>
      <c r="F24" s="129">
        <v>218561.6</v>
      </c>
      <c r="G24" s="307">
        <f>E24/$E$26</f>
        <v>0.37133645846843683</v>
      </c>
      <c r="H24" s="307">
        <f t="shared" si="2"/>
        <v>-7.8463108912165735E-2</v>
      </c>
      <c r="I24" s="313">
        <v>21747.8</v>
      </c>
      <c r="J24" s="129">
        <v>236765.5</v>
      </c>
      <c r="K24" s="307">
        <f>I24/$I$26</f>
        <v>0.37472754121127638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3"/>
      <c r="B25" s="423"/>
      <c r="C25" s="154" t="s">
        <v>93</v>
      </c>
      <c r="D25" s="313">
        <v>15</v>
      </c>
      <c r="E25" s="129">
        <v>367.66199999999998</v>
      </c>
      <c r="F25" s="129">
        <v>4009.5303400000007</v>
      </c>
      <c r="G25" s="307">
        <f>E25/$E$26</f>
        <v>6.8122139667599274E-3</v>
      </c>
      <c r="H25" s="307">
        <f t="shared" si="2"/>
        <v>-8.2916145181477184E-3</v>
      </c>
      <c r="I25" s="313">
        <v>370.73599999999999</v>
      </c>
      <c r="J25" s="129">
        <v>4036.1607299999996</v>
      </c>
      <c r="K25" s="307">
        <f>I25/$I$26</f>
        <v>6.3880019918568206E-3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24"/>
      <c r="B26" s="424"/>
      <c r="C26" s="318" t="s">
        <v>0</v>
      </c>
      <c r="D26" s="321">
        <v>182701</v>
      </c>
      <c r="E26" s="319">
        <v>53970.999999999993</v>
      </c>
      <c r="F26" s="319">
        <v>588580.80087000015</v>
      </c>
      <c r="G26" s="320">
        <f>SUM(G21:G25)</f>
        <v>1.0000000000000002</v>
      </c>
      <c r="H26" s="320">
        <f t="shared" si="2"/>
        <v>-7.004753921252739E-2</v>
      </c>
      <c r="I26" s="321">
        <v>58036.299999999996</v>
      </c>
      <c r="J26" s="319">
        <v>631834.13179000013</v>
      </c>
      <c r="K26" s="320">
        <f>SUM(K21:K25)</f>
        <v>1</v>
      </c>
    </row>
    <row r="27" spans="1:20" ht="11.1" customHeight="1">
      <c r="A27" s="491" t="str">
        <f>'3.1'!G5</f>
        <v>IV. čtvrtletí</v>
      </c>
      <c r="B27" s="422"/>
      <c r="C27" s="164" t="s">
        <v>4</v>
      </c>
      <c r="D27" s="312">
        <f>D21</f>
        <v>119</v>
      </c>
      <c r="E27" s="308">
        <f>E9+E15+E21</f>
        <v>52065.542000000001</v>
      </c>
      <c r="F27" s="308">
        <f>F9+F15+F21</f>
        <v>569286.75965000014</v>
      </c>
      <c r="G27" s="309">
        <f>E27/$E$32</f>
        <v>0.41196242884790973</v>
      </c>
      <c r="H27" s="309">
        <f>(E27-I27)/I27</f>
        <v>-2.983663375505774E-2</v>
      </c>
      <c r="I27" s="312">
        <f>I9+I15+I21</f>
        <v>53666.777999999991</v>
      </c>
      <c r="J27" s="308">
        <f>J9+J15+J21</f>
        <v>586148.79077000008</v>
      </c>
      <c r="K27" s="309">
        <f>I27/$I$32</f>
        <v>0.4041176085222955</v>
      </c>
    </row>
    <row r="28" spans="1:20" ht="11.1" customHeight="1">
      <c r="A28" s="423"/>
      <c r="B28" s="423"/>
      <c r="C28" s="154" t="s">
        <v>5</v>
      </c>
      <c r="D28" s="313">
        <f>D22</f>
        <v>346</v>
      </c>
      <c r="E28" s="129">
        <f t="shared" ref="E28:F31" si="3">E10+E16+E22</f>
        <v>11402.968000000001</v>
      </c>
      <c r="F28" s="129">
        <f t="shared" si="3"/>
        <v>124616.99824999995</v>
      </c>
      <c r="G28" s="307">
        <f>E28/$E$32</f>
        <v>9.0224632509443431E-2</v>
      </c>
      <c r="H28" s="307">
        <f t="shared" ref="H28:H31" si="4">(E28-I28)/I28</f>
        <v>-8.445105609184192E-2</v>
      </c>
      <c r="I28" s="313">
        <f t="shared" ref="I28:J28" si="5">I10+I16+I22</f>
        <v>12454.788</v>
      </c>
      <c r="J28" s="129">
        <f t="shared" si="5"/>
        <v>135967.78753000009</v>
      </c>
      <c r="K28" s="307">
        <f>I28/$I$32</f>
        <v>9.3786124838949436E-2</v>
      </c>
    </row>
    <row r="29" spans="1:20" ht="11.1" customHeight="1">
      <c r="A29" s="423"/>
      <c r="B29" s="423"/>
      <c r="C29" s="154" t="s">
        <v>6</v>
      </c>
      <c r="D29" s="313">
        <f>D23</f>
        <v>13038</v>
      </c>
      <c r="E29" s="129">
        <f t="shared" si="3"/>
        <v>21293.5</v>
      </c>
      <c r="F29" s="129">
        <f t="shared" si="3"/>
        <v>232629.7</v>
      </c>
      <c r="G29" s="307">
        <f>E29/$E$32</f>
        <v>0.16848229446402319</v>
      </c>
      <c r="H29" s="307">
        <f t="shared" si="4"/>
        <v>-5.5205278267081409E-2</v>
      </c>
      <c r="I29" s="313">
        <f t="shared" ref="I29:J29" si="6">I11+I17+I23</f>
        <v>22537.7</v>
      </c>
      <c r="J29" s="129">
        <f t="shared" si="6"/>
        <v>245966.3</v>
      </c>
      <c r="K29" s="307">
        <f>I29/$I$32</f>
        <v>0.16971172418051522</v>
      </c>
    </row>
    <row r="30" spans="1:20" ht="11.1" customHeight="1">
      <c r="A30" s="423"/>
      <c r="B30" s="423"/>
      <c r="C30" s="154" t="s">
        <v>7</v>
      </c>
      <c r="D30" s="313">
        <f>D24</f>
        <v>169183</v>
      </c>
      <c r="E30" s="129">
        <f t="shared" si="3"/>
        <v>40503.300000000003</v>
      </c>
      <c r="F30" s="129">
        <f t="shared" si="3"/>
        <v>442471.80000000005</v>
      </c>
      <c r="G30" s="307">
        <f>E30/$E$32</f>
        <v>0.32047755969496189</v>
      </c>
      <c r="H30" s="307">
        <f t="shared" si="4"/>
        <v>-5.8699810128494498E-2</v>
      </c>
      <c r="I30" s="313">
        <f t="shared" ref="I30:J30" si="7">I12+I18+I24</f>
        <v>43029.100000000006</v>
      </c>
      <c r="J30" s="129">
        <f t="shared" si="7"/>
        <v>469559.7</v>
      </c>
      <c r="K30" s="307">
        <f>I30/$I$32</f>
        <v>0.3240145512157766</v>
      </c>
    </row>
    <row r="31" spans="1:20" ht="11.1" customHeight="1">
      <c r="A31" s="423"/>
      <c r="B31" s="423"/>
      <c r="C31" s="154" t="s">
        <v>93</v>
      </c>
      <c r="D31" s="313">
        <f>D25</f>
        <v>15</v>
      </c>
      <c r="E31" s="129">
        <f>E13+E19+E25</f>
        <v>1118.8899999999999</v>
      </c>
      <c r="F31" s="129">
        <f t="shared" si="3"/>
        <v>12236.650740000001</v>
      </c>
      <c r="G31" s="307">
        <f>E31/$E$32</f>
        <v>8.8530844836617224E-3</v>
      </c>
      <c r="H31" s="307">
        <f t="shared" si="4"/>
        <v>6.6178812344019761E-3</v>
      </c>
      <c r="I31" s="313">
        <f>I13+I19+I25</f>
        <v>1111.5340000000001</v>
      </c>
      <c r="J31" s="129">
        <f t="shared" ref="J31" si="8">J13+J19+J25</f>
        <v>12142.725909999999</v>
      </c>
      <c r="K31" s="307">
        <f>I31/$I$32</f>
        <v>8.3699912424632858E-3</v>
      </c>
    </row>
    <row r="32" spans="1:20" ht="11.1" customHeight="1">
      <c r="A32" s="424"/>
      <c r="B32" s="424"/>
      <c r="C32" s="318" t="s">
        <v>0</v>
      </c>
      <c r="D32" s="321">
        <f>SUM(D27:D31)</f>
        <v>182701</v>
      </c>
      <c r="E32" s="319">
        <f>SUM(E27:E31)</f>
        <v>126384.20000000001</v>
      </c>
      <c r="F32" s="319">
        <f>SUM(F27:F31)</f>
        <v>1381241.90864</v>
      </c>
      <c r="G32" s="320">
        <f>SUM(G27:G31)</f>
        <v>0.99999999999999989</v>
      </c>
      <c r="H32" s="320">
        <f>(E32-I32)/I32</f>
        <v>-4.8311030354691406E-2</v>
      </c>
      <c r="I32" s="321">
        <f>SUM(I27:I31)</f>
        <v>132799.9</v>
      </c>
      <c r="J32" s="319">
        <f>SUM(J27:J31)</f>
        <v>1449785.3042100002</v>
      </c>
      <c r="K32" s="320">
        <f>SUM(K27:K31)</f>
        <v>1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16" t="s">
        <v>42</v>
      </c>
      <c r="B34" s="516"/>
      <c r="C34" s="516"/>
      <c r="D34" s="481">
        <f>D4</f>
        <v>2023</v>
      </c>
      <c r="E34" s="353"/>
      <c r="F34" s="342"/>
      <c r="G34" s="342"/>
      <c r="H34" s="342"/>
      <c r="I34" s="481">
        <f>D34-1</f>
        <v>2022</v>
      </c>
      <c r="J34" s="482"/>
      <c r="K34" s="482"/>
    </row>
    <row r="35" spans="1:11" ht="24.95" customHeight="1">
      <c r="A35" s="304"/>
      <c r="B35" s="272"/>
      <c r="C35" s="150"/>
      <c r="D35" s="483"/>
      <c r="E35" s="355"/>
      <c r="F35" s="356"/>
      <c r="G35" s="356"/>
      <c r="H35" s="357"/>
      <c r="I35" s="483"/>
      <c r="J35" s="484"/>
      <c r="K35" s="484"/>
    </row>
    <row r="36" spans="1:11" ht="24.95" customHeight="1">
      <c r="A36" s="130"/>
      <c r="B36" s="131"/>
      <c r="C36" s="352"/>
      <c r="D36" s="364" t="s">
        <v>159</v>
      </c>
      <c r="E36" s="479" t="s">
        <v>60</v>
      </c>
      <c r="F36" s="479"/>
      <c r="G36" s="480" t="s">
        <v>33</v>
      </c>
      <c r="H36" s="480" t="s">
        <v>268</v>
      </c>
      <c r="I36" s="478" t="s">
        <v>60</v>
      </c>
      <c r="J36" s="479"/>
      <c r="K36" s="480" t="s">
        <v>33</v>
      </c>
    </row>
    <row r="37" spans="1:11" ht="24.95" customHeight="1">
      <c r="A37" s="130"/>
      <c r="B37" s="306"/>
      <c r="C37" s="306"/>
      <c r="D37" s="365"/>
      <c r="E37" s="479"/>
      <c r="F37" s="479"/>
      <c r="G37" s="480"/>
      <c r="H37" s="480"/>
      <c r="I37" s="478"/>
      <c r="J37" s="479"/>
      <c r="K37" s="480"/>
    </row>
    <row r="38" spans="1:11" ht="15" customHeight="1">
      <c r="A38" s="517" t="s">
        <v>158</v>
      </c>
      <c r="B38" s="517"/>
      <c r="C38" s="366" t="s">
        <v>184</v>
      </c>
      <c r="D38" s="343"/>
      <c r="E38" s="219" t="s">
        <v>259</v>
      </c>
      <c r="F38" s="219" t="s">
        <v>260</v>
      </c>
      <c r="G38" s="467"/>
      <c r="H38" s="467"/>
      <c r="I38" s="221" t="s">
        <v>259</v>
      </c>
      <c r="J38" s="219" t="s">
        <v>260</v>
      </c>
      <c r="K38" s="467"/>
    </row>
    <row r="39" spans="1:11" ht="11.1" customHeight="1">
      <c r="A39" s="422" t="str">
        <f>'3.1'!D5</f>
        <v>Říjen</v>
      </c>
      <c r="B39" s="422"/>
      <c r="C39" s="164" t="s">
        <v>4</v>
      </c>
      <c r="D39" s="312">
        <v>82</v>
      </c>
      <c r="E39" s="308">
        <v>8561.2509999999984</v>
      </c>
      <c r="F39" s="308">
        <v>93941.054620000024</v>
      </c>
      <c r="G39" s="309">
        <f>E39/$E$44</f>
        <v>0.45939316376904915</v>
      </c>
      <c r="H39" s="309">
        <f>(E39-I39)/I39</f>
        <v>-8.6406682769597551E-2</v>
      </c>
      <c r="I39" s="312">
        <v>9370.9650000000001</v>
      </c>
      <c r="J39" s="308">
        <v>102703.24521000005</v>
      </c>
      <c r="K39" s="309">
        <f>I39/$I$44</f>
        <v>0.44584790396939805</v>
      </c>
    </row>
    <row r="40" spans="1:11" ht="11.1" customHeight="1">
      <c r="A40" s="423"/>
      <c r="B40" s="423"/>
      <c r="C40" s="154" t="s">
        <v>5</v>
      </c>
      <c r="D40" s="313">
        <v>267</v>
      </c>
      <c r="E40" s="129">
        <v>2409.92</v>
      </c>
      <c r="F40" s="129">
        <v>26443.894570000011</v>
      </c>
      <c r="G40" s="307">
        <f t="shared" ref="G40" si="9">E40/$E$44</f>
        <v>0.12931530371324321</v>
      </c>
      <c r="H40" s="307">
        <f>(E40-I40)/I40</f>
        <v>-2.1531347609304063E-4</v>
      </c>
      <c r="I40" s="313">
        <v>2410.4390000000003</v>
      </c>
      <c r="J40" s="129">
        <v>26418.054860000015</v>
      </c>
      <c r="K40" s="307">
        <f t="shared" ref="K40:K43" si="10">I40/$I$44</f>
        <v>0.11468287159285004</v>
      </c>
    </row>
    <row r="41" spans="1:11" ht="11.1" customHeight="1">
      <c r="A41" s="423"/>
      <c r="B41" s="423"/>
      <c r="C41" s="154" t="s">
        <v>6</v>
      </c>
      <c r="D41" s="313">
        <v>11148</v>
      </c>
      <c r="E41" s="129">
        <v>2680.4549999999999</v>
      </c>
      <c r="F41" s="129">
        <v>29412.31509</v>
      </c>
      <c r="G41" s="307">
        <f>E41/$E$44</f>
        <v>0.14383209916291051</v>
      </c>
      <c r="H41" s="307">
        <f t="shared" ref="H41:H43" si="11">(E41-I41)/I41</f>
        <v>-0.1780027323703082</v>
      </c>
      <c r="I41" s="313">
        <v>3260.9049999999997</v>
      </c>
      <c r="J41" s="129">
        <v>35738.024489999996</v>
      </c>
      <c r="K41" s="307">
        <f t="shared" si="10"/>
        <v>0.1551459918261705</v>
      </c>
    </row>
    <row r="42" spans="1:11" ht="11.1" customHeight="1">
      <c r="A42" s="423"/>
      <c r="B42" s="423"/>
      <c r="C42" s="154" t="s">
        <v>7</v>
      </c>
      <c r="D42" s="313">
        <v>122190</v>
      </c>
      <c r="E42" s="129">
        <v>4729.5</v>
      </c>
      <c r="F42" s="129">
        <v>51896.2</v>
      </c>
      <c r="G42" s="307">
        <f>E42/$E$44</f>
        <v>0.25378300064391507</v>
      </c>
      <c r="H42" s="307">
        <f t="shared" si="11"/>
        <v>-0.18245462402765775</v>
      </c>
      <c r="I42" s="313">
        <v>5785</v>
      </c>
      <c r="J42" s="129">
        <v>63401.5</v>
      </c>
      <c r="K42" s="307">
        <f t="shared" si="10"/>
        <v>0.27523634166416883</v>
      </c>
    </row>
    <row r="43" spans="1:11" ht="11.1" customHeight="1">
      <c r="A43" s="423"/>
      <c r="B43" s="423"/>
      <c r="C43" s="154" t="s">
        <v>93</v>
      </c>
      <c r="D43" s="313">
        <v>15</v>
      </c>
      <c r="E43" s="129">
        <v>254.874</v>
      </c>
      <c r="F43" s="129">
        <v>2796.68732</v>
      </c>
      <c r="G43" s="307">
        <f>E43/$E$44</f>
        <v>1.3676432710882166E-2</v>
      </c>
      <c r="H43" s="307">
        <f t="shared" si="11"/>
        <v>0.3344817295055787</v>
      </c>
      <c r="I43" s="313">
        <v>190.99100000000001</v>
      </c>
      <c r="J43" s="129">
        <v>2093.2096300000003</v>
      </c>
      <c r="K43" s="307">
        <f t="shared" si="10"/>
        <v>9.0868909474124925E-3</v>
      </c>
    </row>
    <row r="44" spans="1:11" ht="11.1" customHeight="1">
      <c r="A44" s="424"/>
      <c r="B44" s="424"/>
      <c r="C44" s="318" t="s">
        <v>0</v>
      </c>
      <c r="D44" s="321">
        <v>133702</v>
      </c>
      <c r="E44" s="319">
        <v>18635.999999999996</v>
      </c>
      <c r="F44" s="319">
        <v>204490.15160000001</v>
      </c>
      <c r="G44" s="320">
        <f>SUM(G39:G43)</f>
        <v>1.0000000000000002</v>
      </c>
      <c r="H44" s="320">
        <f>(E44-I44)/I44</f>
        <v>-0.11334408586802959</v>
      </c>
      <c r="I44" s="321">
        <v>21018.300000000003</v>
      </c>
      <c r="J44" s="319">
        <v>230354.03419000006</v>
      </c>
      <c r="K44" s="320">
        <f>SUM(K39:K43)</f>
        <v>0.99999999999999978</v>
      </c>
    </row>
    <row r="45" spans="1:11" ht="11.1" customHeight="1">
      <c r="A45" s="422" t="str">
        <f>'3.1'!E5</f>
        <v>Listopad</v>
      </c>
      <c r="B45" s="422"/>
      <c r="C45" s="164" t="s">
        <v>4</v>
      </c>
      <c r="D45" s="312">
        <v>82</v>
      </c>
      <c r="E45" s="308">
        <v>10378.502</v>
      </c>
      <c r="F45" s="308">
        <v>113443.11613000007</v>
      </c>
      <c r="G45" s="309">
        <f>E45/$E$50</f>
        <v>0.32045469141749106</v>
      </c>
      <c r="H45" s="309">
        <f>(E45-I45)/I45</f>
        <v>-3.5248435605835403E-3</v>
      </c>
      <c r="I45" s="312">
        <v>10415.214</v>
      </c>
      <c r="J45" s="308">
        <v>113819.61304</v>
      </c>
      <c r="K45" s="309">
        <f>I45/$I$50</f>
        <v>0.32952655458037244</v>
      </c>
    </row>
    <row r="46" spans="1:11" ht="11.1" customHeight="1">
      <c r="A46" s="423"/>
      <c r="B46" s="423"/>
      <c r="C46" s="154" t="s">
        <v>5</v>
      </c>
      <c r="D46" s="313">
        <v>265</v>
      </c>
      <c r="E46" s="129">
        <v>3852.69</v>
      </c>
      <c r="F46" s="129">
        <v>42111.729000000007</v>
      </c>
      <c r="G46" s="307">
        <f t="shared" ref="G46:G49" si="12">E46/$E$50</f>
        <v>0.11895864982029715</v>
      </c>
      <c r="H46" s="307">
        <f>(E46-I46)/I46</f>
        <v>7.1066966393091263E-2</v>
      </c>
      <c r="I46" s="313">
        <v>3597.058</v>
      </c>
      <c r="J46" s="129">
        <v>39308.875749999963</v>
      </c>
      <c r="K46" s="307">
        <f t="shared" ref="K46:K49" si="13">I46/$I$50</f>
        <v>0.11380717951313965</v>
      </c>
    </row>
    <row r="47" spans="1:11" ht="11.1" customHeight="1">
      <c r="A47" s="423"/>
      <c r="B47" s="423"/>
      <c r="C47" s="154" t="s">
        <v>6</v>
      </c>
      <c r="D47" s="313">
        <v>11156</v>
      </c>
      <c r="E47" s="129">
        <v>6296.5110000000004</v>
      </c>
      <c r="F47" s="129">
        <v>68824.80085</v>
      </c>
      <c r="G47" s="307">
        <f t="shared" si="12"/>
        <v>0.19441596576382969</v>
      </c>
      <c r="H47" s="307">
        <f t="shared" ref="H47:H49" si="14">(E47-I47)/I47</f>
        <v>1.9623734965980751E-2</v>
      </c>
      <c r="I47" s="313">
        <v>6175.3280000000004</v>
      </c>
      <c r="J47" s="129">
        <v>67484.689029999994</v>
      </c>
      <c r="K47" s="307">
        <f t="shared" si="13"/>
        <v>0.19538096473521352</v>
      </c>
    </row>
    <row r="48" spans="1:11" ht="11.1" customHeight="1">
      <c r="A48" s="423"/>
      <c r="B48" s="423"/>
      <c r="C48" s="154" t="s">
        <v>7</v>
      </c>
      <c r="D48" s="313">
        <v>122116</v>
      </c>
      <c r="E48" s="129">
        <v>11582.7</v>
      </c>
      <c r="F48" s="129">
        <v>126605.1</v>
      </c>
      <c r="G48" s="307">
        <f t="shared" si="12"/>
        <v>0.35763644447737969</v>
      </c>
      <c r="H48" s="307">
        <f t="shared" si="14"/>
        <v>3.5973346451411002E-2</v>
      </c>
      <c r="I48" s="313">
        <v>11180.5</v>
      </c>
      <c r="J48" s="129">
        <v>122182.2</v>
      </c>
      <c r="K48" s="307">
        <f t="shared" si="13"/>
        <v>0.35373940885764366</v>
      </c>
    </row>
    <row r="49" spans="1:11" ht="11.1" customHeight="1">
      <c r="A49" s="423"/>
      <c r="B49" s="423"/>
      <c r="C49" s="154" t="s">
        <v>93</v>
      </c>
      <c r="D49" s="313">
        <v>15</v>
      </c>
      <c r="E49" s="129">
        <v>276.39699999999999</v>
      </c>
      <c r="F49" s="129">
        <v>3021.18003</v>
      </c>
      <c r="G49" s="307">
        <f t="shared" si="12"/>
        <v>8.5342485210023831E-3</v>
      </c>
      <c r="H49" s="307">
        <f t="shared" si="14"/>
        <v>0.15889727463312364</v>
      </c>
      <c r="I49" s="313">
        <v>238.5</v>
      </c>
      <c r="J49" s="129">
        <v>2606.3721399999999</v>
      </c>
      <c r="K49" s="307">
        <f t="shared" si="13"/>
        <v>7.5458923136306972E-3</v>
      </c>
    </row>
    <row r="50" spans="1:11" ht="11.1" customHeight="1">
      <c r="A50" s="424"/>
      <c r="B50" s="424"/>
      <c r="C50" s="318" t="s">
        <v>0</v>
      </c>
      <c r="D50" s="321">
        <v>133634</v>
      </c>
      <c r="E50" s="319">
        <v>32386.800000000003</v>
      </c>
      <c r="F50" s="319">
        <v>354005.92601000011</v>
      </c>
      <c r="G50" s="320">
        <f>SUM(G45:G49)</f>
        <v>0.99999999999999989</v>
      </c>
      <c r="H50" s="320">
        <f t="shared" ref="H50" si="15">(E50-I50)/I50</f>
        <v>2.4684717748824633E-2</v>
      </c>
      <c r="I50" s="321">
        <v>31606.600000000002</v>
      </c>
      <c r="J50" s="319">
        <v>345401.74995999999</v>
      </c>
      <c r="K50" s="320">
        <f>SUM(K45:K49)</f>
        <v>0.99999999999999989</v>
      </c>
    </row>
    <row r="51" spans="1:11" ht="11.1" customHeight="1">
      <c r="A51" s="422" t="str">
        <f>'3.1'!F5</f>
        <v>Prosinec</v>
      </c>
      <c r="B51" s="422"/>
      <c r="C51" s="164" t="s">
        <v>4</v>
      </c>
      <c r="D51" s="312">
        <v>82</v>
      </c>
      <c r="E51" s="308">
        <v>10567.706</v>
      </c>
      <c r="F51" s="308">
        <v>115245.59368999999</v>
      </c>
      <c r="G51" s="309">
        <f>E51/$E$56</f>
        <v>0.26799686550585561</v>
      </c>
      <c r="H51" s="309">
        <f>(E51-I51)/I51</f>
        <v>7.3351410585298413E-2</v>
      </c>
      <c r="I51" s="312">
        <v>9845.523000000001</v>
      </c>
      <c r="J51" s="308">
        <v>107187.29554000001</v>
      </c>
      <c r="K51" s="309">
        <f>I51/$I$56</f>
        <v>0.24264459938042041</v>
      </c>
    </row>
    <row r="52" spans="1:11" ht="11.1" customHeight="1">
      <c r="A52" s="423"/>
      <c r="B52" s="423"/>
      <c r="C52" s="154" t="s">
        <v>5</v>
      </c>
      <c r="D52" s="313">
        <v>265</v>
      </c>
      <c r="E52" s="129">
        <v>4203.53</v>
      </c>
      <c r="F52" s="129">
        <v>45841.532899999991</v>
      </c>
      <c r="G52" s="307">
        <f t="shared" ref="G52:G55" si="16">E52/$E$56</f>
        <v>0.10660145769193703</v>
      </c>
      <c r="H52" s="307">
        <f t="shared" ref="H52:H55" si="17">(E52-I52)/I52</f>
        <v>1.5706305307996944E-2</v>
      </c>
      <c r="I52" s="313">
        <v>4138.5290000000005</v>
      </c>
      <c r="J52" s="129">
        <v>45055.689679999989</v>
      </c>
      <c r="K52" s="307">
        <f t="shared" ref="K52:K55" si="18">I52/$I$56</f>
        <v>0.10199475550757962</v>
      </c>
    </row>
    <row r="53" spans="1:11" ht="11.1" customHeight="1">
      <c r="A53" s="423"/>
      <c r="B53" s="423"/>
      <c r="C53" s="154" t="s">
        <v>6</v>
      </c>
      <c r="D53" s="313">
        <v>11161</v>
      </c>
      <c r="E53" s="129">
        <v>8455.5869999999995</v>
      </c>
      <c r="F53" s="129">
        <v>92211.975010000009</v>
      </c>
      <c r="G53" s="307">
        <f t="shared" si="16"/>
        <v>0.21443355937533282</v>
      </c>
      <c r="H53" s="307">
        <f t="shared" si="17"/>
        <v>-6.1861995333711534E-2</v>
      </c>
      <c r="I53" s="313">
        <v>9013.1589999999997</v>
      </c>
      <c r="J53" s="129">
        <v>98125.241210000007</v>
      </c>
      <c r="K53" s="307">
        <f t="shared" si="18"/>
        <v>0.22213084614266101</v>
      </c>
    </row>
    <row r="54" spans="1:11" ht="11.1" customHeight="1">
      <c r="A54" s="423"/>
      <c r="B54" s="423"/>
      <c r="C54" s="154" t="s">
        <v>7</v>
      </c>
      <c r="D54" s="313">
        <v>122065</v>
      </c>
      <c r="E54" s="129">
        <v>15977.1</v>
      </c>
      <c r="F54" s="129">
        <v>174237.5</v>
      </c>
      <c r="G54" s="307">
        <f t="shared" si="16"/>
        <v>0.40517901613402241</v>
      </c>
      <c r="H54" s="307">
        <f t="shared" si="17"/>
        <v>-7.8455122769981428E-2</v>
      </c>
      <c r="I54" s="313">
        <v>17337.3</v>
      </c>
      <c r="J54" s="129">
        <v>188749.7</v>
      </c>
      <c r="K54" s="307">
        <f t="shared" si="18"/>
        <v>0.42728072575099996</v>
      </c>
    </row>
    <row r="55" spans="1:11" ht="11.1" customHeight="1">
      <c r="A55" s="423"/>
      <c r="B55" s="423"/>
      <c r="C55" s="154" t="s">
        <v>93</v>
      </c>
      <c r="D55" s="313">
        <v>15</v>
      </c>
      <c r="E55" s="129">
        <v>228.27699999999999</v>
      </c>
      <c r="F55" s="129">
        <v>2489.4623600000004</v>
      </c>
      <c r="G55" s="307">
        <f t="shared" si="16"/>
        <v>5.7891012928520339E-3</v>
      </c>
      <c r="H55" s="307">
        <f t="shared" si="17"/>
        <v>-5.4318962338797634E-2</v>
      </c>
      <c r="I55" s="313">
        <v>241.38900000000001</v>
      </c>
      <c r="J55" s="129">
        <v>2627.9811400000003</v>
      </c>
      <c r="K55" s="307">
        <f t="shared" si="18"/>
        <v>5.949073218338965E-3</v>
      </c>
    </row>
    <row r="56" spans="1:11" ht="11.1" customHeight="1">
      <c r="A56" s="424"/>
      <c r="B56" s="424"/>
      <c r="C56" s="318" t="s">
        <v>0</v>
      </c>
      <c r="D56" s="321">
        <v>133588</v>
      </c>
      <c r="E56" s="319">
        <v>39432.200000000004</v>
      </c>
      <c r="F56" s="319">
        <v>430026.06396</v>
      </c>
      <c r="G56" s="320">
        <f>SUM(G51:G55)</f>
        <v>0.99999999999999989</v>
      </c>
      <c r="H56" s="320">
        <f t="shared" ref="H56" si="19">(E56-I56)/I56</f>
        <v>-2.818668224241476E-2</v>
      </c>
      <c r="I56" s="321">
        <v>40575.9</v>
      </c>
      <c r="J56" s="319">
        <v>441745.90756999998</v>
      </c>
      <c r="K56" s="320">
        <f>SUM(K51:K55)</f>
        <v>0.99999999999999989</v>
      </c>
    </row>
    <row r="57" spans="1:11" ht="11.1" customHeight="1">
      <c r="A57" s="491" t="str">
        <f>'3.1'!G5</f>
        <v>IV. čtvrtletí</v>
      </c>
      <c r="B57" s="422"/>
      <c r="C57" s="164" t="s">
        <v>4</v>
      </c>
      <c r="D57" s="312">
        <f>D51</f>
        <v>82</v>
      </c>
      <c r="E57" s="308">
        <f>E39+E45+E51</f>
        <v>29507.458999999995</v>
      </c>
      <c r="F57" s="308">
        <f>F39+F45+F51</f>
        <v>322629.76444000012</v>
      </c>
      <c r="G57" s="309">
        <f>E57/$E$62</f>
        <v>0.32621147531921951</v>
      </c>
      <c r="H57" s="309">
        <f>(E57-I57)/I57</f>
        <v>-4.1929079875332792E-3</v>
      </c>
      <c r="I57" s="312">
        <f>I39+I45+I51</f>
        <v>29631.702000000001</v>
      </c>
      <c r="J57" s="308">
        <f>J39+J45+J51</f>
        <v>323710.15379000007</v>
      </c>
      <c r="K57" s="309">
        <f>I57/$I$62</f>
        <v>0.31793398769109271</v>
      </c>
    </row>
    <row r="58" spans="1:11" ht="11.1" customHeight="1">
      <c r="A58" s="423"/>
      <c r="B58" s="423"/>
      <c r="C58" s="154" t="s">
        <v>5</v>
      </c>
      <c r="D58" s="313">
        <f>D52</f>
        <v>265</v>
      </c>
      <c r="E58" s="129">
        <f t="shared" ref="E58:F59" si="20">E40+E46+E52</f>
        <v>10466.14</v>
      </c>
      <c r="F58" s="129">
        <f t="shared" si="20"/>
        <v>114397.15647000002</v>
      </c>
      <c r="G58" s="307">
        <f t="shared" ref="G58:G61" si="21">E58/$E$62</f>
        <v>0.11570548891714114</v>
      </c>
      <c r="H58" s="307">
        <f t="shared" ref="H58:H61" si="22">(E58-I58)/I58</f>
        <v>3.1550678068437601E-2</v>
      </c>
      <c r="I58" s="313">
        <f t="shared" ref="I58:J58" si="23">I40+I46+I52</f>
        <v>10146.026000000002</v>
      </c>
      <c r="J58" s="129">
        <f t="shared" si="23"/>
        <v>110782.62028999996</v>
      </c>
      <c r="K58" s="307">
        <f t="shared" ref="K58:K61" si="24">I58/$I$62</f>
        <v>0.10886200547634783</v>
      </c>
    </row>
    <row r="59" spans="1:11" ht="11.1" customHeight="1">
      <c r="A59" s="423"/>
      <c r="B59" s="423"/>
      <c r="C59" s="154" t="s">
        <v>6</v>
      </c>
      <c r="D59" s="313">
        <f>D53</f>
        <v>11161</v>
      </c>
      <c r="E59" s="129">
        <f>E41+E47+E53</f>
        <v>17432.553</v>
      </c>
      <c r="F59" s="129">
        <f t="shared" si="20"/>
        <v>190449.09095000001</v>
      </c>
      <c r="G59" s="307">
        <f t="shared" si="21"/>
        <v>0.19272072301144219</v>
      </c>
      <c r="H59" s="307">
        <f t="shared" si="22"/>
        <v>-5.511504118943323E-2</v>
      </c>
      <c r="I59" s="313">
        <f>I41+I47+I53</f>
        <v>18449.392</v>
      </c>
      <c r="J59" s="129">
        <f t="shared" ref="J59" si="25">J41+J47+J53</f>
        <v>201347.95473</v>
      </c>
      <c r="K59" s="307">
        <f t="shared" si="24"/>
        <v>0.19795315061673285</v>
      </c>
    </row>
    <row r="60" spans="1:11" ht="11.1" customHeight="1">
      <c r="A60" s="423"/>
      <c r="B60" s="423"/>
      <c r="C60" s="154" t="s">
        <v>7</v>
      </c>
      <c r="D60" s="313">
        <f>D54</f>
        <v>122065</v>
      </c>
      <c r="E60" s="129">
        <f t="shared" ref="E60:F61" si="26">E42+E48+E54</f>
        <v>32289.300000000003</v>
      </c>
      <c r="F60" s="129">
        <f t="shared" si="26"/>
        <v>352738.8</v>
      </c>
      <c r="G60" s="307">
        <f t="shared" si="21"/>
        <v>0.35696534188270418</v>
      </c>
      <c r="H60" s="307">
        <f t="shared" si="22"/>
        <v>-5.8697832246930273E-2</v>
      </c>
      <c r="I60" s="313">
        <f t="shared" ref="I60:J60" si="27">I42+I48+I54</f>
        <v>34302.800000000003</v>
      </c>
      <c r="J60" s="129">
        <f t="shared" si="27"/>
        <v>374333.4</v>
      </c>
      <c r="K60" s="307">
        <f t="shared" si="24"/>
        <v>0.36805263474133265</v>
      </c>
    </row>
    <row r="61" spans="1:11" ht="11.1" customHeight="1">
      <c r="A61" s="423"/>
      <c r="B61" s="423"/>
      <c r="C61" s="154" t="s">
        <v>93</v>
      </c>
      <c r="D61" s="313">
        <f>D55</f>
        <v>15</v>
      </c>
      <c r="E61" s="129">
        <f>E43+E49+E55</f>
        <v>759.548</v>
      </c>
      <c r="F61" s="129">
        <f t="shared" si="26"/>
        <v>8307.3297100000018</v>
      </c>
      <c r="G61" s="307">
        <f t="shared" si="21"/>
        <v>8.39697086949312E-3</v>
      </c>
      <c r="H61" s="307">
        <f t="shared" si="22"/>
        <v>0.13216670641545433</v>
      </c>
      <c r="I61" s="313">
        <f>I43+I49+I55</f>
        <v>670.88</v>
      </c>
      <c r="J61" s="129">
        <f t="shared" ref="J61" si="28">J43+J49+J55</f>
        <v>7327.5629100000006</v>
      </c>
      <c r="K61" s="307">
        <f t="shared" si="24"/>
        <v>7.1982214744937796E-3</v>
      </c>
    </row>
    <row r="62" spans="1:11" ht="11.1" customHeight="1">
      <c r="A62" s="424"/>
      <c r="B62" s="424"/>
      <c r="C62" s="318" t="s">
        <v>0</v>
      </c>
      <c r="D62" s="321">
        <f>SUM(D57:D61)</f>
        <v>133588</v>
      </c>
      <c r="E62" s="319">
        <f>SUM(E57:E61)</f>
        <v>90454.999999999985</v>
      </c>
      <c r="F62" s="319">
        <f>SUM(F57:F61)</f>
        <v>988522.14156999998</v>
      </c>
      <c r="G62" s="320">
        <f>SUM(G57:G61)</f>
        <v>1</v>
      </c>
      <c r="H62" s="320">
        <f>(E62-I62)/I62</f>
        <v>-2.9461120505403726E-2</v>
      </c>
      <c r="I62" s="321">
        <f>SUM(I57:I61)</f>
        <v>93200.800000000017</v>
      </c>
      <c r="J62" s="319">
        <f>SUM(J57:J61)</f>
        <v>1017501.69172</v>
      </c>
      <c r="K62" s="320">
        <f>SUM(K57:K61)</f>
        <v>0.99999999999999989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20"/>
  <sheetViews>
    <sheetView showGridLines="0" topLeftCell="A4" zoomScaleNormal="100" zoomScaleSheetLayoutView="100" workbookViewId="0">
      <selection activeCell="D1" sqref="D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495" t="s">
        <v>305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15"/>
      <c r="B3" s="515"/>
      <c r="C3" s="515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487" t="s">
        <v>43</v>
      </c>
      <c r="B4" s="487"/>
      <c r="C4" s="487"/>
      <c r="D4" s="481">
        <f>'3.1'!A4</f>
        <v>2023</v>
      </c>
      <c r="E4" s="353"/>
      <c r="F4" s="342"/>
      <c r="G4" s="342"/>
      <c r="H4" s="342"/>
      <c r="I4" s="481">
        <f>D4-1</f>
        <v>2022</v>
      </c>
      <c r="J4" s="482"/>
      <c r="K4" s="482"/>
    </row>
    <row r="5" spans="1:16" ht="24.95" customHeight="1">
      <c r="A5" s="354"/>
      <c r="B5" s="354"/>
      <c r="C5" s="354"/>
      <c r="D5" s="483"/>
      <c r="E5" s="355"/>
      <c r="F5" s="356"/>
      <c r="G5" s="356"/>
      <c r="H5" s="357"/>
      <c r="I5" s="483"/>
      <c r="J5" s="484"/>
      <c r="K5" s="484"/>
    </row>
    <row r="6" spans="1:16" ht="24.95" customHeight="1">
      <c r="A6" s="304"/>
      <c r="B6" s="272"/>
      <c r="C6" s="305"/>
      <c r="D6" s="364" t="s">
        <v>159</v>
      </c>
      <c r="E6" s="479" t="s">
        <v>60</v>
      </c>
      <c r="F6" s="479"/>
      <c r="G6" s="480" t="s">
        <v>33</v>
      </c>
      <c r="H6" s="480" t="s">
        <v>268</v>
      </c>
      <c r="I6" s="478" t="s">
        <v>60</v>
      </c>
      <c r="J6" s="479"/>
      <c r="K6" s="480" t="s">
        <v>33</v>
      </c>
    </row>
    <row r="7" spans="1:16" ht="24.95" customHeight="1">
      <c r="A7" s="304"/>
      <c r="B7" s="306"/>
      <c r="D7" s="365"/>
      <c r="E7" s="479"/>
      <c r="F7" s="479"/>
      <c r="G7" s="480"/>
      <c r="H7" s="480"/>
      <c r="I7" s="478"/>
      <c r="J7" s="479"/>
      <c r="K7" s="480"/>
    </row>
    <row r="8" spans="1:16" ht="15" customHeight="1">
      <c r="A8" s="488" t="s">
        <v>158</v>
      </c>
      <c r="B8" s="488"/>
      <c r="C8" s="323" t="s">
        <v>184</v>
      </c>
      <c r="D8" s="343"/>
      <c r="E8" s="219" t="s">
        <v>259</v>
      </c>
      <c r="F8" s="219" t="s">
        <v>260</v>
      </c>
      <c r="G8" s="467"/>
      <c r="H8" s="467"/>
      <c r="I8" s="221" t="s">
        <v>259</v>
      </c>
      <c r="J8" s="219" t="s">
        <v>260</v>
      </c>
      <c r="K8" s="467"/>
    </row>
    <row r="9" spans="1:16" ht="11.1" customHeight="1">
      <c r="A9" s="422" t="str">
        <f>'3.1'!D5</f>
        <v>Říjen</v>
      </c>
      <c r="B9" s="422"/>
      <c r="C9" s="164" t="s">
        <v>4</v>
      </c>
      <c r="D9" s="312">
        <v>85</v>
      </c>
      <c r="E9" s="308">
        <v>11027.076999999999</v>
      </c>
      <c r="F9" s="308">
        <v>120997.17795000004</v>
      </c>
      <c r="G9" s="309">
        <f>E9/$E$14</f>
        <v>0.53134857610947817</v>
      </c>
      <c r="H9" s="309">
        <f>(E9-I9)/I9</f>
        <v>-7.5770452720964054E-2</v>
      </c>
      <c r="I9" s="312">
        <v>11931.101999999999</v>
      </c>
      <c r="J9" s="308">
        <v>130761.58541999997</v>
      </c>
      <c r="K9" s="309">
        <f>I9/$I$14</f>
        <v>0.51559618675563079</v>
      </c>
    </row>
    <row r="10" spans="1:16" ht="11.1" customHeight="1">
      <c r="A10" s="423"/>
      <c r="B10" s="423"/>
      <c r="C10" s="154" t="s">
        <v>5</v>
      </c>
      <c r="D10" s="313">
        <v>325</v>
      </c>
      <c r="E10" s="129">
        <v>2242.79</v>
      </c>
      <c r="F10" s="129">
        <v>24609.419279999998</v>
      </c>
      <c r="G10" s="307">
        <f>E10/$E$14</f>
        <v>0.1080706403893413</v>
      </c>
      <c r="H10" s="307">
        <f>(E10-I10)/I10</f>
        <v>3.1113771508068051E-2</v>
      </c>
      <c r="I10" s="313">
        <v>2175.114</v>
      </c>
      <c r="J10" s="129">
        <v>23838.769460000007</v>
      </c>
      <c r="K10" s="307">
        <f>I10/$I$14</f>
        <v>9.3996387270747259E-2</v>
      </c>
      <c r="L10" s="93"/>
      <c r="N10" s="93"/>
      <c r="O10" s="93"/>
      <c r="P10" s="93"/>
    </row>
    <row r="11" spans="1:16" ht="11.1" customHeight="1">
      <c r="A11" s="423"/>
      <c r="B11" s="423"/>
      <c r="C11" s="154" t="s">
        <v>6</v>
      </c>
      <c r="D11" s="313">
        <v>11700</v>
      </c>
      <c r="E11" s="129">
        <v>2939.1169999999997</v>
      </c>
      <c r="F11" s="129">
        <v>32249.899789999999</v>
      </c>
      <c r="G11" s="307">
        <f>E11/$E$14</f>
        <v>0.14162371705295618</v>
      </c>
      <c r="H11" s="307">
        <f t="shared" ref="H11:H13" si="0">(E11-I11)/I11</f>
        <v>-0.17748813925783227</v>
      </c>
      <c r="I11" s="313">
        <v>3573.3429999999998</v>
      </c>
      <c r="J11" s="129">
        <v>39162.425309999999</v>
      </c>
      <c r="K11" s="307">
        <f>I11/$I$14</f>
        <v>0.15442010509757825</v>
      </c>
      <c r="L11" s="93"/>
      <c r="N11" s="93"/>
      <c r="O11" s="93"/>
      <c r="P11" s="93"/>
    </row>
    <row r="12" spans="1:16" ht="11.1" customHeight="1">
      <c r="A12" s="423"/>
      <c r="B12" s="423"/>
      <c r="C12" s="154" t="s">
        <v>7</v>
      </c>
      <c r="D12" s="313">
        <v>144466</v>
      </c>
      <c r="E12" s="129">
        <v>4371.8999999999996</v>
      </c>
      <c r="F12" s="129">
        <v>47972.4</v>
      </c>
      <c r="G12" s="307">
        <f>E12/$E$14</f>
        <v>0.21066351852744181</v>
      </c>
      <c r="H12" s="307">
        <f t="shared" si="0"/>
        <v>-0.18245568105318286</v>
      </c>
      <c r="I12" s="313">
        <v>5347.6</v>
      </c>
      <c r="J12" s="129">
        <v>58607.8</v>
      </c>
      <c r="K12" s="307">
        <f>I12/$I$14</f>
        <v>0.23109367167378264</v>
      </c>
      <c r="L12" s="93"/>
      <c r="N12" s="93"/>
      <c r="O12" s="93"/>
      <c r="P12" s="93"/>
    </row>
    <row r="13" spans="1:16" ht="11.1" customHeight="1">
      <c r="A13" s="423"/>
      <c r="B13" s="423"/>
      <c r="C13" s="154" t="s">
        <v>93</v>
      </c>
      <c r="D13" s="313">
        <v>15</v>
      </c>
      <c r="E13" s="129">
        <v>172.11600000000001</v>
      </c>
      <c r="F13" s="129">
        <v>1888.5827500000003</v>
      </c>
      <c r="G13" s="307">
        <f>E13/$E$14</f>
        <v>8.2935479207825388E-3</v>
      </c>
      <c r="H13" s="307">
        <f t="shared" si="0"/>
        <v>0.51990886692982241</v>
      </c>
      <c r="I13" s="313">
        <v>113.241</v>
      </c>
      <c r="J13" s="129">
        <v>1241.08386</v>
      </c>
      <c r="K13" s="307">
        <f>I13/$I$14</f>
        <v>4.8936492022609804E-3</v>
      </c>
      <c r="L13" s="93"/>
      <c r="N13" s="93"/>
      <c r="O13" s="93"/>
      <c r="P13" s="93"/>
    </row>
    <row r="14" spans="1:16" ht="11.1" customHeight="1">
      <c r="A14" s="424"/>
      <c r="B14" s="424"/>
      <c r="C14" s="318" t="s">
        <v>0</v>
      </c>
      <c r="D14" s="321">
        <v>156591</v>
      </c>
      <c r="E14" s="319">
        <v>20753</v>
      </c>
      <c r="F14" s="319">
        <v>227717.47977000003</v>
      </c>
      <c r="G14" s="320">
        <f>SUM(G9:G13)</f>
        <v>1</v>
      </c>
      <c r="H14" s="320">
        <f>(E14-I14)/I14</f>
        <v>-0.10317021313374018</v>
      </c>
      <c r="I14" s="321">
        <v>23140.400000000001</v>
      </c>
      <c r="J14" s="319">
        <v>253611.66404999996</v>
      </c>
      <c r="K14" s="320">
        <f>SUM(K9:K13)</f>
        <v>0.99999999999999989</v>
      </c>
      <c r="L14" s="93"/>
    </row>
    <row r="15" spans="1:16" ht="11.1" customHeight="1">
      <c r="A15" s="422" t="str">
        <f>'3.1'!E5</f>
        <v>Listopad</v>
      </c>
      <c r="B15" s="422"/>
      <c r="C15" s="164" t="s">
        <v>4</v>
      </c>
      <c r="D15" s="312">
        <v>85</v>
      </c>
      <c r="E15" s="308">
        <v>11920.618999999999</v>
      </c>
      <c r="F15" s="308">
        <v>130299.70079</v>
      </c>
      <c r="G15" s="309">
        <f>E15/$E$20</f>
        <v>0.35492398709001255</v>
      </c>
      <c r="H15" s="309">
        <f>(E15-I15)/I15</f>
        <v>-7.1939050737929819E-2</v>
      </c>
      <c r="I15" s="312">
        <v>12844.651</v>
      </c>
      <c r="J15" s="308">
        <v>140368.17843999999</v>
      </c>
      <c r="K15" s="309">
        <f>I15/$I$20</f>
        <v>0.38060931740331166</v>
      </c>
      <c r="L15" s="93"/>
      <c r="M15" s="93"/>
    </row>
    <row r="16" spans="1:16" ht="11.1" customHeight="1">
      <c r="A16" s="423"/>
      <c r="B16" s="423"/>
      <c r="C16" s="154" t="s">
        <v>5</v>
      </c>
      <c r="D16" s="313">
        <v>325</v>
      </c>
      <c r="E16" s="129">
        <v>3885.13</v>
      </c>
      <c r="F16" s="129">
        <v>42466.586860000003</v>
      </c>
      <c r="G16" s="307">
        <f>E16/$E$20</f>
        <v>0.11567569016030298</v>
      </c>
      <c r="H16" s="307">
        <f>(E16-I16)/I16</f>
        <v>6.9064188758774223E-2</v>
      </c>
      <c r="I16" s="313">
        <v>3634.1409999999996</v>
      </c>
      <c r="J16" s="129">
        <v>39714.788409999986</v>
      </c>
      <c r="K16" s="307">
        <f>I16/$I$20</f>
        <v>0.10768590951652858</v>
      </c>
      <c r="L16" s="97"/>
      <c r="M16" s="93"/>
    </row>
    <row r="17" spans="1:20" ht="11.1" customHeight="1">
      <c r="A17" s="423"/>
      <c r="B17" s="423"/>
      <c r="C17" s="154" t="s">
        <v>6</v>
      </c>
      <c r="D17" s="313">
        <v>11708</v>
      </c>
      <c r="E17" s="129">
        <v>6894.9400000000005</v>
      </c>
      <c r="F17" s="129">
        <v>75366.006789999999</v>
      </c>
      <c r="G17" s="307">
        <f>E17/$E$20</f>
        <v>0.20528964104518496</v>
      </c>
      <c r="H17" s="307">
        <f t="shared" ref="H17:H20" si="1">(E17-I17)/I17</f>
        <v>1.8081551478239272E-2</v>
      </c>
      <c r="I17" s="313">
        <v>6772.4830000000002</v>
      </c>
      <c r="J17" s="129">
        <v>74010.547380000004</v>
      </c>
      <c r="K17" s="307">
        <f>I17/$I$20</f>
        <v>0.2006804335715725</v>
      </c>
      <c r="L17" s="93"/>
      <c r="M17" s="93"/>
      <c r="N17" s="93"/>
      <c r="O17" s="93"/>
    </row>
    <row r="18" spans="1:20" ht="11.1" customHeight="1">
      <c r="A18" s="423"/>
      <c r="B18" s="423"/>
      <c r="C18" s="154" t="s">
        <v>7</v>
      </c>
      <c r="D18" s="313">
        <v>144380</v>
      </c>
      <c r="E18" s="129">
        <v>10706.9</v>
      </c>
      <c r="F18" s="129">
        <v>117032.7</v>
      </c>
      <c r="G18" s="307">
        <f>E18/$E$20</f>
        <v>0.31878677083581447</v>
      </c>
      <c r="H18" s="307">
        <f t="shared" si="1"/>
        <v>3.5974494683166998E-2</v>
      </c>
      <c r="I18" s="313">
        <v>10335.1</v>
      </c>
      <c r="J18" s="129">
        <v>112944.1</v>
      </c>
      <c r="K18" s="307">
        <f>I18/$I$20</f>
        <v>0.30624696274698054</v>
      </c>
      <c r="L18" s="93"/>
      <c r="M18" s="93"/>
      <c r="N18" s="93"/>
      <c r="O18" s="93"/>
    </row>
    <row r="19" spans="1:20" ht="11.1" customHeight="1">
      <c r="A19" s="423"/>
      <c r="B19" s="423"/>
      <c r="C19" s="154" t="s">
        <v>93</v>
      </c>
      <c r="D19" s="313">
        <v>15</v>
      </c>
      <c r="E19" s="129">
        <v>178.81100000000001</v>
      </c>
      <c r="F19" s="129">
        <v>1954.5044799999996</v>
      </c>
      <c r="G19" s="307">
        <f>E19/$E$20</f>
        <v>5.3239108686849437E-3</v>
      </c>
      <c r="H19" s="307">
        <f t="shared" si="1"/>
        <v>0.10907737633741674</v>
      </c>
      <c r="I19" s="313">
        <v>161.22499999999999</v>
      </c>
      <c r="J19" s="129">
        <v>1761.8946900000001</v>
      </c>
      <c r="K19" s="307">
        <f>I19/$I$20</f>
        <v>4.7773767616067515E-3</v>
      </c>
      <c r="L19" s="93"/>
      <c r="M19" s="93"/>
      <c r="N19" s="93"/>
      <c r="O19" s="93"/>
    </row>
    <row r="20" spans="1:20" ht="11.1" customHeight="1">
      <c r="A20" s="424"/>
      <c r="B20" s="424"/>
      <c r="C20" s="318" t="s">
        <v>0</v>
      </c>
      <c r="D20" s="321">
        <v>156513</v>
      </c>
      <c r="E20" s="319">
        <v>33586.400000000001</v>
      </c>
      <c r="F20" s="319">
        <v>367119.49892000004</v>
      </c>
      <c r="G20" s="320">
        <f>SUM(G15:G19)</f>
        <v>0.99999999999999978</v>
      </c>
      <c r="H20" s="320">
        <f t="shared" si="1"/>
        <v>-4.7766359681872816E-3</v>
      </c>
      <c r="I20" s="321">
        <v>33747.599999999999</v>
      </c>
      <c r="J20" s="319">
        <v>368799.50891999993</v>
      </c>
      <c r="K20" s="320">
        <f>SUM(K15:K19)</f>
        <v>1.0000000000000002</v>
      </c>
      <c r="L20" s="93"/>
      <c r="M20" s="93"/>
      <c r="N20" s="93"/>
      <c r="O20" s="93"/>
    </row>
    <row r="21" spans="1:20" ht="11.1" customHeight="1">
      <c r="A21" s="422" t="str">
        <f>'3.1'!F5</f>
        <v>Prosinec</v>
      </c>
      <c r="B21" s="422"/>
      <c r="C21" s="164" t="s">
        <v>4</v>
      </c>
      <c r="D21" s="312">
        <v>85</v>
      </c>
      <c r="E21" s="308">
        <v>9238.3050000000003</v>
      </c>
      <c r="F21" s="308">
        <v>100748.28183999997</v>
      </c>
      <c r="G21" s="309">
        <f>E21/$E$26</f>
        <v>0.24257579258590176</v>
      </c>
      <c r="H21" s="309">
        <f>(E21-I21)/I21</f>
        <v>-0.24243749946698484</v>
      </c>
      <c r="I21" s="312">
        <v>12194.776</v>
      </c>
      <c r="J21" s="308">
        <v>132762.82668</v>
      </c>
      <c r="K21" s="309">
        <f>I21/$I$26</f>
        <v>0.281728242186778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3"/>
      <c r="B22" s="423"/>
      <c r="C22" s="154" t="s">
        <v>5</v>
      </c>
      <c r="D22" s="313">
        <v>325</v>
      </c>
      <c r="E22" s="129">
        <v>4668.1549999999997</v>
      </c>
      <c r="F22" s="129">
        <v>50908.120379999978</v>
      </c>
      <c r="G22" s="307">
        <f>E22/$E$26</f>
        <v>0.12257458473592721</v>
      </c>
      <c r="H22" s="307">
        <f t="shared" ref="H22:H26" si="2">(E22-I22)/I22</f>
        <v>-7.3365277481955829E-2</v>
      </c>
      <c r="I22" s="313">
        <v>5037.7510000000002</v>
      </c>
      <c r="J22" s="129">
        <v>54845.535669999961</v>
      </c>
      <c r="K22" s="307">
        <f>I22/$I$26</f>
        <v>0.11638399375311881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3"/>
      <c r="B23" s="423"/>
      <c r="C23" s="154" t="s">
        <v>6</v>
      </c>
      <c r="D23" s="313">
        <v>11713</v>
      </c>
      <c r="E23" s="129">
        <v>9263.2300000000014</v>
      </c>
      <c r="F23" s="129">
        <v>101019.47171</v>
      </c>
      <c r="G23" s="307">
        <f>E23/$E$26</f>
        <v>0.24323026346884011</v>
      </c>
      <c r="H23" s="307">
        <f t="shared" si="2"/>
        <v>-6.2866793611020488E-2</v>
      </c>
      <c r="I23" s="313">
        <v>9884.6460000000006</v>
      </c>
      <c r="J23" s="129">
        <v>107613.23395000001</v>
      </c>
      <c r="K23" s="307">
        <f>I23/$I$26</f>
        <v>0.22835876134326424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3"/>
      <c r="B24" s="423"/>
      <c r="C24" s="154" t="s">
        <v>7</v>
      </c>
      <c r="D24" s="313">
        <v>144319</v>
      </c>
      <c r="E24" s="129">
        <v>14769.1</v>
      </c>
      <c r="F24" s="129">
        <v>161063.6</v>
      </c>
      <c r="G24" s="307">
        <f>E24/$E$26</f>
        <v>0.38780124040940861</v>
      </c>
      <c r="H24" s="307">
        <f t="shared" si="2"/>
        <v>-7.8457554675069388E-2</v>
      </c>
      <c r="I24" s="313">
        <v>16026.5</v>
      </c>
      <c r="J24" s="129">
        <v>174478.5</v>
      </c>
      <c r="K24" s="307">
        <f>I24/$I$26</f>
        <v>0.37025015247565007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3"/>
      <c r="B25" s="423"/>
      <c r="C25" s="154" t="s">
        <v>93</v>
      </c>
      <c r="D25" s="313">
        <v>15</v>
      </c>
      <c r="E25" s="129">
        <v>145.41</v>
      </c>
      <c r="F25" s="129">
        <v>1585.7676799999999</v>
      </c>
      <c r="G25" s="307">
        <f>E25/$E$26</f>
        <v>3.818118799922277E-3</v>
      </c>
      <c r="H25" s="307">
        <f t="shared" si="2"/>
        <v>2.4540785051470154E-2</v>
      </c>
      <c r="I25" s="313">
        <v>141.92699999999999</v>
      </c>
      <c r="J25" s="129">
        <v>1545.1349700000003</v>
      </c>
      <c r="K25" s="307">
        <f>I25/$I$26</f>
        <v>3.278850241188755E-3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24"/>
      <c r="B26" s="424"/>
      <c r="C26" s="318" t="s">
        <v>0</v>
      </c>
      <c r="D26" s="321">
        <v>156457</v>
      </c>
      <c r="E26" s="319">
        <v>38084.200000000004</v>
      </c>
      <c r="F26" s="319">
        <v>415325.24160999997</v>
      </c>
      <c r="G26" s="320">
        <f>SUM(G21:G25)</f>
        <v>1</v>
      </c>
      <c r="H26" s="320">
        <f t="shared" si="2"/>
        <v>-0.1201646737021088</v>
      </c>
      <c r="I26" s="321">
        <v>43285.600000000006</v>
      </c>
      <c r="J26" s="319">
        <v>471245.23126999999</v>
      </c>
      <c r="K26" s="320">
        <f>SUM(K21:K25)</f>
        <v>0.99999999999999989</v>
      </c>
    </row>
    <row r="27" spans="1:20" ht="11.1" customHeight="1">
      <c r="A27" s="491" t="str">
        <f>'3.1'!G5</f>
        <v>IV. čtvrtletí</v>
      </c>
      <c r="B27" s="422"/>
      <c r="C27" s="164" t="s">
        <v>4</v>
      </c>
      <c r="D27" s="312">
        <f>D21</f>
        <v>85</v>
      </c>
      <c r="E27" s="308">
        <f>E9+E15+E21</f>
        <v>32186.000999999997</v>
      </c>
      <c r="F27" s="308">
        <f>F9+F15+F21</f>
        <v>352045.16058000003</v>
      </c>
      <c r="G27" s="309">
        <f>E27/$E$32</f>
        <v>0.34824439861680345</v>
      </c>
      <c r="H27" s="309">
        <f>(E27-I27)/I27</f>
        <v>-0.12941464808361275</v>
      </c>
      <c r="I27" s="312">
        <f>I9+I15+I21</f>
        <v>36970.528999999995</v>
      </c>
      <c r="J27" s="308">
        <f>J9+J15+J21</f>
        <v>403892.59053999995</v>
      </c>
      <c r="K27" s="309">
        <f>I27/$I$32</f>
        <v>0.36906459386505025</v>
      </c>
    </row>
    <row r="28" spans="1:20" ht="11.1" customHeight="1">
      <c r="A28" s="423"/>
      <c r="B28" s="423"/>
      <c r="C28" s="154" t="s">
        <v>5</v>
      </c>
      <c r="D28" s="313">
        <f>D22</f>
        <v>325</v>
      </c>
      <c r="E28" s="129">
        <f t="shared" ref="E28:F31" si="3">E10+E16+E22</f>
        <v>10796.075000000001</v>
      </c>
      <c r="F28" s="129">
        <f t="shared" si="3"/>
        <v>117984.12651999998</v>
      </c>
      <c r="G28" s="307">
        <f>E28/$E$32</f>
        <v>0.11681080373411121</v>
      </c>
      <c r="H28" s="307">
        <f t="shared" ref="H28:H31" si="4">(E28-I28)/I28</f>
        <v>-4.6953970524215329E-3</v>
      </c>
      <c r="I28" s="313">
        <f t="shared" ref="I28:J28" si="5">I10+I16+I22</f>
        <v>10847.005999999999</v>
      </c>
      <c r="J28" s="129">
        <f t="shared" si="5"/>
        <v>118399.09353999994</v>
      </c>
      <c r="K28" s="307">
        <f>I28/$I$32</f>
        <v>0.10828208230511832</v>
      </c>
    </row>
    <row r="29" spans="1:20" ht="11.1" customHeight="1">
      <c r="A29" s="423"/>
      <c r="B29" s="423"/>
      <c r="C29" s="154" t="s">
        <v>6</v>
      </c>
      <c r="D29" s="313">
        <f>D23</f>
        <v>11713</v>
      </c>
      <c r="E29" s="129">
        <f t="shared" si="3"/>
        <v>19097.287000000004</v>
      </c>
      <c r="F29" s="129">
        <f t="shared" si="3"/>
        <v>208635.37828999999</v>
      </c>
      <c r="G29" s="307">
        <f>E29/$E$32</f>
        <v>0.20662782016714348</v>
      </c>
      <c r="H29" s="307">
        <f t="shared" si="4"/>
        <v>-5.6013769723217414E-2</v>
      </c>
      <c r="I29" s="313">
        <f t="shared" ref="I29:J29" si="6">I11+I17+I23</f>
        <v>20230.472000000002</v>
      </c>
      <c r="J29" s="129">
        <f t="shared" si="6"/>
        <v>220786.20663999999</v>
      </c>
      <c r="K29" s="307">
        <f>I29/$I$32</f>
        <v>0.20195412763442666</v>
      </c>
    </row>
    <row r="30" spans="1:20" ht="11.1" customHeight="1">
      <c r="A30" s="423"/>
      <c r="B30" s="423"/>
      <c r="C30" s="154" t="s">
        <v>7</v>
      </c>
      <c r="D30" s="313">
        <f>D24</f>
        <v>144319</v>
      </c>
      <c r="E30" s="129">
        <f t="shared" si="3"/>
        <v>29847.9</v>
      </c>
      <c r="F30" s="129">
        <f t="shared" si="3"/>
        <v>326068.7</v>
      </c>
      <c r="G30" s="307">
        <f>E30/$E$32</f>
        <v>0.32294673654780814</v>
      </c>
      <c r="H30" s="307">
        <f t="shared" si="4"/>
        <v>-5.8699052640873918E-2</v>
      </c>
      <c r="I30" s="313">
        <f t="shared" ref="I30:J30" si="7">I12+I18+I24</f>
        <v>31709.200000000001</v>
      </c>
      <c r="J30" s="129">
        <f t="shared" si="7"/>
        <v>346030.4</v>
      </c>
      <c r="K30" s="307">
        <f>I30/$I$32</f>
        <v>0.31654248225081261</v>
      </c>
    </row>
    <row r="31" spans="1:20" ht="11.1" customHeight="1">
      <c r="A31" s="423"/>
      <c r="B31" s="423"/>
      <c r="C31" s="154" t="s">
        <v>93</v>
      </c>
      <c r="D31" s="313">
        <f>D25</f>
        <v>15</v>
      </c>
      <c r="E31" s="129">
        <f>E13+E19+E25</f>
        <v>496.33699999999999</v>
      </c>
      <c r="F31" s="129">
        <f t="shared" si="3"/>
        <v>5428.85491</v>
      </c>
      <c r="G31" s="307">
        <f>E31/$E$32</f>
        <v>5.3702409341337054E-3</v>
      </c>
      <c r="H31" s="307">
        <f t="shared" si="4"/>
        <v>0.19199170014865752</v>
      </c>
      <c r="I31" s="313">
        <f>I13+I19+I25</f>
        <v>416.39300000000003</v>
      </c>
      <c r="J31" s="129">
        <f t="shared" ref="J31" si="8">J13+J19+J25</f>
        <v>4548.1135199999999</v>
      </c>
      <c r="K31" s="307">
        <f>I31/$I$32</f>
        <v>4.1567139445921886E-3</v>
      </c>
    </row>
    <row r="32" spans="1:20" ht="11.1" customHeight="1">
      <c r="A32" s="424"/>
      <c r="B32" s="424"/>
      <c r="C32" s="318" t="s">
        <v>0</v>
      </c>
      <c r="D32" s="321">
        <f>SUM(D27:D31)</f>
        <v>156457</v>
      </c>
      <c r="E32" s="319">
        <f>SUM(E27:E31)</f>
        <v>92423.6</v>
      </c>
      <c r="F32" s="319">
        <f>SUM(F27:F31)</f>
        <v>1010162.2202999999</v>
      </c>
      <c r="G32" s="320">
        <f>SUM(G27:G31)</f>
        <v>1</v>
      </c>
      <c r="H32" s="320">
        <f>(E32-I32)/I32</f>
        <v>-7.7365693156679863E-2</v>
      </c>
      <c r="I32" s="321">
        <f>SUM(I27:I31)</f>
        <v>100173.59999999999</v>
      </c>
      <c r="J32" s="319">
        <f>SUM(J27:J31)</f>
        <v>1093656.4042399998</v>
      </c>
      <c r="K32" s="320">
        <f>SUM(K27:K31)</f>
        <v>1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16" t="s">
        <v>90</v>
      </c>
      <c r="B34" s="516"/>
      <c r="C34" s="516"/>
      <c r="D34" s="481">
        <f>D4</f>
        <v>2023</v>
      </c>
      <c r="E34" s="353"/>
      <c r="F34" s="342"/>
      <c r="G34" s="342"/>
      <c r="H34" s="342"/>
      <c r="I34" s="481">
        <f>D34-1</f>
        <v>2022</v>
      </c>
      <c r="J34" s="482"/>
      <c r="K34" s="482"/>
    </row>
    <row r="35" spans="1:11" ht="24.95" customHeight="1">
      <c r="A35" s="304"/>
      <c r="B35" s="272"/>
      <c r="C35" s="150"/>
      <c r="D35" s="483"/>
      <c r="E35" s="355"/>
      <c r="F35" s="356"/>
      <c r="G35" s="356"/>
      <c r="H35" s="357"/>
      <c r="I35" s="483"/>
      <c r="J35" s="484"/>
      <c r="K35" s="484"/>
    </row>
    <row r="36" spans="1:11" ht="24.95" customHeight="1">
      <c r="A36" s="130"/>
      <c r="B36" s="131"/>
      <c r="C36" s="352"/>
      <c r="D36" s="364" t="s">
        <v>159</v>
      </c>
      <c r="E36" s="479" t="s">
        <v>60</v>
      </c>
      <c r="F36" s="479"/>
      <c r="G36" s="480" t="s">
        <v>33</v>
      </c>
      <c r="H36" s="480" t="s">
        <v>268</v>
      </c>
      <c r="I36" s="478" t="s">
        <v>60</v>
      </c>
      <c r="J36" s="479"/>
      <c r="K36" s="480" t="s">
        <v>33</v>
      </c>
    </row>
    <row r="37" spans="1:11" ht="24.95" customHeight="1">
      <c r="A37" s="130"/>
      <c r="B37" s="306"/>
      <c r="C37" s="306"/>
      <c r="D37" s="365"/>
      <c r="E37" s="479"/>
      <c r="F37" s="479"/>
      <c r="G37" s="480"/>
      <c r="H37" s="480"/>
      <c r="I37" s="478"/>
      <c r="J37" s="479"/>
      <c r="K37" s="480"/>
    </row>
    <row r="38" spans="1:11" ht="15" customHeight="1">
      <c r="A38" s="517" t="s">
        <v>158</v>
      </c>
      <c r="B38" s="517"/>
      <c r="C38" s="366" t="s">
        <v>184</v>
      </c>
      <c r="D38" s="343"/>
      <c r="E38" s="219" t="s">
        <v>259</v>
      </c>
      <c r="F38" s="219" t="s">
        <v>260</v>
      </c>
      <c r="G38" s="467"/>
      <c r="H38" s="467"/>
      <c r="I38" s="221" t="s">
        <v>259</v>
      </c>
      <c r="J38" s="219" t="s">
        <v>260</v>
      </c>
      <c r="K38" s="467"/>
    </row>
    <row r="39" spans="1:11" ht="11.1" customHeight="1">
      <c r="A39" s="422" t="str">
        <f>'3.1'!D5</f>
        <v>Říjen</v>
      </c>
      <c r="B39" s="422"/>
      <c r="C39" s="164" t="s">
        <v>4</v>
      </c>
      <c r="D39" s="312">
        <v>134</v>
      </c>
      <c r="E39" s="308">
        <v>10074.514885615212</v>
      </c>
      <c r="F39" s="308">
        <v>110612.44157000001</v>
      </c>
      <c r="G39" s="309">
        <f>E39/$E$44</f>
        <v>0.25155486699344592</v>
      </c>
      <c r="H39" s="309">
        <f>(E39-I39)/I39</f>
        <v>-0.10201537916869224</v>
      </c>
      <c r="I39" s="312">
        <v>11219.028312855455</v>
      </c>
      <c r="J39" s="308">
        <v>123028.35811</v>
      </c>
      <c r="K39" s="309">
        <f>I39/$I$44</f>
        <v>0.24619878430877495</v>
      </c>
    </row>
    <row r="40" spans="1:11" ht="11.1" customHeight="1">
      <c r="A40" s="423"/>
      <c r="B40" s="423"/>
      <c r="C40" s="154" t="s">
        <v>5</v>
      </c>
      <c r="D40" s="313">
        <v>1444</v>
      </c>
      <c r="E40" s="129">
        <v>7731.7967959738207</v>
      </c>
      <c r="F40" s="129">
        <v>84890.570680000004</v>
      </c>
      <c r="G40" s="307">
        <f t="shared" ref="G40" si="9">E40/$E$44</f>
        <v>0.19305853797572448</v>
      </c>
      <c r="H40" s="307">
        <f>(E40-I40)/I40</f>
        <v>-0.12265323490224816</v>
      </c>
      <c r="I40" s="313">
        <v>8812.7033728931146</v>
      </c>
      <c r="J40" s="129">
        <v>96640.473370000007</v>
      </c>
      <c r="K40" s="307">
        <f t="shared" ref="K40:K43" si="10">I40/$I$44</f>
        <v>0.19339258234993273</v>
      </c>
    </row>
    <row r="41" spans="1:11" ht="11.1" customHeight="1">
      <c r="A41" s="423"/>
      <c r="B41" s="423"/>
      <c r="C41" s="154" t="s">
        <v>6</v>
      </c>
      <c r="D41" s="313">
        <v>37440</v>
      </c>
      <c r="E41" s="129">
        <v>9301.9964380886213</v>
      </c>
      <c r="F41" s="129">
        <v>102130.437067858</v>
      </c>
      <c r="G41" s="307">
        <f>E41/$E$44</f>
        <v>0.23226552378199186</v>
      </c>
      <c r="H41" s="307">
        <f t="shared" ref="H41:H43" si="11">(E41-I41)/I41</f>
        <v>-9.9005436728457213E-2</v>
      </c>
      <c r="I41" s="313">
        <v>10324.142694394011</v>
      </c>
      <c r="J41" s="129">
        <v>113214.980115474</v>
      </c>
      <c r="K41" s="307">
        <f t="shared" si="10"/>
        <v>0.22656074211681812</v>
      </c>
    </row>
    <row r="42" spans="1:11" ht="11.1" customHeight="1">
      <c r="A42" s="423"/>
      <c r="B42" s="423"/>
      <c r="C42" s="154" t="s">
        <v>7</v>
      </c>
      <c r="D42" s="313">
        <v>363798</v>
      </c>
      <c r="E42" s="129">
        <v>11815.932587131882</v>
      </c>
      <c r="F42" s="129">
        <v>129731.9739391442</v>
      </c>
      <c r="G42" s="307">
        <f>E42/$E$44</f>
        <v>0.29503706968595877</v>
      </c>
      <c r="H42" s="307">
        <f t="shared" si="11"/>
        <v>-0.17185334707610464</v>
      </c>
      <c r="I42" s="313">
        <v>14267.922891934621</v>
      </c>
      <c r="J42" s="129">
        <v>156462.63852751881</v>
      </c>
      <c r="K42" s="307">
        <f t="shared" si="10"/>
        <v>0.31310601708532315</v>
      </c>
    </row>
    <row r="43" spans="1:11" ht="11.1" customHeight="1">
      <c r="A43" s="423"/>
      <c r="B43" s="423"/>
      <c r="C43" s="154" t="s">
        <v>93</v>
      </c>
      <c r="D43" s="313">
        <v>39</v>
      </c>
      <c r="E43" s="129">
        <v>1124.7355106837867</v>
      </c>
      <c r="F43" s="129">
        <v>12348.932839999999</v>
      </c>
      <c r="G43" s="307">
        <f>E43/$E$44</f>
        <v>2.8084001562879012E-2</v>
      </c>
      <c r="H43" s="307">
        <f t="shared" si="11"/>
        <v>0.1899619441201075</v>
      </c>
      <c r="I43" s="313">
        <v>945.18611812871791</v>
      </c>
      <c r="J43" s="129">
        <v>10364.95046</v>
      </c>
      <c r="K43" s="307">
        <f t="shared" si="10"/>
        <v>2.0741874139151094E-2</v>
      </c>
    </row>
    <row r="44" spans="1:11" ht="11.1" customHeight="1">
      <c r="A44" s="424"/>
      <c r="B44" s="424"/>
      <c r="C44" s="318" t="s">
        <v>0</v>
      </c>
      <c r="D44" s="321">
        <v>402855</v>
      </c>
      <c r="E44" s="319">
        <v>40048.97621749332</v>
      </c>
      <c r="F44" s="319">
        <v>439714.35609700228</v>
      </c>
      <c r="G44" s="320">
        <f>SUM(G39:G43)</f>
        <v>1</v>
      </c>
      <c r="H44" s="320">
        <f>(E44-I44)/I44</f>
        <v>-0.12113518367186146</v>
      </c>
      <c r="I44" s="321">
        <v>45568.983390205918</v>
      </c>
      <c r="J44" s="319">
        <v>499711.40058299288</v>
      </c>
      <c r="K44" s="320">
        <f>SUM(K39:K43)</f>
        <v>1</v>
      </c>
    </row>
    <row r="45" spans="1:11" ht="11.1" customHeight="1">
      <c r="A45" s="422" t="str">
        <f>'3.1'!E5</f>
        <v>Listopad</v>
      </c>
      <c r="B45" s="422"/>
      <c r="C45" s="164" t="s">
        <v>4</v>
      </c>
      <c r="D45" s="312">
        <v>135</v>
      </c>
      <c r="E45" s="308">
        <v>16824.460809249696</v>
      </c>
      <c r="F45" s="308">
        <v>184045.77160000001</v>
      </c>
      <c r="G45" s="309">
        <f>E45/$E$50</f>
        <v>0.20279169934812158</v>
      </c>
      <c r="H45" s="309">
        <f>(E45-I45)/I45</f>
        <v>-3.3621971610119782E-2</v>
      </c>
      <c r="I45" s="312">
        <v>17409.813049331824</v>
      </c>
      <c r="J45" s="308">
        <v>190703.86418999999</v>
      </c>
      <c r="K45" s="309">
        <f>I45/$I$50</f>
        <v>0.21216598639471781</v>
      </c>
    </row>
    <row r="46" spans="1:11" ht="11.1" customHeight="1">
      <c r="A46" s="423"/>
      <c r="B46" s="423"/>
      <c r="C46" s="154" t="s">
        <v>5</v>
      </c>
      <c r="D46" s="313">
        <v>1445</v>
      </c>
      <c r="E46" s="129">
        <v>16280.08302068571</v>
      </c>
      <c r="F46" s="129">
        <v>178090.77637999997</v>
      </c>
      <c r="G46" s="307">
        <f t="shared" ref="G46:G49" si="12">E46/$E$50</f>
        <v>0.19623010441311062</v>
      </c>
      <c r="H46" s="307">
        <f>(E46-I46)/I46</f>
        <v>4.8601168615768416E-2</v>
      </c>
      <c r="I46" s="313">
        <v>15525.524391868294</v>
      </c>
      <c r="J46" s="129">
        <v>170063.53687000001</v>
      </c>
      <c r="K46" s="307">
        <f t="shared" ref="K46:K49" si="13">I46/$I$50</f>
        <v>0.18920296200552303</v>
      </c>
    </row>
    <row r="47" spans="1:11" ht="11.1" customHeight="1">
      <c r="A47" s="423"/>
      <c r="B47" s="423"/>
      <c r="C47" s="154" t="s">
        <v>6</v>
      </c>
      <c r="D47" s="313">
        <v>37520</v>
      </c>
      <c r="E47" s="129">
        <v>21788.960913068968</v>
      </c>
      <c r="F47" s="129">
        <v>238353.38926659134</v>
      </c>
      <c r="G47" s="307">
        <f t="shared" si="12"/>
        <v>0.2626307291917373</v>
      </c>
      <c r="H47" s="307">
        <f t="shared" ref="H47:H49" si="14">(E47-I47)/I47</f>
        <v>6.4345545481609409E-2</v>
      </c>
      <c r="I47" s="313">
        <v>20471.698317870636</v>
      </c>
      <c r="J47" s="129">
        <v>224242.95204458199</v>
      </c>
      <c r="K47" s="307">
        <f t="shared" si="13"/>
        <v>0.24947987979416042</v>
      </c>
    </row>
    <row r="48" spans="1:11" ht="11.1" customHeight="1">
      <c r="A48" s="423"/>
      <c r="B48" s="423"/>
      <c r="C48" s="154" t="s">
        <v>7</v>
      </c>
      <c r="D48" s="313">
        <v>363373</v>
      </c>
      <c r="E48" s="129">
        <v>26950.44199354625</v>
      </c>
      <c r="F48" s="129">
        <v>294815.76551644929</v>
      </c>
      <c r="G48" s="307">
        <f t="shared" si="12"/>
        <v>0.32484404653547722</v>
      </c>
      <c r="H48" s="307">
        <f t="shared" si="14"/>
        <v>-2.4167555474657633E-2</v>
      </c>
      <c r="I48" s="313">
        <v>27617.899102191972</v>
      </c>
      <c r="J48" s="129">
        <v>302521.02819132968</v>
      </c>
      <c r="K48" s="307">
        <f t="shared" si="13"/>
        <v>0.33656758912705487</v>
      </c>
    </row>
    <row r="49" spans="1:11" ht="11.1" customHeight="1">
      <c r="A49" s="423"/>
      <c r="B49" s="423"/>
      <c r="C49" s="154" t="s">
        <v>93</v>
      </c>
      <c r="D49" s="313">
        <v>40</v>
      </c>
      <c r="E49" s="129">
        <v>1120.3011263170383</v>
      </c>
      <c r="F49" s="129">
        <v>12255.1769</v>
      </c>
      <c r="G49" s="307">
        <f t="shared" si="12"/>
        <v>1.350342051155329E-2</v>
      </c>
      <c r="H49" s="307">
        <f t="shared" si="14"/>
        <v>8.4955982474311062E-2</v>
      </c>
      <c r="I49" s="313">
        <v>1032.577491081362</v>
      </c>
      <c r="J49" s="129">
        <v>11310.6505</v>
      </c>
      <c r="K49" s="307">
        <f t="shared" si="13"/>
        <v>1.2583582678543936E-2</v>
      </c>
    </row>
    <row r="50" spans="1:11" ht="11.1" customHeight="1">
      <c r="A50" s="424"/>
      <c r="B50" s="424"/>
      <c r="C50" s="318" t="s">
        <v>0</v>
      </c>
      <c r="D50" s="321">
        <v>402513</v>
      </c>
      <c r="E50" s="319">
        <v>82964.247862867662</v>
      </c>
      <c r="F50" s="319">
        <v>907560.87966304051</v>
      </c>
      <c r="G50" s="320">
        <f>SUM(G45:G49)</f>
        <v>0.99999999999999989</v>
      </c>
      <c r="H50" s="320">
        <f t="shared" ref="H50" si="15">(E50-I50)/I50</f>
        <v>1.1049999988181148E-2</v>
      </c>
      <c r="I50" s="321">
        <v>82057.512352344085</v>
      </c>
      <c r="J50" s="319">
        <v>898842.03179591172</v>
      </c>
      <c r="K50" s="320">
        <f>SUM(K45:K49)</f>
        <v>1</v>
      </c>
    </row>
    <row r="51" spans="1:11" ht="11.1" customHeight="1">
      <c r="A51" s="422" t="str">
        <f>'3.1'!F5</f>
        <v>Prosinec</v>
      </c>
      <c r="B51" s="422"/>
      <c r="C51" s="164" t="s">
        <v>4</v>
      </c>
      <c r="D51" s="312">
        <v>136</v>
      </c>
      <c r="E51" s="308">
        <v>19631.207629888529</v>
      </c>
      <c r="F51" s="308">
        <v>214292.35563000001</v>
      </c>
      <c r="G51" s="309">
        <f>E51/$E$56</f>
        <v>0.18715658585950878</v>
      </c>
      <c r="H51" s="309">
        <f>(E51-I51)/I51</f>
        <v>-0.11494812940774805</v>
      </c>
      <c r="I51" s="312">
        <v>22180.855475455777</v>
      </c>
      <c r="J51" s="308">
        <v>240807.48931999982</v>
      </c>
      <c r="K51" s="309">
        <f>I51/$I$56</f>
        <v>0.19378625549725956</v>
      </c>
    </row>
    <row r="52" spans="1:11" ht="11.1" customHeight="1">
      <c r="A52" s="423"/>
      <c r="B52" s="423"/>
      <c r="C52" s="154" t="s">
        <v>5</v>
      </c>
      <c r="D52" s="313">
        <v>1445</v>
      </c>
      <c r="E52" s="129">
        <v>20487.066765710162</v>
      </c>
      <c r="F52" s="129">
        <v>223634.82524999999</v>
      </c>
      <c r="G52" s="307">
        <f t="shared" ref="G52:G55" si="16">E52/$E$56</f>
        <v>0.19531602652444133</v>
      </c>
      <c r="H52" s="307">
        <f t="shared" ref="H52:H55" si="17">(E52-I52)/I52</f>
        <v>-6.1968870692058704E-2</v>
      </c>
      <c r="I52" s="313">
        <v>21840.497746407487</v>
      </c>
      <c r="J52" s="129">
        <v>238999.21881000019</v>
      </c>
      <c r="K52" s="307">
        <f t="shared" ref="K52:K55" si="18">I52/$I$56</f>
        <v>0.19081267091596138</v>
      </c>
    </row>
    <row r="53" spans="1:11" ht="11.1" customHeight="1">
      <c r="A53" s="423"/>
      <c r="B53" s="423"/>
      <c r="C53" s="154" t="s">
        <v>6</v>
      </c>
      <c r="D53" s="313">
        <v>37531</v>
      </c>
      <c r="E53" s="129">
        <v>28137.489318122603</v>
      </c>
      <c r="F53" s="129">
        <v>307146.09263460204</v>
      </c>
      <c r="G53" s="307">
        <f t="shared" si="16"/>
        <v>0.26825229169399428</v>
      </c>
      <c r="H53" s="307">
        <f t="shared" si="17"/>
        <v>-6.9920632298280577E-2</v>
      </c>
      <c r="I53" s="313">
        <v>30252.78303684124</v>
      </c>
      <c r="J53" s="129">
        <v>331504.43719618686</v>
      </c>
      <c r="K53" s="307">
        <f t="shared" si="18"/>
        <v>0.26430781939712411</v>
      </c>
    </row>
    <row r="54" spans="1:11" ht="11.1" customHeight="1">
      <c r="A54" s="423"/>
      <c r="B54" s="423"/>
      <c r="C54" s="154" t="s">
        <v>7</v>
      </c>
      <c r="D54" s="313">
        <v>363142</v>
      </c>
      <c r="E54" s="129">
        <v>35486.091964726322</v>
      </c>
      <c r="F54" s="129">
        <v>387362.72332648444</v>
      </c>
      <c r="G54" s="307">
        <f t="shared" si="16"/>
        <v>0.33831111884849635</v>
      </c>
      <c r="H54" s="307">
        <f t="shared" si="17"/>
        <v>-9.5778161177961188E-2</v>
      </c>
      <c r="I54" s="313">
        <v>39244.895932789332</v>
      </c>
      <c r="J54" s="129">
        <v>430325.85493122513</v>
      </c>
      <c r="K54" s="307">
        <f t="shared" si="18"/>
        <v>0.34286871570892846</v>
      </c>
    </row>
    <row r="55" spans="1:11" ht="11.1" customHeight="1">
      <c r="A55" s="423"/>
      <c r="B55" s="423"/>
      <c r="C55" s="154" t="s">
        <v>93</v>
      </c>
      <c r="D55" s="313">
        <v>40</v>
      </c>
      <c r="E55" s="129">
        <v>1150.0322544991654</v>
      </c>
      <c r="F55" s="129">
        <v>12553.640069999999</v>
      </c>
      <c r="G55" s="307">
        <f t="shared" si="16"/>
        <v>1.0963977073559162E-2</v>
      </c>
      <c r="H55" s="307">
        <f t="shared" si="17"/>
        <v>0.22163977124921441</v>
      </c>
      <c r="I55" s="313">
        <v>941.38409829533862</v>
      </c>
      <c r="J55" s="129">
        <v>9957.2848199999935</v>
      </c>
      <c r="K55" s="307">
        <f t="shared" si="18"/>
        <v>8.2245384807264413E-3</v>
      </c>
    </row>
    <row r="56" spans="1:11" ht="11.1" customHeight="1">
      <c r="A56" s="424"/>
      <c r="B56" s="424"/>
      <c r="C56" s="318" t="s">
        <v>0</v>
      </c>
      <c r="D56" s="321">
        <v>402294</v>
      </c>
      <c r="E56" s="319">
        <v>104891.88793294679</v>
      </c>
      <c r="F56" s="319">
        <v>1144989.6369110865</v>
      </c>
      <c r="G56" s="320">
        <f>SUM(G51:G55)</f>
        <v>0.99999999999999989</v>
      </c>
      <c r="H56" s="320">
        <f t="shared" ref="H56" si="19">(E56-I56)/I56</f>
        <v>-8.3596833446917873E-2</v>
      </c>
      <c r="I56" s="321">
        <v>114460.41628978918</v>
      </c>
      <c r="J56" s="319">
        <v>1251594.2850774119</v>
      </c>
      <c r="K56" s="320">
        <f>SUM(K51:K55)</f>
        <v>1</v>
      </c>
    </row>
    <row r="57" spans="1:11" ht="11.1" customHeight="1">
      <c r="A57" s="491" t="str">
        <f>'3.1'!G5</f>
        <v>IV. čtvrtletí</v>
      </c>
      <c r="B57" s="422"/>
      <c r="C57" s="164" t="s">
        <v>4</v>
      </c>
      <c r="D57" s="312">
        <f>D51</f>
        <v>136</v>
      </c>
      <c r="E57" s="308">
        <f>E39+E45+E51</f>
        <v>46530.183324753438</v>
      </c>
      <c r="F57" s="308">
        <f>F39+F45+F51</f>
        <v>508950.56880000001</v>
      </c>
      <c r="G57" s="309">
        <f>E57/$E$62</f>
        <v>0.20416471975423026</v>
      </c>
      <c r="H57" s="309">
        <f>(E57-I57)/I57</f>
        <v>-8.422631464549668E-2</v>
      </c>
      <c r="I57" s="312">
        <f>I39+I45+I51</f>
        <v>50809.69683764306</v>
      </c>
      <c r="J57" s="308">
        <f>J39+J45+J51</f>
        <v>554539.71161999984</v>
      </c>
      <c r="K57" s="309">
        <f>I57/$I$62</f>
        <v>0.20988204777817832</v>
      </c>
    </row>
    <row r="58" spans="1:11" ht="11.1" customHeight="1">
      <c r="A58" s="423"/>
      <c r="B58" s="423"/>
      <c r="C58" s="154" t="s">
        <v>5</v>
      </c>
      <c r="D58" s="313">
        <f>D52</f>
        <v>1445</v>
      </c>
      <c r="E58" s="129">
        <f t="shared" ref="E58:F59" si="20">E40+E46+E52</f>
        <v>44498.946582369696</v>
      </c>
      <c r="F58" s="129">
        <f t="shared" si="20"/>
        <v>486616.17230999994</v>
      </c>
      <c r="G58" s="307">
        <f t="shared" ref="G58:G61" si="21">E58/$E$62</f>
        <v>0.19525207745130055</v>
      </c>
      <c r="H58" s="307">
        <f t="shared" ref="H58:H61" si="22">(E58-I58)/I58</f>
        <v>-3.6375601756114512E-2</v>
      </c>
      <c r="I58" s="313">
        <f t="shared" ref="I58:J58" si="23">I40+I46+I52</f>
        <v>46178.725511168901</v>
      </c>
      <c r="J58" s="129">
        <f t="shared" si="23"/>
        <v>505703.2290500002</v>
      </c>
      <c r="K58" s="307">
        <f t="shared" ref="K58:K61" si="24">I58/$I$62</f>
        <v>0.19075267276324348</v>
      </c>
    </row>
    <row r="59" spans="1:11" ht="11.1" customHeight="1">
      <c r="A59" s="423"/>
      <c r="B59" s="423"/>
      <c r="C59" s="154" t="s">
        <v>6</v>
      </c>
      <c r="D59" s="313">
        <f>D53</f>
        <v>37531</v>
      </c>
      <c r="E59" s="129">
        <f>E41+E47+E53</f>
        <v>59228.446669280194</v>
      </c>
      <c r="F59" s="129">
        <f t="shared" si="20"/>
        <v>647629.91896905145</v>
      </c>
      <c r="G59" s="307">
        <f t="shared" si="21"/>
        <v>0.25988204540941467</v>
      </c>
      <c r="H59" s="307">
        <f t="shared" si="22"/>
        <v>-2.9815207274149026E-2</v>
      </c>
      <c r="I59" s="313">
        <f>I41+I47+I53</f>
        <v>61048.624049105885</v>
      </c>
      <c r="J59" s="129">
        <f t="shared" ref="J59" si="25">J41+J47+J53</f>
        <v>668962.36935624282</v>
      </c>
      <c r="K59" s="307">
        <f t="shared" si="24"/>
        <v>0.25217647470735927</v>
      </c>
    </row>
    <row r="60" spans="1:11" ht="11.1" customHeight="1">
      <c r="A60" s="423"/>
      <c r="B60" s="423"/>
      <c r="C60" s="154" t="s">
        <v>7</v>
      </c>
      <c r="D60" s="313">
        <f>D54</f>
        <v>363142</v>
      </c>
      <c r="E60" s="129">
        <f t="shared" ref="E60:F61" si="26">E42+E48+E54</f>
        <v>74252.466545404459</v>
      </c>
      <c r="F60" s="129">
        <f t="shared" si="26"/>
        <v>811910.46278207796</v>
      </c>
      <c r="G60" s="307">
        <f t="shared" si="21"/>
        <v>0.32580430464880811</v>
      </c>
      <c r="H60" s="307">
        <f t="shared" si="22"/>
        <v>-8.4779865842029442E-2</v>
      </c>
      <c r="I60" s="313">
        <f t="shared" ref="I60:J60" si="27">I42+I48+I54</f>
        <v>81130.717926915924</v>
      </c>
      <c r="J60" s="129">
        <f t="shared" si="27"/>
        <v>889309.52165007358</v>
      </c>
      <c r="K60" s="307">
        <f t="shared" si="24"/>
        <v>0.33513054153079569</v>
      </c>
    </row>
    <row r="61" spans="1:11" ht="11.1" customHeight="1">
      <c r="A61" s="423"/>
      <c r="B61" s="423"/>
      <c r="C61" s="154" t="s">
        <v>93</v>
      </c>
      <c r="D61" s="313">
        <f>D55</f>
        <v>40</v>
      </c>
      <c r="E61" s="129">
        <f>E43+E49+E55</f>
        <v>3395.0688914999905</v>
      </c>
      <c r="F61" s="129">
        <f t="shared" si="26"/>
        <v>37157.749810000001</v>
      </c>
      <c r="G61" s="307">
        <f t="shared" si="21"/>
        <v>1.4896852736246418E-2</v>
      </c>
      <c r="H61" s="307">
        <f t="shared" si="22"/>
        <v>0.16303429345864595</v>
      </c>
      <c r="I61" s="313">
        <f>I43+I49+I55</f>
        <v>2919.1477075054186</v>
      </c>
      <c r="J61" s="129">
        <f t="shared" ref="J61" si="28">J43+J49+J55</f>
        <v>31632.885779999993</v>
      </c>
      <c r="K61" s="307">
        <f t="shared" si="24"/>
        <v>1.2058263220423351E-2</v>
      </c>
    </row>
    <row r="62" spans="1:11" ht="11.1" customHeight="1">
      <c r="A62" s="424"/>
      <c r="B62" s="424"/>
      <c r="C62" s="318" t="s">
        <v>0</v>
      </c>
      <c r="D62" s="321">
        <f>SUM(D57:D61)</f>
        <v>402294</v>
      </c>
      <c r="E62" s="319">
        <f>SUM(E57:E61)</f>
        <v>227905.11201330778</v>
      </c>
      <c r="F62" s="319">
        <f>SUM(F57:F61)</f>
        <v>2492264.8726711292</v>
      </c>
      <c r="G62" s="320">
        <f>SUM(G57:G61)</f>
        <v>1.0000000000000002</v>
      </c>
      <c r="H62" s="320">
        <f>(E62-I62)/I62</f>
        <v>-5.8581440442087657E-2</v>
      </c>
      <c r="I62" s="321">
        <f>SUM(I57:I61)</f>
        <v>242086.91203233917</v>
      </c>
      <c r="J62" s="319">
        <f>SUM(J57:J61)</f>
        <v>2650147.7174563166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20"/>
  <sheetViews>
    <sheetView showGridLines="0" topLeftCell="A22" zoomScaleNormal="100" zoomScaleSheetLayoutView="100" workbookViewId="0">
      <selection activeCell="D1" sqref="D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495" t="s">
        <v>306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15"/>
      <c r="B3" s="515"/>
      <c r="C3" s="515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487" t="s">
        <v>44</v>
      </c>
      <c r="B4" s="487"/>
      <c r="C4" s="487"/>
      <c r="D4" s="481">
        <f>'3.1'!A4</f>
        <v>2023</v>
      </c>
      <c r="E4" s="353"/>
      <c r="F4" s="342"/>
      <c r="G4" s="342"/>
      <c r="H4" s="342"/>
      <c r="I4" s="481">
        <f>D4-1</f>
        <v>2022</v>
      </c>
      <c r="J4" s="482"/>
      <c r="K4" s="482"/>
    </row>
    <row r="5" spans="1:16" ht="24.95" customHeight="1">
      <c r="A5" s="354"/>
      <c r="B5" s="354"/>
      <c r="C5" s="354"/>
      <c r="D5" s="483"/>
      <c r="E5" s="355"/>
      <c r="F5" s="356"/>
      <c r="G5" s="356"/>
      <c r="H5" s="357"/>
      <c r="I5" s="483"/>
      <c r="J5" s="484"/>
      <c r="K5" s="484"/>
    </row>
    <row r="6" spans="1:16" ht="24.95" customHeight="1">
      <c r="A6" s="304"/>
      <c r="B6" s="272"/>
      <c r="C6" s="305"/>
      <c r="D6" s="364" t="s">
        <v>159</v>
      </c>
      <c r="E6" s="479" t="s">
        <v>60</v>
      </c>
      <c r="F6" s="479"/>
      <c r="G6" s="480" t="s">
        <v>33</v>
      </c>
      <c r="H6" s="480" t="s">
        <v>268</v>
      </c>
      <c r="I6" s="478" t="s">
        <v>60</v>
      </c>
      <c r="J6" s="479"/>
      <c r="K6" s="480" t="s">
        <v>33</v>
      </c>
    </row>
    <row r="7" spans="1:16" ht="24.95" customHeight="1">
      <c r="A7" s="304"/>
      <c r="B7" s="306"/>
      <c r="D7" s="365"/>
      <c r="E7" s="479"/>
      <c r="F7" s="479"/>
      <c r="G7" s="480"/>
      <c r="H7" s="480"/>
      <c r="I7" s="478"/>
      <c r="J7" s="479"/>
      <c r="K7" s="480"/>
    </row>
    <row r="8" spans="1:16" ht="15" customHeight="1">
      <c r="A8" s="488" t="s">
        <v>158</v>
      </c>
      <c r="B8" s="488"/>
      <c r="C8" s="323" t="s">
        <v>184</v>
      </c>
      <c r="D8" s="343"/>
      <c r="E8" s="219" t="s">
        <v>259</v>
      </c>
      <c r="F8" s="219" t="s">
        <v>260</v>
      </c>
      <c r="G8" s="467"/>
      <c r="H8" s="467"/>
      <c r="I8" s="221" t="s">
        <v>259</v>
      </c>
      <c r="J8" s="219" t="s">
        <v>260</v>
      </c>
      <c r="K8" s="467"/>
    </row>
    <row r="9" spans="1:16" ht="11.1" customHeight="1">
      <c r="A9" s="422" t="str">
        <f>'3.1'!D5</f>
        <v>Říjen</v>
      </c>
      <c r="B9" s="422"/>
      <c r="C9" s="164" t="s">
        <v>4</v>
      </c>
      <c r="D9" s="312">
        <v>181</v>
      </c>
      <c r="E9" s="308">
        <v>46233.014999999999</v>
      </c>
      <c r="F9" s="308">
        <v>507333.15062200004</v>
      </c>
      <c r="G9" s="309">
        <f>E9/$E$14</f>
        <v>0.67966259591541045</v>
      </c>
      <c r="H9" s="309">
        <f>(E9-I9)/I9</f>
        <v>-2.6015795801169372E-2</v>
      </c>
      <c r="I9" s="312">
        <v>47467.930999999997</v>
      </c>
      <c r="J9" s="308">
        <v>520238.76698099996</v>
      </c>
      <c r="K9" s="309">
        <f>I9/$I$14</f>
        <v>0.64830890940100638</v>
      </c>
    </row>
    <row r="10" spans="1:16" ht="11.1" customHeight="1">
      <c r="A10" s="423"/>
      <c r="B10" s="423"/>
      <c r="C10" s="154" t="s">
        <v>5</v>
      </c>
      <c r="D10" s="313">
        <v>619</v>
      </c>
      <c r="E10" s="129">
        <v>5050.4299999999994</v>
      </c>
      <c r="F10" s="129">
        <v>55417.661679999976</v>
      </c>
      <c r="G10" s="307">
        <f>E10/$E$14</f>
        <v>7.4245392914328995E-2</v>
      </c>
      <c r="H10" s="307">
        <f>(E10-I10)/I10</f>
        <v>-9.0777997332695981E-2</v>
      </c>
      <c r="I10" s="313">
        <v>5554.6720000000005</v>
      </c>
      <c r="J10" s="129">
        <v>60877.896620000058</v>
      </c>
      <c r="K10" s="307">
        <f>I10/$I$14</f>
        <v>7.5864763231418428E-2</v>
      </c>
      <c r="L10" s="93"/>
      <c r="N10" s="93"/>
      <c r="O10" s="93"/>
      <c r="P10" s="93"/>
    </row>
    <row r="11" spans="1:16" ht="11.1" customHeight="1">
      <c r="A11" s="423"/>
      <c r="B11" s="423"/>
      <c r="C11" s="154" t="s">
        <v>6</v>
      </c>
      <c r="D11" s="313">
        <v>18994</v>
      </c>
      <c r="E11" s="129">
        <v>5026.4849999999997</v>
      </c>
      <c r="F11" s="129">
        <v>55154.758870000005</v>
      </c>
      <c r="G11" s="307">
        <f>E11/$E$14</f>
        <v>7.3893382108648362E-2</v>
      </c>
      <c r="H11" s="307">
        <f t="shared" ref="H11:H13" si="0">(E11-I11)/I11</f>
        <v>-0.1777903440090321</v>
      </c>
      <c r="I11" s="313">
        <v>6113.3860000000004</v>
      </c>
      <c r="J11" s="129">
        <v>67001.183179999993</v>
      </c>
      <c r="K11" s="307">
        <f>I11/$I$14</f>
        <v>8.3495583795455103E-2</v>
      </c>
      <c r="L11" s="93"/>
      <c r="N11" s="93"/>
      <c r="O11" s="93"/>
      <c r="P11" s="93"/>
    </row>
    <row r="12" spans="1:16" ht="11.1" customHeight="1">
      <c r="A12" s="423"/>
      <c r="B12" s="423"/>
      <c r="C12" s="154" t="s">
        <v>7</v>
      </c>
      <c r="D12" s="313">
        <v>235531</v>
      </c>
      <c r="E12" s="129">
        <v>10759.9</v>
      </c>
      <c r="F12" s="129">
        <v>118065.9</v>
      </c>
      <c r="G12" s="307">
        <f>E12/$E$14</f>
        <v>0.15817920518032891</v>
      </c>
      <c r="H12" s="307">
        <f t="shared" si="0"/>
        <v>-0.18244054403160856</v>
      </c>
      <c r="I12" s="313">
        <v>13161</v>
      </c>
      <c r="J12" s="129">
        <v>144240.9</v>
      </c>
      <c r="K12" s="307">
        <f>I12/$I$14</f>
        <v>0.17975069435039512</v>
      </c>
      <c r="L12" s="93"/>
      <c r="N12" s="93"/>
      <c r="O12" s="93"/>
      <c r="P12" s="93"/>
    </row>
    <row r="13" spans="1:16" ht="11.1" customHeight="1">
      <c r="A13" s="423"/>
      <c r="B13" s="423"/>
      <c r="C13" s="154" t="s">
        <v>93</v>
      </c>
      <c r="D13" s="313">
        <v>36</v>
      </c>
      <c r="E13" s="129">
        <v>953.65</v>
      </c>
      <c r="F13" s="129">
        <v>10464.18953</v>
      </c>
      <c r="G13" s="307">
        <f>E13/$E$14</f>
        <v>1.4019423881283346E-2</v>
      </c>
      <c r="H13" s="307">
        <f t="shared" si="0"/>
        <v>3.5352795121416314E-2</v>
      </c>
      <c r="I13" s="313">
        <v>921.08699999999999</v>
      </c>
      <c r="J13" s="129">
        <v>10094.84679</v>
      </c>
      <c r="K13" s="307">
        <f>I13/$I$14</f>
        <v>1.2580049221724975E-2</v>
      </c>
      <c r="L13" s="93"/>
      <c r="N13" s="93"/>
      <c r="O13" s="93"/>
      <c r="P13" s="93"/>
    </row>
    <row r="14" spans="1:16" ht="11.1" customHeight="1">
      <c r="A14" s="424"/>
      <c r="B14" s="424"/>
      <c r="C14" s="318" t="s">
        <v>0</v>
      </c>
      <c r="D14" s="321">
        <v>255361</v>
      </c>
      <c r="E14" s="319">
        <v>68023.48</v>
      </c>
      <c r="F14" s="319">
        <v>746435.66070200002</v>
      </c>
      <c r="G14" s="320">
        <f>SUM(G9:G13)</f>
        <v>1</v>
      </c>
      <c r="H14" s="320">
        <f>(E14-I14)/I14</f>
        <v>-7.0946906608144206E-2</v>
      </c>
      <c r="I14" s="321">
        <v>73218.076000000001</v>
      </c>
      <c r="J14" s="319">
        <v>802453.59357100003</v>
      </c>
      <c r="K14" s="320">
        <f>SUM(K9:K13)</f>
        <v>1</v>
      </c>
      <c r="L14" s="93"/>
    </row>
    <row r="15" spans="1:16" ht="11.1" customHeight="1">
      <c r="A15" s="422" t="str">
        <f>'3.1'!E5</f>
        <v>Listopad</v>
      </c>
      <c r="B15" s="422"/>
      <c r="C15" s="164" t="s">
        <v>4</v>
      </c>
      <c r="D15" s="312">
        <v>181</v>
      </c>
      <c r="E15" s="308">
        <v>48992.832000000002</v>
      </c>
      <c r="F15" s="308">
        <v>535564.75034100004</v>
      </c>
      <c r="G15" s="309">
        <f>E15/$E$20</f>
        <v>0.51210079417444221</v>
      </c>
      <c r="H15" s="309">
        <f>(E15-I15)/I15</f>
        <v>-0.10744479184698763</v>
      </c>
      <c r="I15" s="312">
        <v>54890.534</v>
      </c>
      <c r="J15" s="308">
        <v>599844.80787300016</v>
      </c>
      <c r="K15" s="309">
        <f>I15/$I$20</f>
        <v>0.54327337701701017</v>
      </c>
      <c r="L15" s="93"/>
      <c r="M15" s="93"/>
    </row>
    <row r="16" spans="1:16" ht="11.1" customHeight="1">
      <c r="A16" s="423"/>
      <c r="B16" s="423"/>
      <c r="C16" s="154" t="s">
        <v>5</v>
      </c>
      <c r="D16" s="313">
        <v>618</v>
      </c>
      <c r="E16" s="129">
        <v>7560.308</v>
      </c>
      <c r="F16" s="129">
        <v>82638.328099999984</v>
      </c>
      <c r="G16" s="307">
        <f>E16/$E$20</f>
        <v>7.9024615907147169E-2</v>
      </c>
      <c r="H16" s="307">
        <f>(E16-I16)/I16</f>
        <v>-6.8693039072032294E-2</v>
      </c>
      <c r="I16" s="313">
        <v>8117.9549999999999</v>
      </c>
      <c r="J16" s="129">
        <v>88714.487970000002</v>
      </c>
      <c r="K16" s="307">
        <f>I16/$I$20</f>
        <v>8.0346619096876029E-2</v>
      </c>
      <c r="L16" s="97"/>
      <c r="M16" s="93"/>
    </row>
    <row r="17" spans="1:20" ht="11.1" customHeight="1">
      <c r="A17" s="423"/>
      <c r="B17" s="423"/>
      <c r="C17" s="154" t="s">
        <v>6</v>
      </c>
      <c r="D17" s="313">
        <v>19007</v>
      </c>
      <c r="E17" s="129">
        <v>11802.21</v>
      </c>
      <c r="F17" s="129">
        <v>129004.83727999999</v>
      </c>
      <c r="G17" s="307">
        <f>E17/$E$20</f>
        <v>0.12336337515687078</v>
      </c>
      <c r="H17" s="307">
        <f t="shared" ref="H17:H20" si="1">(E17-I17)/I17</f>
        <v>1.962963791696877E-2</v>
      </c>
      <c r="I17" s="313">
        <v>11574.996999999999</v>
      </c>
      <c r="J17" s="129">
        <v>126493.87863000001</v>
      </c>
      <c r="K17" s="307">
        <f>I17/$I$20</f>
        <v>0.11456233435717279</v>
      </c>
      <c r="L17" s="93"/>
      <c r="M17" s="93"/>
      <c r="N17" s="93"/>
      <c r="O17" s="93"/>
    </row>
    <row r="18" spans="1:20" ht="11.1" customHeight="1">
      <c r="A18" s="423"/>
      <c r="B18" s="423"/>
      <c r="C18" s="154" t="s">
        <v>7</v>
      </c>
      <c r="D18" s="313">
        <v>235389</v>
      </c>
      <c r="E18" s="129">
        <v>26351</v>
      </c>
      <c r="F18" s="129">
        <v>288031.5</v>
      </c>
      <c r="G18" s="307">
        <f>E18/$E$20</f>
        <v>0.2754355581504398</v>
      </c>
      <c r="H18" s="307">
        <f t="shared" si="1"/>
        <v>3.5972637207108034E-2</v>
      </c>
      <c r="I18" s="313">
        <v>25436</v>
      </c>
      <c r="J18" s="129">
        <v>277969.09999999998</v>
      </c>
      <c r="K18" s="307">
        <f>I18/$I$20</f>
        <v>0.25175017641119452</v>
      </c>
      <c r="L18" s="93"/>
      <c r="M18" s="93"/>
      <c r="N18" s="93"/>
      <c r="O18" s="93"/>
    </row>
    <row r="19" spans="1:20" ht="11.1" customHeight="1">
      <c r="A19" s="423"/>
      <c r="B19" s="423"/>
      <c r="C19" s="154" t="s">
        <v>93</v>
      </c>
      <c r="D19" s="313">
        <v>36</v>
      </c>
      <c r="E19" s="129">
        <v>963.94100000000003</v>
      </c>
      <c r="F19" s="129">
        <v>10536.423639999999</v>
      </c>
      <c r="G19" s="307">
        <f>E19/$E$20</f>
        <v>1.0075656611099887E-2</v>
      </c>
      <c r="H19" s="307">
        <f t="shared" si="1"/>
        <v>-5.2345392091515223E-2</v>
      </c>
      <c r="I19" s="313">
        <v>1017.186</v>
      </c>
      <c r="J19" s="129">
        <v>11115.977370000001</v>
      </c>
      <c r="K19" s="307">
        <f>I19/$I$20</f>
        <v>1.0067493117746396E-2</v>
      </c>
      <c r="L19" s="93"/>
      <c r="M19" s="93"/>
      <c r="N19" s="93"/>
      <c r="O19" s="93"/>
    </row>
    <row r="20" spans="1:20" ht="11.1" customHeight="1">
      <c r="A20" s="424"/>
      <c r="B20" s="424"/>
      <c r="C20" s="318" t="s">
        <v>0</v>
      </c>
      <c r="D20" s="321">
        <v>255231</v>
      </c>
      <c r="E20" s="319">
        <v>95670.291000000012</v>
      </c>
      <c r="F20" s="319">
        <v>1045775.8393610001</v>
      </c>
      <c r="G20" s="320">
        <f>SUM(G15:G19)</f>
        <v>0.99999999999999989</v>
      </c>
      <c r="H20" s="320">
        <f t="shared" si="1"/>
        <v>-5.3113200323937765E-2</v>
      </c>
      <c r="I20" s="321">
        <v>101036.67200000001</v>
      </c>
      <c r="J20" s="319">
        <v>1104138.2518430003</v>
      </c>
      <c r="K20" s="320">
        <f>SUM(K15:K19)</f>
        <v>0.99999999999999989</v>
      </c>
      <c r="L20" s="93"/>
      <c r="M20" s="93"/>
      <c r="N20" s="93"/>
      <c r="O20" s="93"/>
    </row>
    <row r="21" spans="1:20" ht="11.1" customHeight="1">
      <c r="A21" s="422" t="str">
        <f>'3.1'!F5</f>
        <v>Prosinec</v>
      </c>
      <c r="B21" s="422"/>
      <c r="C21" s="164" t="s">
        <v>4</v>
      </c>
      <c r="D21" s="312">
        <v>181</v>
      </c>
      <c r="E21" s="308">
        <v>51199.920999999995</v>
      </c>
      <c r="F21" s="308">
        <v>558391.89274600009</v>
      </c>
      <c r="G21" s="309">
        <f>E21/$E$26</f>
        <v>0.45343040691111186</v>
      </c>
      <c r="H21" s="309">
        <f>(E21-I21)/I21</f>
        <v>-9.881141490874476E-2</v>
      </c>
      <c r="I21" s="312">
        <v>56813.76999999999</v>
      </c>
      <c r="J21" s="308">
        <v>618569.42146999994</v>
      </c>
      <c r="K21" s="309">
        <f>I21/$I$26</f>
        <v>0.45843025949546085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3"/>
      <c r="B22" s="423"/>
      <c r="C22" s="154" t="s">
        <v>5</v>
      </c>
      <c r="D22" s="313">
        <v>618</v>
      </c>
      <c r="E22" s="129">
        <v>8674.9830000000002</v>
      </c>
      <c r="F22" s="129">
        <v>94604.672929999942</v>
      </c>
      <c r="G22" s="307">
        <f>E22/$E$26</f>
        <v>7.6826311346007314E-2</v>
      </c>
      <c r="H22" s="307">
        <f t="shared" ref="H22:H26" si="2">(E22-I22)/I22</f>
        <v>-0.10611704624222719</v>
      </c>
      <c r="I22" s="313">
        <v>9704.8310000000001</v>
      </c>
      <c r="J22" s="129">
        <v>105655.25077000006</v>
      </c>
      <c r="K22" s="307">
        <f>I22/$I$26</f>
        <v>7.8308272689694661E-2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3"/>
      <c r="B23" s="423"/>
      <c r="C23" s="154" t="s">
        <v>6</v>
      </c>
      <c r="D23" s="313">
        <v>19016</v>
      </c>
      <c r="E23" s="129">
        <v>15830.951000000001</v>
      </c>
      <c r="F23" s="129">
        <v>172643.92695000002</v>
      </c>
      <c r="G23" s="307">
        <f>E23/$E$26</f>
        <v>0.14020010995172968</v>
      </c>
      <c r="H23" s="307">
        <f t="shared" si="2"/>
        <v>-6.255641792289196E-2</v>
      </c>
      <c r="I23" s="313">
        <v>16887.364000000001</v>
      </c>
      <c r="J23" s="129">
        <v>183851.14382</v>
      </c>
      <c r="K23" s="307">
        <f>I23/$I$26</f>
        <v>0.13626412506535487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3"/>
      <c r="B24" s="423"/>
      <c r="C24" s="154" t="s">
        <v>7</v>
      </c>
      <c r="D24" s="313">
        <v>235290</v>
      </c>
      <c r="E24" s="129">
        <v>36348.400000000001</v>
      </c>
      <c r="F24" s="129">
        <v>396397</v>
      </c>
      <c r="G24" s="307">
        <f>E24/$E$26</f>
        <v>0.32190420376953044</v>
      </c>
      <c r="H24" s="307">
        <f t="shared" si="2"/>
        <v>-7.8459857364152341E-2</v>
      </c>
      <c r="I24" s="313">
        <v>39443.1</v>
      </c>
      <c r="J24" s="129">
        <v>429412.7</v>
      </c>
      <c r="K24" s="307">
        <f>I24/$I$26</f>
        <v>0.31826633874684634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3"/>
      <c r="B25" s="423"/>
      <c r="C25" s="154" t="s">
        <v>93</v>
      </c>
      <c r="D25" s="313">
        <v>36</v>
      </c>
      <c r="E25" s="129">
        <v>862.56799999999998</v>
      </c>
      <c r="F25" s="129">
        <v>9406.7227400000011</v>
      </c>
      <c r="G25" s="307">
        <f>E25/$E$26</f>
        <v>7.6389680216206578E-3</v>
      </c>
      <c r="H25" s="307">
        <f t="shared" si="2"/>
        <v>-0.20283389846799058</v>
      </c>
      <c r="I25" s="313">
        <v>1082.0429999999999</v>
      </c>
      <c r="J25" s="129">
        <v>11780.08755</v>
      </c>
      <c r="K25" s="307">
        <f>I25/$I$26</f>
        <v>8.7310040026431449E-3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24"/>
      <c r="B26" s="424"/>
      <c r="C26" s="318" t="s">
        <v>0</v>
      </c>
      <c r="D26" s="321">
        <v>255141</v>
      </c>
      <c r="E26" s="319">
        <v>112916.823</v>
      </c>
      <c r="F26" s="319">
        <v>1231444.2153660001</v>
      </c>
      <c r="G26" s="320">
        <f>SUM(G21:G25)</f>
        <v>1</v>
      </c>
      <c r="H26" s="320">
        <f t="shared" si="2"/>
        <v>-8.887425584866071E-2</v>
      </c>
      <c r="I26" s="321">
        <v>123931.10800000001</v>
      </c>
      <c r="J26" s="319">
        <v>1349268.6036100001</v>
      </c>
      <c r="K26" s="320">
        <f>SUM(K21:K25)</f>
        <v>1</v>
      </c>
    </row>
    <row r="27" spans="1:20" ht="11.1" customHeight="1">
      <c r="A27" s="491" t="str">
        <f>'3.1'!G5</f>
        <v>IV. čtvrtletí</v>
      </c>
      <c r="B27" s="422"/>
      <c r="C27" s="164" t="s">
        <v>4</v>
      </c>
      <c r="D27" s="312">
        <f>D21</f>
        <v>181</v>
      </c>
      <c r="E27" s="308">
        <f>E9+E15+E21</f>
        <v>146425.76800000001</v>
      </c>
      <c r="F27" s="308">
        <f>F9+F15+F21</f>
        <v>1601289.7937090001</v>
      </c>
      <c r="G27" s="309">
        <f>E27/$E$32</f>
        <v>0.52935704986049814</v>
      </c>
      <c r="H27" s="309">
        <f>(E27-I27)/I27</f>
        <v>-8.0079713651064685E-2</v>
      </c>
      <c r="I27" s="312">
        <f>I9+I15+I21</f>
        <v>159172.23499999999</v>
      </c>
      <c r="J27" s="308">
        <f>J9+J15+J21</f>
        <v>1738652.9963239999</v>
      </c>
      <c r="K27" s="309">
        <f>I27/$I$32</f>
        <v>0.53380209623356512</v>
      </c>
    </row>
    <row r="28" spans="1:20" ht="11.1" customHeight="1">
      <c r="A28" s="423"/>
      <c r="B28" s="423"/>
      <c r="C28" s="154" t="s">
        <v>5</v>
      </c>
      <c r="D28" s="313">
        <f>D22</f>
        <v>618</v>
      </c>
      <c r="E28" s="129">
        <f t="shared" ref="E28:F31" si="3">E10+E16+E22</f>
        <v>21285.720999999998</v>
      </c>
      <c r="F28" s="129">
        <f t="shared" si="3"/>
        <v>232660.66270999989</v>
      </c>
      <c r="G28" s="307">
        <f>E28/$E$32</f>
        <v>7.6951936989080025E-2</v>
      </c>
      <c r="H28" s="307">
        <f t="shared" ref="H28:H31" si="4">(E28-I28)/I28</f>
        <v>-8.9476665940325981E-2</v>
      </c>
      <c r="I28" s="313">
        <f t="shared" ref="I28:J28" si="5">I10+I16+I22</f>
        <v>23377.457999999999</v>
      </c>
      <c r="J28" s="129">
        <f t="shared" si="5"/>
        <v>255247.63536000013</v>
      </c>
      <c r="K28" s="307">
        <f>I28/$I$32</f>
        <v>7.839894994885338E-2</v>
      </c>
    </row>
    <row r="29" spans="1:20" ht="11.1" customHeight="1">
      <c r="A29" s="423"/>
      <c r="B29" s="423"/>
      <c r="C29" s="154" t="s">
        <v>6</v>
      </c>
      <c r="D29" s="313">
        <f>D23</f>
        <v>19016</v>
      </c>
      <c r="E29" s="129">
        <f t="shared" si="3"/>
        <v>32659.646000000001</v>
      </c>
      <c r="F29" s="129">
        <f t="shared" si="3"/>
        <v>356803.52309999999</v>
      </c>
      <c r="G29" s="307">
        <f>E29/$E$32</f>
        <v>0.11807084294103357</v>
      </c>
      <c r="H29" s="307">
        <f t="shared" si="4"/>
        <v>-5.5417486714025362E-2</v>
      </c>
      <c r="I29" s="313">
        <f t="shared" ref="I29:J29" si="6">I11+I17+I23</f>
        <v>34575.747000000003</v>
      </c>
      <c r="J29" s="129">
        <f t="shared" si="6"/>
        <v>377346.20562999998</v>
      </c>
      <c r="K29" s="307">
        <f>I29/$I$32</f>
        <v>0.11595367890286522</v>
      </c>
    </row>
    <row r="30" spans="1:20" ht="11.1" customHeight="1">
      <c r="A30" s="423"/>
      <c r="B30" s="423"/>
      <c r="C30" s="154" t="s">
        <v>7</v>
      </c>
      <c r="D30" s="313">
        <f>D24</f>
        <v>235290</v>
      </c>
      <c r="E30" s="129">
        <f t="shared" si="3"/>
        <v>73459.3</v>
      </c>
      <c r="F30" s="129">
        <f t="shared" si="3"/>
        <v>802494.4</v>
      </c>
      <c r="G30" s="307">
        <f>E30/$E$32</f>
        <v>0.26556936571995504</v>
      </c>
      <c r="H30" s="307">
        <f t="shared" si="4"/>
        <v>-5.8698028321337394E-2</v>
      </c>
      <c r="I30" s="313">
        <f t="shared" ref="I30:J30" si="7">I12+I18+I24</f>
        <v>78040.100000000006</v>
      </c>
      <c r="J30" s="129">
        <f t="shared" si="7"/>
        <v>851622.7</v>
      </c>
      <c r="K30" s="307">
        <f>I30/$I$32</f>
        <v>0.26171630353922626</v>
      </c>
    </row>
    <row r="31" spans="1:20" ht="11.1" customHeight="1">
      <c r="A31" s="423"/>
      <c r="B31" s="423"/>
      <c r="C31" s="154" t="s">
        <v>93</v>
      </c>
      <c r="D31" s="313">
        <f>D25</f>
        <v>36</v>
      </c>
      <c r="E31" s="129">
        <f>E13+E19+E25</f>
        <v>2780.1589999999997</v>
      </c>
      <c r="F31" s="129">
        <f t="shared" si="3"/>
        <v>30407.335909999998</v>
      </c>
      <c r="G31" s="307">
        <f>E31/$E$32</f>
        <v>1.0050804489433256E-2</v>
      </c>
      <c r="H31" s="307">
        <f t="shared" si="4"/>
        <v>-7.9513865436596762E-2</v>
      </c>
      <c r="I31" s="313">
        <f>I13+I19+I25</f>
        <v>3020.3159999999998</v>
      </c>
      <c r="J31" s="129">
        <f t="shared" ref="J31" si="8">J13+J19+J25</f>
        <v>32990.91171</v>
      </c>
      <c r="K31" s="307">
        <f>I31/$I$32</f>
        <v>1.0128971375490058E-2</v>
      </c>
    </row>
    <row r="32" spans="1:20" ht="11.1" customHeight="1">
      <c r="A32" s="424"/>
      <c r="B32" s="424"/>
      <c r="C32" s="318" t="s">
        <v>0</v>
      </c>
      <c r="D32" s="321">
        <f>SUM(D27:D31)</f>
        <v>255141</v>
      </c>
      <c r="E32" s="319">
        <f>SUM(E27:E31)</f>
        <v>276610.59399999998</v>
      </c>
      <c r="F32" s="319">
        <f>SUM(F27:F31)</f>
        <v>3023655.7154289996</v>
      </c>
      <c r="G32" s="320">
        <f>SUM(G27:G31)</f>
        <v>1</v>
      </c>
      <c r="H32" s="320">
        <f>(E32-I32)/I32</f>
        <v>-7.2355081791672882E-2</v>
      </c>
      <c r="I32" s="321">
        <f>SUM(I27:I31)</f>
        <v>298185.85599999997</v>
      </c>
      <c r="J32" s="319">
        <f>SUM(J27:J31)</f>
        <v>3255860.4490240007</v>
      </c>
      <c r="K32" s="320">
        <f>SUM(K27:K31)</f>
        <v>1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16" t="s">
        <v>45</v>
      </c>
      <c r="B34" s="516"/>
      <c r="C34" s="516"/>
      <c r="D34" s="481">
        <f>D4</f>
        <v>2023</v>
      </c>
      <c r="E34" s="353"/>
      <c r="F34" s="342"/>
      <c r="G34" s="342"/>
      <c r="H34" s="342"/>
      <c r="I34" s="481">
        <f>D34-1</f>
        <v>2022</v>
      </c>
      <c r="J34" s="482"/>
      <c r="K34" s="482"/>
    </row>
    <row r="35" spans="1:11" ht="24.95" customHeight="1">
      <c r="A35" s="304"/>
      <c r="B35" s="272"/>
      <c r="C35" s="150"/>
      <c r="D35" s="483"/>
      <c r="E35" s="355"/>
      <c r="F35" s="356"/>
      <c r="G35" s="356"/>
      <c r="H35" s="357"/>
      <c r="I35" s="483"/>
      <c r="J35" s="484"/>
      <c r="K35" s="484"/>
    </row>
    <row r="36" spans="1:11" ht="24.95" customHeight="1">
      <c r="A36" s="130"/>
      <c r="B36" s="131"/>
      <c r="C36" s="352"/>
      <c r="D36" s="364" t="s">
        <v>159</v>
      </c>
      <c r="E36" s="479" t="s">
        <v>60</v>
      </c>
      <c r="F36" s="479"/>
      <c r="G36" s="480" t="s">
        <v>33</v>
      </c>
      <c r="H36" s="480" t="s">
        <v>268</v>
      </c>
      <c r="I36" s="478" t="s">
        <v>60</v>
      </c>
      <c r="J36" s="479"/>
      <c r="K36" s="480" t="s">
        <v>33</v>
      </c>
    </row>
    <row r="37" spans="1:11" ht="24.95" customHeight="1">
      <c r="A37" s="130"/>
      <c r="B37" s="306"/>
      <c r="C37" s="306"/>
      <c r="D37" s="365"/>
      <c r="E37" s="479"/>
      <c r="F37" s="479"/>
      <c r="G37" s="480"/>
      <c r="H37" s="480"/>
      <c r="I37" s="478"/>
      <c r="J37" s="479"/>
      <c r="K37" s="480"/>
    </row>
    <row r="38" spans="1:11" ht="15" customHeight="1">
      <c r="A38" s="517" t="s">
        <v>158</v>
      </c>
      <c r="B38" s="517"/>
      <c r="C38" s="366" t="s">
        <v>184</v>
      </c>
      <c r="D38" s="343"/>
      <c r="E38" s="219" t="s">
        <v>259</v>
      </c>
      <c r="F38" s="219" t="s">
        <v>260</v>
      </c>
      <c r="G38" s="467"/>
      <c r="H38" s="467"/>
      <c r="I38" s="221" t="s">
        <v>259</v>
      </c>
      <c r="J38" s="219" t="s">
        <v>260</v>
      </c>
      <c r="K38" s="467"/>
    </row>
    <row r="39" spans="1:11" ht="11.1" customHeight="1">
      <c r="A39" s="422" t="str">
        <f>'3.1'!D5</f>
        <v>Říjen</v>
      </c>
      <c r="B39" s="422"/>
      <c r="C39" s="164" t="s">
        <v>4</v>
      </c>
      <c r="D39" s="312">
        <v>128</v>
      </c>
      <c r="E39" s="308">
        <v>68690.201000000001</v>
      </c>
      <c r="F39" s="308">
        <v>753786.69432800007</v>
      </c>
      <c r="G39" s="309">
        <f>E39/$E$44</f>
        <v>0.85967405820660925</v>
      </c>
      <c r="H39" s="309">
        <f>(E39-I39)/I39</f>
        <v>-2.9815453614678928E-2</v>
      </c>
      <c r="I39" s="312">
        <v>70801.17</v>
      </c>
      <c r="J39" s="308">
        <v>776405.84511000011</v>
      </c>
      <c r="K39" s="309">
        <f>I39/$I$44</f>
        <v>0.84322644118147927</v>
      </c>
    </row>
    <row r="40" spans="1:11" ht="11.1" customHeight="1">
      <c r="A40" s="423"/>
      <c r="B40" s="423"/>
      <c r="C40" s="154" t="s">
        <v>5</v>
      </c>
      <c r="D40" s="313">
        <v>304</v>
      </c>
      <c r="E40" s="129">
        <v>2181.62</v>
      </c>
      <c r="F40" s="129">
        <v>23938.857320000006</v>
      </c>
      <c r="G40" s="307">
        <f t="shared" ref="G40" si="9">E40/$E$44</f>
        <v>2.7303488584415451E-2</v>
      </c>
      <c r="H40" s="307">
        <f>(E40-I40)/I40</f>
        <v>-9.8868680810531587E-2</v>
      </c>
      <c r="I40" s="313">
        <v>2420.9789999999998</v>
      </c>
      <c r="J40" s="129">
        <v>26533.323710000004</v>
      </c>
      <c r="K40" s="307">
        <f t="shared" ref="K40:K43" si="10">I40/$I$44</f>
        <v>2.8833330103797669E-2</v>
      </c>
    </row>
    <row r="41" spans="1:11" ht="11.1" customHeight="1">
      <c r="A41" s="423"/>
      <c r="B41" s="423"/>
      <c r="C41" s="154" t="s">
        <v>6</v>
      </c>
      <c r="D41" s="313">
        <v>12781</v>
      </c>
      <c r="E41" s="129">
        <v>3060.431</v>
      </c>
      <c r="F41" s="129">
        <v>33519.726549999999</v>
      </c>
      <c r="G41" s="307">
        <f>E41/$E$44</f>
        <v>3.8302015416017077E-2</v>
      </c>
      <c r="H41" s="307">
        <f t="shared" ref="H41:H43" si="11">(E41-I41)/I41</f>
        <v>-0.1538964492984411</v>
      </c>
      <c r="I41" s="313">
        <v>3617.0879999999997</v>
      </c>
      <c r="J41" s="129">
        <v>39625.270929999999</v>
      </c>
      <c r="K41" s="307">
        <f t="shared" si="10"/>
        <v>4.3078726547601323E-2</v>
      </c>
    </row>
    <row r="42" spans="1:11" ht="11.1" customHeight="1">
      <c r="A42" s="423"/>
      <c r="B42" s="423"/>
      <c r="C42" s="154" t="s">
        <v>7</v>
      </c>
      <c r="D42" s="313">
        <v>204177</v>
      </c>
      <c r="E42" s="129">
        <v>5529.3</v>
      </c>
      <c r="F42" s="129">
        <v>60671.6</v>
      </c>
      <c r="G42" s="307">
        <f>E42/$E$44</f>
        <v>6.9200492950105136E-2</v>
      </c>
      <c r="H42" s="307">
        <f t="shared" si="11"/>
        <v>-0.18244322214336403</v>
      </c>
      <c r="I42" s="313">
        <v>6763.2</v>
      </c>
      <c r="J42" s="129">
        <v>74122.3</v>
      </c>
      <c r="K42" s="307">
        <f t="shared" si="10"/>
        <v>8.0548231999535896E-2</v>
      </c>
    </row>
    <row r="43" spans="1:11" ht="11.1" customHeight="1">
      <c r="A43" s="423"/>
      <c r="B43" s="423"/>
      <c r="C43" s="154" t="s">
        <v>93</v>
      </c>
      <c r="D43" s="313">
        <v>19</v>
      </c>
      <c r="E43" s="129">
        <v>441.05799999999999</v>
      </c>
      <c r="F43" s="129">
        <v>4839.6298000000006</v>
      </c>
      <c r="G43" s="307">
        <f>E43/$E$44</f>
        <v>5.5199448428530683E-3</v>
      </c>
      <c r="H43" s="307">
        <f t="shared" si="11"/>
        <v>0.21784726172265456</v>
      </c>
      <c r="I43" s="313">
        <v>362.16199999999998</v>
      </c>
      <c r="J43" s="129">
        <v>3969.1903200000002</v>
      </c>
      <c r="K43" s="307">
        <f t="shared" si="10"/>
        <v>4.3132701675857458E-3</v>
      </c>
    </row>
    <row r="44" spans="1:11" ht="11.1" customHeight="1">
      <c r="A44" s="424"/>
      <c r="B44" s="424"/>
      <c r="C44" s="318" t="s">
        <v>0</v>
      </c>
      <c r="D44" s="321">
        <v>217409</v>
      </c>
      <c r="E44" s="319">
        <v>79902.61</v>
      </c>
      <c r="F44" s="319">
        <v>876756.50799800002</v>
      </c>
      <c r="G44" s="320">
        <f>SUM(G39:G43)</f>
        <v>1</v>
      </c>
      <c r="H44" s="320">
        <f>(E44-I44)/I44</f>
        <v>-4.8377400099296627E-2</v>
      </c>
      <c r="I44" s="321">
        <v>83964.599000000002</v>
      </c>
      <c r="J44" s="319">
        <v>920655.93007000023</v>
      </c>
      <c r="K44" s="320">
        <f>SUM(K39:K43)</f>
        <v>0.99999999999999989</v>
      </c>
    </row>
    <row r="45" spans="1:11" ht="11.1" customHeight="1">
      <c r="A45" s="422" t="str">
        <f>'3.1'!E5</f>
        <v>Listopad</v>
      </c>
      <c r="B45" s="422"/>
      <c r="C45" s="164" t="s">
        <v>4</v>
      </c>
      <c r="D45" s="312">
        <v>128</v>
      </c>
      <c r="E45" s="308">
        <v>54973.34</v>
      </c>
      <c r="F45" s="308">
        <v>600699.39720600005</v>
      </c>
      <c r="G45" s="309">
        <f>E45/$E$50</f>
        <v>0.68937970192942488</v>
      </c>
      <c r="H45" s="309">
        <f>(E45-I45)/I45</f>
        <v>-0.21379244340407499</v>
      </c>
      <c r="I45" s="312">
        <v>69922.171999999991</v>
      </c>
      <c r="J45" s="308">
        <v>764853.33599000005</v>
      </c>
      <c r="K45" s="309">
        <f>I45/$I$50</f>
        <v>0.74468703816619775</v>
      </c>
    </row>
    <row r="46" spans="1:11" ht="11.1" customHeight="1">
      <c r="A46" s="423"/>
      <c r="B46" s="423"/>
      <c r="C46" s="154" t="s">
        <v>5</v>
      </c>
      <c r="D46" s="313">
        <v>301</v>
      </c>
      <c r="E46" s="129">
        <v>3754.011</v>
      </c>
      <c r="F46" s="129">
        <v>41033.50183999999</v>
      </c>
      <c r="G46" s="307">
        <f t="shared" ref="G46:G49" si="12">E46/$E$50</f>
        <v>4.7076255221527058E-2</v>
      </c>
      <c r="H46" s="307">
        <f>(E46-I46)/I46</f>
        <v>1.7185617676975885E-2</v>
      </c>
      <c r="I46" s="313">
        <v>3690.5860000000002</v>
      </c>
      <c r="J46" s="129">
        <v>40331.252950000024</v>
      </c>
      <c r="K46" s="307">
        <f t="shared" ref="K46:K49" si="13">I46/$I$50</f>
        <v>3.9305580459337498E-2</v>
      </c>
    </row>
    <row r="47" spans="1:11" ht="11.1" customHeight="1">
      <c r="A47" s="423"/>
      <c r="B47" s="423"/>
      <c r="C47" s="154" t="s">
        <v>6</v>
      </c>
      <c r="D47" s="313">
        <v>12790</v>
      </c>
      <c r="E47" s="129">
        <v>7047.6489999999994</v>
      </c>
      <c r="F47" s="129">
        <v>76961.804980000001</v>
      </c>
      <c r="G47" s="307">
        <f t="shared" si="12"/>
        <v>8.8379315626869473E-2</v>
      </c>
      <c r="H47" s="307">
        <f t="shared" ref="H47:H49" si="14">(E47-I47)/I47</f>
        <v>3.3190553986601846E-2</v>
      </c>
      <c r="I47" s="313">
        <v>6821.2479999999996</v>
      </c>
      <c r="J47" s="129">
        <v>74522.381680000006</v>
      </c>
      <c r="K47" s="307">
        <f t="shared" si="13"/>
        <v>7.2647842943395699E-2</v>
      </c>
    </row>
    <row r="48" spans="1:11" ht="11.1" customHeight="1">
      <c r="A48" s="423"/>
      <c r="B48" s="423"/>
      <c r="C48" s="154" t="s">
        <v>7</v>
      </c>
      <c r="D48" s="313">
        <v>204054</v>
      </c>
      <c r="E48" s="129">
        <v>13541.2</v>
      </c>
      <c r="F48" s="129">
        <v>148013.29999999999</v>
      </c>
      <c r="G48" s="307">
        <f t="shared" si="12"/>
        <v>0.16981010103746158</v>
      </c>
      <c r="H48" s="307">
        <f t="shared" si="14"/>
        <v>3.5972764134343256E-2</v>
      </c>
      <c r="I48" s="313">
        <v>13071</v>
      </c>
      <c r="J48" s="129">
        <v>142842.4</v>
      </c>
      <c r="K48" s="307">
        <f t="shared" si="13"/>
        <v>0.13920912347903569</v>
      </c>
    </row>
    <row r="49" spans="1:11" ht="11.1" customHeight="1">
      <c r="A49" s="423"/>
      <c r="B49" s="423"/>
      <c r="C49" s="154" t="s">
        <v>93</v>
      </c>
      <c r="D49" s="313">
        <v>19</v>
      </c>
      <c r="E49" s="129">
        <v>426.995</v>
      </c>
      <c r="F49" s="129">
        <v>4667.3011400000005</v>
      </c>
      <c r="G49" s="307">
        <f t="shared" si="12"/>
        <v>5.3546261847170788E-3</v>
      </c>
      <c r="H49" s="307">
        <f t="shared" si="14"/>
        <v>9.5696198633827917E-2</v>
      </c>
      <c r="I49" s="313">
        <v>389.702</v>
      </c>
      <c r="J49" s="129">
        <v>4258.7330199999997</v>
      </c>
      <c r="K49" s="307">
        <f t="shared" si="13"/>
        <v>4.1504149520332923E-3</v>
      </c>
    </row>
    <row r="50" spans="1:11" ht="11.1" customHeight="1">
      <c r="A50" s="424"/>
      <c r="B50" s="424"/>
      <c r="C50" s="318" t="s">
        <v>0</v>
      </c>
      <c r="D50" s="321">
        <v>217292</v>
      </c>
      <c r="E50" s="319">
        <v>79743.194999999992</v>
      </c>
      <c r="F50" s="319">
        <v>871375.30516600015</v>
      </c>
      <c r="G50" s="320">
        <f>SUM(G45:G49)</f>
        <v>1</v>
      </c>
      <c r="H50" s="320">
        <f t="shared" ref="H50" si="15">(E50-I50)/I50</f>
        <v>-0.15071683273140385</v>
      </c>
      <c r="I50" s="321">
        <v>93894.707999999999</v>
      </c>
      <c r="J50" s="319">
        <v>1026808.1036400001</v>
      </c>
      <c r="K50" s="320">
        <f>SUM(K45:K49)</f>
        <v>0.99999999999999989</v>
      </c>
    </row>
    <row r="51" spans="1:11" ht="11.1" customHeight="1">
      <c r="A51" s="422" t="str">
        <f>'3.1'!F5</f>
        <v>Prosinec</v>
      </c>
      <c r="B51" s="422"/>
      <c r="C51" s="164" t="s">
        <v>4</v>
      </c>
      <c r="D51" s="312">
        <v>128</v>
      </c>
      <c r="E51" s="308">
        <v>60284.57</v>
      </c>
      <c r="F51" s="308">
        <v>657806.17974400008</v>
      </c>
      <c r="G51" s="309">
        <f>E51/$E$56</f>
        <v>0.64869731965308441</v>
      </c>
      <c r="H51" s="309">
        <f>(E51-I51)/I51</f>
        <v>-0.28640824995361358</v>
      </c>
      <c r="I51" s="312">
        <v>84480.475000000006</v>
      </c>
      <c r="J51" s="308">
        <v>922973.67133000004</v>
      </c>
      <c r="K51" s="309">
        <f>I51/$I$56</f>
        <v>0.70615875469603806</v>
      </c>
    </row>
    <row r="52" spans="1:11" ht="11.1" customHeight="1">
      <c r="A52" s="423"/>
      <c r="B52" s="423"/>
      <c r="C52" s="154" t="s">
        <v>5</v>
      </c>
      <c r="D52" s="313">
        <v>301</v>
      </c>
      <c r="E52" s="129">
        <v>4197.2510000000002</v>
      </c>
      <c r="F52" s="129">
        <v>45773.363440000016</v>
      </c>
      <c r="G52" s="307">
        <f t="shared" ref="G52:G55" si="16">E52/$E$56</f>
        <v>4.5164881720334546E-2</v>
      </c>
      <c r="H52" s="307">
        <f t="shared" ref="H52:H55" si="17">(E52-I52)/I52</f>
        <v>-7.7784864931136719E-2</v>
      </c>
      <c r="I52" s="313">
        <v>4551.2709999999997</v>
      </c>
      <c r="J52" s="129">
        <v>49549.299799999993</v>
      </c>
      <c r="K52" s="307">
        <f t="shared" ref="K52:K55" si="18">I52/$I$56</f>
        <v>3.8043345064574879E-2</v>
      </c>
    </row>
    <row r="53" spans="1:11" ht="11.1" customHeight="1">
      <c r="A53" s="423"/>
      <c r="B53" s="423"/>
      <c r="C53" s="154" t="s">
        <v>6</v>
      </c>
      <c r="D53" s="313">
        <v>12796</v>
      </c>
      <c r="E53" s="129">
        <v>9369.0849999999991</v>
      </c>
      <c r="F53" s="129">
        <v>102117.52870000001</v>
      </c>
      <c r="G53" s="307">
        <f t="shared" si="16"/>
        <v>0.10081684794470488</v>
      </c>
      <c r="H53" s="307">
        <f t="shared" si="17"/>
        <v>-6.0207370399017607E-2</v>
      </c>
      <c r="I53" s="313">
        <v>9969.3109999999997</v>
      </c>
      <c r="J53" s="129">
        <v>108504.54897</v>
      </c>
      <c r="K53" s="307">
        <f t="shared" si="18"/>
        <v>8.3331873322652517E-2</v>
      </c>
    </row>
    <row r="54" spans="1:11" ht="11.1" customHeight="1">
      <c r="A54" s="423"/>
      <c r="B54" s="423"/>
      <c r="C54" s="154" t="s">
        <v>7</v>
      </c>
      <c r="D54" s="313">
        <v>203968</v>
      </c>
      <c r="E54" s="129">
        <v>18678.7</v>
      </c>
      <c r="F54" s="129">
        <v>203700</v>
      </c>
      <c r="G54" s="307">
        <f t="shared" si="16"/>
        <v>0.20099376382056083</v>
      </c>
      <c r="H54" s="307">
        <f t="shared" si="17"/>
        <v>-7.8459716808919985E-2</v>
      </c>
      <c r="I54" s="313">
        <v>20269</v>
      </c>
      <c r="J54" s="129">
        <v>220666.1</v>
      </c>
      <c r="K54" s="307">
        <f t="shared" si="18"/>
        <v>0.16942532341270566</v>
      </c>
    </row>
    <row r="55" spans="1:11" ht="11.1" customHeight="1">
      <c r="A55" s="423"/>
      <c r="B55" s="423"/>
      <c r="C55" s="154" t="s">
        <v>93</v>
      </c>
      <c r="D55" s="313">
        <v>19</v>
      </c>
      <c r="E55" s="129">
        <v>402.13299999999998</v>
      </c>
      <c r="F55" s="129">
        <v>4385.4617299999991</v>
      </c>
      <c r="G55" s="307">
        <f t="shared" si="16"/>
        <v>4.327186861315487E-3</v>
      </c>
      <c r="H55" s="307">
        <f t="shared" si="17"/>
        <v>0.10545645474762959</v>
      </c>
      <c r="I55" s="313">
        <v>363.77100000000002</v>
      </c>
      <c r="J55" s="129">
        <v>3960.3273899999995</v>
      </c>
      <c r="K55" s="307">
        <f t="shared" si="18"/>
        <v>3.0407035040289779E-3</v>
      </c>
    </row>
    <row r="56" spans="1:11" ht="11.1" customHeight="1">
      <c r="A56" s="424"/>
      <c r="B56" s="424"/>
      <c r="C56" s="318" t="s">
        <v>0</v>
      </c>
      <c r="D56" s="321">
        <v>217212</v>
      </c>
      <c r="E56" s="319">
        <v>92931.738999999987</v>
      </c>
      <c r="F56" s="319">
        <v>1013782.5336140001</v>
      </c>
      <c r="G56" s="320">
        <f>SUM(G51:G55)</f>
        <v>1.0000000000000002</v>
      </c>
      <c r="H56" s="320">
        <f t="shared" ref="H56" si="19">(E56-I56)/I56</f>
        <v>-0.22319848362621991</v>
      </c>
      <c r="I56" s="321">
        <v>119633.82799999999</v>
      </c>
      <c r="J56" s="319">
        <v>1305653.9474900002</v>
      </c>
      <c r="K56" s="320">
        <f>SUM(K51:K55)</f>
        <v>1</v>
      </c>
    </row>
    <row r="57" spans="1:11" ht="11.1" customHeight="1">
      <c r="A57" s="491" t="str">
        <f>'3.1'!G5</f>
        <v>IV. čtvrtletí</v>
      </c>
      <c r="B57" s="422"/>
      <c r="C57" s="164" t="s">
        <v>4</v>
      </c>
      <c r="D57" s="312">
        <f>D51</f>
        <v>128</v>
      </c>
      <c r="E57" s="308">
        <f>E39+E45+E51</f>
        <v>183948.111</v>
      </c>
      <c r="F57" s="308">
        <f>F39+F45+F51</f>
        <v>2012292.2712780002</v>
      </c>
      <c r="G57" s="309">
        <f>E57/$E$62</f>
        <v>0.72828371076408915</v>
      </c>
      <c r="H57" s="309">
        <f>(E57-I57)/I57</f>
        <v>-0.1831927475723025</v>
      </c>
      <c r="I57" s="312">
        <f>I39+I45+I51</f>
        <v>225203.81700000001</v>
      </c>
      <c r="J57" s="308">
        <f>J39+J45+J51</f>
        <v>2464232.85243</v>
      </c>
      <c r="K57" s="309">
        <f>I57/$I$62</f>
        <v>0.7570050885375893</v>
      </c>
    </row>
    <row r="58" spans="1:11" ht="11.1" customHeight="1">
      <c r="A58" s="423"/>
      <c r="B58" s="423"/>
      <c r="C58" s="154" t="s">
        <v>5</v>
      </c>
      <c r="D58" s="313">
        <f>D52</f>
        <v>301</v>
      </c>
      <c r="E58" s="129">
        <f t="shared" ref="E58:F59" si="20">E40+E46+E52</f>
        <v>10132.882</v>
      </c>
      <c r="F58" s="129">
        <f t="shared" si="20"/>
        <v>110745.72260000001</v>
      </c>
      <c r="G58" s="307">
        <f t="shared" ref="G58:G61" si="21">E58/$E$62</f>
        <v>4.0117905335242315E-2</v>
      </c>
      <c r="H58" s="307">
        <f t="shared" ref="H58:H61" si="22">(E58-I58)/I58</f>
        <v>-4.970103638469163E-2</v>
      </c>
      <c r="I58" s="313">
        <f t="shared" ref="I58:J58" si="23">I40+I46+I52</f>
        <v>10662.835999999999</v>
      </c>
      <c r="J58" s="129">
        <f t="shared" si="23"/>
        <v>116413.87646000001</v>
      </c>
      <c r="K58" s="307">
        <f t="shared" ref="K58:K61" si="24">I58/$I$62</f>
        <v>3.5842292629710594E-2</v>
      </c>
    </row>
    <row r="59" spans="1:11" ht="11.1" customHeight="1">
      <c r="A59" s="423"/>
      <c r="B59" s="423"/>
      <c r="C59" s="154" t="s">
        <v>6</v>
      </c>
      <c r="D59" s="313">
        <f>D53</f>
        <v>12796</v>
      </c>
      <c r="E59" s="129">
        <f>E41+E47+E53</f>
        <v>19477.165000000001</v>
      </c>
      <c r="F59" s="129">
        <f t="shared" si="20"/>
        <v>212599.06023</v>
      </c>
      <c r="G59" s="307">
        <f t="shared" si="21"/>
        <v>7.7113605158818085E-2</v>
      </c>
      <c r="H59" s="307">
        <f t="shared" si="22"/>
        <v>-4.5594771410932211E-2</v>
      </c>
      <c r="I59" s="313">
        <f>I41+I47+I53</f>
        <v>20407.646999999997</v>
      </c>
      <c r="J59" s="129">
        <f t="shared" ref="J59" si="25">J41+J47+J53</f>
        <v>222652.20157999999</v>
      </c>
      <c r="K59" s="307">
        <f t="shared" si="24"/>
        <v>6.8598715731709226E-2</v>
      </c>
    </row>
    <row r="60" spans="1:11" ht="11.1" customHeight="1">
      <c r="A60" s="423"/>
      <c r="B60" s="423"/>
      <c r="C60" s="154" t="s">
        <v>7</v>
      </c>
      <c r="D60" s="313">
        <f>D54</f>
        <v>203968</v>
      </c>
      <c r="E60" s="129">
        <f t="shared" ref="E60:F61" si="26">E42+E48+E54</f>
        <v>37749.199999999997</v>
      </c>
      <c r="F60" s="129">
        <f t="shared" si="26"/>
        <v>412384.9</v>
      </c>
      <c r="G60" s="307">
        <f t="shared" si="21"/>
        <v>0.14945588353650313</v>
      </c>
      <c r="H60" s="307">
        <f t="shared" si="22"/>
        <v>-5.8698557721079618E-2</v>
      </c>
      <c r="I60" s="313">
        <f t="shared" ref="I60:J60" si="27">I42+I48+I54</f>
        <v>40103.199999999997</v>
      </c>
      <c r="J60" s="129">
        <f t="shared" si="27"/>
        <v>437630.80000000005</v>
      </c>
      <c r="K60" s="307">
        <f t="shared" si="24"/>
        <v>0.13480378295115952</v>
      </c>
    </row>
    <row r="61" spans="1:11" ht="11.1" customHeight="1">
      <c r="A61" s="423"/>
      <c r="B61" s="423"/>
      <c r="C61" s="154" t="s">
        <v>93</v>
      </c>
      <c r="D61" s="313">
        <f>D55</f>
        <v>19</v>
      </c>
      <c r="E61" s="129">
        <f>E43+E49+E55</f>
        <v>1270.1859999999999</v>
      </c>
      <c r="F61" s="129">
        <f t="shared" si="26"/>
        <v>13892.392670000001</v>
      </c>
      <c r="G61" s="307">
        <f t="shared" si="21"/>
        <v>5.0288952053473132E-3</v>
      </c>
      <c r="H61" s="307">
        <f t="shared" si="22"/>
        <v>0.1385318675014677</v>
      </c>
      <c r="I61" s="313">
        <f>I43+I49+I55</f>
        <v>1115.635</v>
      </c>
      <c r="J61" s="129">
        <f t="shared" ref="J61" si="28">J43+J49+J55</f>
        <v>12188.25073</v>
      </c>
      <c r="K61" s="307">
        <f t="shared" si="24"/>
        <v>3.7501201498313565E-3</v>
      </c>
    </row>
    <row r="62" spans="1:11" ht="11.1" customHeight="1">
      <c r="A62" s="424"/>
      <c r="B62" s="424"/>
      <c r="C62" s="318" t="s">
        <v>0</v>
      </c>
      <c r="D62" s="321">
        <f>SUM(D57:D61)</f>
        <v>217212</v>
      </c>
      <c r="E62" s="319">
        <f>SUM(E57:E61)</f>
        <v>252577.54399999999</v>
      </c>
      <c r="F62" s="319">
        <f>SUM(F57:F61)</f>
        <v>2761914.3467780002</v>
      </c>
      <c r="G62" s="320">
        <f>SUM(G57:G61)</f>
        <v>0.99999999999999989</v>
      </c>
      <c r="H62" s="320">
        <f>(E62-I62)/I62</f>
        <v>-0.15098026043525345</v>
      </c>
      <c r="I62" s="321">
        <f>SUM(I57:I61)</f>
        <v>297493.13500000001</v>
      </c>
      <c r="J62" s="319">
        <f>SUM(J57:J61)</f>
        <v>3253117.9811999998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20"/>
  <sheetViews>
    <sheetView showGridLines="0" topLeftCell="A19" zoomScaleNormal="100" zoomScaleSheetLayoutView="100" workbookViewId="0">
      <selection activeCell="D1" sqref="D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2" customFormat="1" ht="18">
      <c r="A1" s="495" t="s">
        <v>307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15"/>
      <c r="B3" s="515"/>
      <c r="C3" s="515"/>
      <c r="D3" s="300"/>
      <c r="E3" s="300"/>
      <c r="F3" s="301"/>
      <c r="G3" s="302"/>
      <c r="H3" s="302"/>
      <c r="I3" s="302"/>
      <c r="J3" s="76"/>
      <c r="K3" s="76"/>
    </row>
    <row r="4" spans="1:16" ht="12.95" customHeight="1">
      <c r="A4" s="487" t="s">
        <v>46</v>
      </c>
      <c r="B4" s="487"/>
      <c r="C4" s="487"/>
      <c r="D4" s="481">
        <f>'3.1'!A4</f>
        <v>2023</v>
      </c>
      <c r="E4" s="353"/>
      <c r="F4" s="342"/>
      <c r="G4" s="342"/>
      <c r="H4" s="342"/>
      <c r="I4" s="481">
        <f>D4-1</f>
        <v>2022</v>
      </c>
      <c r="J4" s="482"/>
      <c r="K4" s="482"/>
    </row>
    <row r="5" spans="1:16" ht="24.95" customHeight="1">
      <c r="A5" s="354"/>
      <c r="B5" s="354"/>
      <c r="C5" s="354"/>
      <c r="D5" s="483"/>
      <c r="E5" s="355"/>
      <c r="F5" s="356"/>
      <c r="G5" s="356"/>
      <c r="H5" s="357"/>
      <c r="I5" s="483"/>
      <c r="J5" s="484"/>
      <c r="K5" s="484"/>
    </row>
    <row r="6" spans="1:16" ht="24.95" customHeight="1">
      <c r="A6" s="304"/>
      <c r="B6" s="272"/>
      <c r="C6" s="305"/>
      <c r="D6" s="364" t="s">
        <v>159</v>
      </c>
      <c r="E6" s="479" t="s">
        <v>60</v>
      </c>
      <c r="F6" s="479"/>
      <c r="G6" s="480" t="s">
        <v>33</v>
      </c>
      <c r="H6" s="480" t="s">
        <v>268</v>
      </c>
      <c r="I6" s="478" t="s">
        <v>60</v>
      </c>
      <c r="J6" s="479"/>
      <c r="K6" s="480" t="s">
        <v>33</v>
      </c>
    </row>
    <row r="7" spans="1:16" ht="24.95" customHeight="1">
      <c r="A7" s="304"/>
      <c r="B7" s="306"/>
      <c r="D7" s="365"/>
      <c r="E7" s="479"/>
      <c r="F7" s="479"/>
      <c r="G7" s="480"/>
      <c r="H7" s="480"/>
      <c r="I7" s="478"/>
      <c r="J7" s="479"/>
      <c r="K7" s="480"/>
    </row>
    <row r="8" spans="1:16" ht="15" customHeight="1">
      <c r="A8" s="488" t="s">
        <v>158</v>
      </c>
      <c r="B8" s="488"/>
      <c r="C8" s="323" t="s">
        <v>184</v>
      </c>
      <c r="D8" s="343"/>
      <c r="E8" s="219" t="s">
        <v>259</v>
      </c>
      <c r="F8" s="219" t="s">
        <v>260</v>
      </c>
      <c r="G8" s="467"/>
      <c r="H8" s="467"/>
      <c r="I8" s="221" t="s">
        <v>259</v>
      </c>
      <c r="J8" s="219" t="s">
        <v>260</v>
      </c>
      <c r="K8" s="467"/>
    </row>
    <row r="9" spans="1:16" ht="11.1" customHeight="1">
      <c r="A9" s="422" t="str">
        <f>'3.1'!D5</f>
        <v>Říjen</v>
      </c>
      <c r="B9" s="422"/>
      <c r="C9" s="164" t="s">
        <v>4</v>
      </c>
      <c r="D9" s="312">
        <v>91</v>
      </c>
      <c r="E9" s="308">
        <v>7818.199810000001</v>
      </c>
      <c r="F9" s="308">
        <v>85802.686359999978</v>
      </c>
      <c r="G9" s="309">
        <f>E9/$E$14</f>
        <v>0.46148929171364711</v>
      </c>
      <c r="H9" s="309">
        <f>(E9-I9)/I9</f>
        <v>1.4244418583588221E-2</v>
      </c>
      <c r="I9" s="312">
        <v>7708.3981599999997</v>
      </c>
      <c r="J9" s="308">
        <v>84473.673380000022</v>
      </c>
      <c r="K9" s="309">
        <f>I9/$I$14</f>
        <v>0.42027145922535952</v>
      </c>
    </row>
    <row r="10" spans="1:16" ht="11.1" customHeight="1">
      <c r="A10" s="423"/>
      <c r="B10" s="423"/>
      <c r="C10" s="154" t="s">
        <v>5</v>
      </c>
      <c r="D10" s="313">
        <v>313</v>
      </c>
      <c r="E10" s="129">
        <v>2089.3710700000001</v>
      </c>
      <c r="F10" s="129">
        <v>22931.836909999998</v>
      </c>
      <c r="G10" s="307">
        <f>E10/$E$14</f>
        <v>0.12333048510578869</v>
      </c>
      <c r="H10" s="307">
        <f>(E10-I10)/I10</f>
        <v>-7.3194442200047088E-2</v>
      </c>
      <c r="I10" s="313">
        <v>2254.3790899999999</v>
      </c>
      <c r="J10" s="129">
        <v>24704.763419999996</v>
      </c>
      <c r="K10" s="307">
        <f>I10/$I$14</f>
        <v>0.12291155310553367</v>
      </c>
      <c r="L10" s="93"/>
      <c r="N10" s="93"/>
      <c r="O10" s="93"/>
      <c r="P10" s="93"/>
    </row>
    <row r="11" spans="1:16" ht="11.1" customHeight="1">
      <c r="A11" s="423"/>
      <c r="B11" s="423"/>
      <c r="C11" s="154" t="s">
        <v>6</v>
      </c>
      <c r="D11" s="313">
        <v>10681</v>
      </c>
      <c r="E11" s="129">
        <v>2731.31988</v>
      </c>
      <c r="F11" s="129">
        <v>29974.69729</v>
      </c>
      <c r="G11" s="307">
        <f>E11/$E$14</f>
        <v>0.16122315974226853</v>
      </c>
      <c r="H11" s="307">
        <f t="shared" ref="H11:H13" si="0">(E11-I11)/I11</f>
        <v>-0.16084703538414355</v>
      </c>
      <c r="I11" s="313">
        <v>3254.8534</v>
      </c>
      <c r="J11" s="129">
        <v>35669.726909999998</v>
      </c>
      <c r="K11" s="307">
        <f>I11/$I$14</f>
        <v>0.1774586573746241</v>
      </c>
      <c r="L11" s="93"/>
      <c r="N11" s="93"/>
      <c r="O11" s="93"/>
      <c r="P11" s="93"/>
    </row>
    <row r="12" spans="1:16" ht="11.1" customHeight="1">
      <c r="A12" s="423"/>
      <c r="B12" s="423"/>
      <c r="C12" s="154" t="s">
        <v>7</v>
      </c>
      <c r="D12" s="313">
        <v>107208</v>
      </c>
      <c r="E12" s="129">
        <v>4113.0589899999995</v>
      </c>
      <c r="F12" s="129">
        <v>45137.208100000003</v>
      </c>
      <c r="G12" s="307">
        <f>E12/$E$14</f>
        <v>0.24278385385388973</v>
      </c>
      <c r="H12" s="307">
        <f t="shared" si="0"/>
        <v>-0.17019890991040112</v>
      </c>
      <c r="I12" s="313">
        <v>4956.6806299999998</v>
      </c>
      <c r="J12" s="129">
        <v>54321.11707</v>
      </c>
      <c r="K12" s="307">
        <f>I12/$I$14</f>
        <v>0.27024439553394508</v>
      </c>
      <c r="L12" s="93"/>
      <c r="N12" s="93"/>
      <c r="O12" s="93"/>
      <c r="P12" s="93"/>
    </row>
    <row r="13" spans="1:16" ht="11.1" customHeight="1">
      <c r="A13" s="423"/>
      <c r="B13" s="423"/>
      <c r="C13" s="154" t="s">
        <v>93</v>
      </c>
      <c r="D13" s="313">
        <v>15</v>
      </c>
      <c r="E13" s="129">
        <v>189.28799999999998</v>
      </c>
      <c r="F13" s="129">
        <v>2077.6648399999999</v>
      </c>
      <c r="G13" s="307">
        <f>E13/$E$14</f>
        <v>1.1173209584405956E-2</v>
      </c>
      <c r="H13" s="307">
        <f t="shared" si="0"/>
        <v>0.13235584429568725</v>
      </c>
      <c r="I13" s="313">
        <v>167.16300000000001</v>
      </c>
      <c r="J13" s="129">
        <v>1831.6843400000005</v>
      </c>
      <c r="K13" s="307">
        <f>I13/$I$14</f>
        <v>9.1139347605376907E-3</v>
      </c>
      <c r="L13" s="93"/>
      <c r="N13" s="93"/>
      <c r="O13" s="93"/>
      <c r="P13" s="93"/>
    </row>
    <row r="14" spans="1:16" ht="11.1" customHeight="1">
      <c r="A14" s="424"/>
      <c r="B14" s="424"/>
      <c r="C14" s="318" t="s">
        <v>0</v>
      </c>
      <c r="D14" s="321">
        <v>118308</v>
      </c>
      <c r="E14" s="319">
        <v>16941.23775</v>
      </c>
      <c r="F14" s="319">
        <v>185924.09349999999</v>
      </c>
      <c r="G14" s="320">
        <f>SUM(G9:G13)</f>
        <v>1</v>
      </c>
      <c r="H14" s="320">
        <f>(E14-I14)/I14</f>
        <v>-7.6342637926704246E-2</v>
      </c>
      <c r="I14" s="321">
        <v>18341.474279999999</v>
      </c>
      <c r="J14" s="319">
        <v>201000.96512000004</v>
      </c>
      <c r="K14" s="320">
        <f>SUM(K9:K13)</f>
        <v>1</v>
      </c>
      <c r="L14" s="93"/>
    </row>
    <row r="15" spans="1:16" ht="11.1" customHeight="1">
      <c r="A15" s="422" t="str">
        <f>'3.1'!E5</f>
        <v>Listopad</v>
      </c>
      <c r="B15" s="422"/>
      <c r="C15" s="164" t="s">
        <v>4</v>
      </c>
      <c r="D15" s="312">
        <v>91</v>
      </c>
      <c r="E15" s="308">
        <v>9089.0302199999987</v>
      </c>
      <c r="F15" s="308">
        <v>99367.238660000003</v>
      </c>
      <c r="G15" s="309">
        <f>E15/$E$20</f>
        <v>0.30998488618444631</v>
      </c>
      <c r="H15" s="309">
        <f>(E15-I15)/I15</f>
        <v>-8.7430145897712339E-3</v>
      </c>
      <c r="I15" s="312">
        <v>9169.1966400000001</v>
      </c>
      <c r="J15" s="308">
        <v>100152.14035999999</v>
      </c>
      <c r="K15" s="309">
        <f>I15/$I$20</f>
        <v>0.32060085324005005</v>
      </c>
      <c r="L15" s="93"/>
      <c r="M15" s="93"/>
    </row>
    <row r="16" spans="1:16" ht="11.1" customHeight="1">
      <c r="A16" s="423"/>
      <c r="B16" s="423"/>
      <c r="C16" s="154" t="s">
        <v>5</v>
      </c>
      <c r="D16" s="313">
        <v>313</v>
      </c>
      <c r="E16" s="129">
        <v>3624.2386100000003</v>
      </c>
      <c r="F16" s="129">
        <v>39623.907309999988</v>
      </c>
      <c r="G16" s="307">
        <f>E16/$E$20</f>
        <v>0.12360605761371603</v>
      </c>
      <c r="H16" s="307">
        <f>(E16-I16)/I16</f>
        <v>8.0842353306864762E-2</v>
      </c>
      <c r="I16" s="313">
        <v>3353.1611700000003</v>
      </c>
      <c r="J16" s="129">
        <v>36622.726630000005</v>
      </c>
      <c r="K16" s="307">
        <f>I16/$I$20</f>
        <v>0.11724324107781427</v>
      </c>
      <c r="L16" s="97"/>
      <c r="M16" s="93"/>
    </row>
    <row r="17" spans="1:20" ht="11.1" customHeight="1">
      <c r="A17" s="423"/>
      <c r="B17" s="423"/>
      <c r="C17" s="154" t="s">
        <v>6</v>
      </c>
      <c r="D17" s="313">
        <v>10690</v>
      </c>
      <c r="E17" s="129">
        <v>6402.42317</v>
      </c>
      <c r="F17" s="129">
        <v>69993.344089999999</v>
      </c>
      <c r="G17" s="307">
        <f>E17/$E$20</f>
        <v>0.21835711507372588</v>
      </c>
      <c r="H17" s="307">
        <f t="shared" ref="H17:H20" si="1">(E17-I17)/I17</f>
        <v>2.6032494746898911E-2</v>
      </c>
      <c r="I17" s="313">
        <v>6239.9809000000005</v>
      </c>
      <c r="J17" s="129">
        <v>68162.434040000007</v>
      </c>
      <c r="K17" s="307">
        <f>I17/$I$20</f>
        <v>0.21818085916211907</v>
      </c>
      <c r="L17" s="93"/>
      <c r="M17" s="93"/>
      <c r="N17" s="93"/>
      <c r="O17" s="93"/>
    </row>
    <row r="18" spans="1:20" ht="11.1" customHeight="1">
      <c r="A18" s="423"/>
      <c r="B18" s="423"/>
      <c r="C18" s="154" t="s">
        <v>7</v>
      </c>
      <c r="D18" s="313">
        <v>107132</v>
      </c>
      <c r="E18" s="129">
        <v>10024.672840000001</v>
      </c>
      <c r="F18" s="129">
        <v>109588.47152000001</v>
      </c>
      <c r="G18" s="307">
        <f>E18/$E$20</f>
        <v>0.34189533912053721</v>
      </c>
      <c r="H18" s="307">
        <f t="shared" si="1"/>
        <v>3.9101378770725823E-2</v>
      </c>
      <c r="I18" s="313">
        <v>9647.4444600000006</v>
      </c>
      <c r="J18" s="129">
        <v>105396.99357000001</v>
      </c>
      <c r="K18" s="307">
        <f>I18/$I$20</f>
        <v>0.3373227826709575</v>
      </c>
      <c r="L18" s="93"/>
      <c r="M18" s="93"/>
      <c r="N18" s="93"/>
      <c r="O18" s="93"/>
    </row>
    <row r="19" spans="1:20" ht="11.1" customHeight="1">
      <c r="A19" s="423"/>
      <c r="B19" s="423"/>
      <c r="C19" s="154" t="s">
        <v>93</v>
      </c>
      <c r="D19" s="313">
        <v>15</v>
      </c>
      <c r="E19" s="129">
        <v>180.517</v>
      </c>
      <c r="F19" s="129">
        <v>1973.9449099999999</v>
      </c>
      <c r="G19" s="307">
        <f>E19/$E$20</f>
        <v>6.156602007574544E-3</v>
      </c>
      <c r="H19" s="307">
        <f t="shared" si="1"/>
        <v>-5.1183937347244489E-2</v>
      </c>
      <c r="I19" s="313">
        <v>190.255</v>
      </c>
      <c r="J19" s="129">
        <v>2077.3048900000003</v>
      </c>
      <c r="K19" s="307">
        <f>I19/$I$20</f>
        <v>6.6522638490590508E-3</v>
      </c>
      <c r="L19" s="93"/>
      <c r="M19" s="93"/>
      <c r="N19" s="93"/>
      <c r="O19" s="93"/>
    </row>
    <row r="20" spans="1:20" ht="11.1" customHeight="1">
      <c r="A20" s="424"/>
      <c r="B20" s="424"/>
      <c r="C20" s="318" t="s">
        <v>0</v>
      </c>
      <c r="D20" s="321">
        <v>118241</v>
      </c>
      <c r="E20" s="319">
        <v>29320.881840000002</v>
      </c>
      <c r="F20" s="319">
        <v>320546.90649000002</v>
      </c>
      <c r="G20" s="320">
        <f>SUM(G15:G19)</f>
        <v>1</v>
      </c>
      <c r="H20" s="320">
        <f t="shared" si="1"/>
        <v>2.5204290487840224E-2</v>
      </c>
      <c r="I20" s="321">
        <v>28600.038170000003</v>
      </c>
      <c r="J20" s="319">
        <v>312411.59949000005</v>
      </c>
      <c r="K20" s="320">
        <f>SUM(K15:K19)</f>
        <v>0.99999999999999989</v>
      </c>
      <c r="L20" s="93"/>
      <c r="M20" s="93"/>
      <c r="N20" s="93"/>
      <c r="O20" s="93"/>
    </row>
    <row r="21" spans="1:20" ht="11.1" customHeight="1">
      <c r="A21" s="422" t="str">
        <f>'3.1'!F5</f>
        <v>Prosinec</v>
      </c>
      <c r="B21" s="422"/>
      <c r="C21" s="164" t="s">
        <v>4</v>
      </c>
      <c r="D21" s="312">
        <v>91</v>
      </c>
      <c r="E21" s="308">
        <v>9232.6599699999988</v>
      </c>
      <c r="F21" s="308">
        <v>100690.44690999996</v>
      </c>
      <c r="G21" s="309">
        <f>E21/$E$26</f>
        <v>0.25525627914113436</v>
      </c>
      <c r="H21" s="309">
        <f>(E21-I21)/I21</f>
        <v>-0.10715429197348485</v>
      </c>
      <c r="I21" s="312">
        <v>10340.711600000001</v>
      </c>
      <c r="J21" s="308">
        <v>112613.53289999999</v>
      </c>
      <c r="K21" s="309">
        <f>I21/$I$26</f>
        <v>0.26397204816807923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3"/>
      <c r="B22" s="423"/>
      <c r="C22" s="154" t="s">
        <v>5</v>
      </c>
      <c r="D22" s="313">
        <v>313</v>
      </c>
      <c r="E22" s="129">
        <v>4371.2581199999995</v>
      </c>
      <c r="F22" s="129">
        <v>47672.738130000012</v>
      </c>
      <c r="G22" s="307">
        <f>E22/$E$26</f>
        <v>0.12085261306083497</v>
      </c>
      <c r="H22" s="307">
        <f t="shared" ref="H22:H26" si="2">(E22-I22)/I22</f>
        <v>-3.8026609306421044E-2</v>
      </c>
      <c r="I22" s="313">
        <v>4544.0530500000004</v>
      </c>
      <c r="J22" s="129">
        <v>49487.853430000032</v>
      </c>
      <c r="K22" s="307">
        <f>I22/$I$26</f>
        <v>0.11599810893023139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3"/>
      <c r="B23" s="423"/>
      <c r="C23" s="154" t="s">
        <v>6</v>
      </c>
      <c r="D23" s="313">
        <v>10696</v>
      </c>
      <c r="E23" s="129">
        <v>8602.7289299999993</v>
      </c>
      <c r="F23" s="129">
        <v>93820.249490000002</v>
      </c>
      <c r="G23" s="307">
        <f>E23/$E$26</f>
        <v>0.23784051229730194</v>
      </c>
      <c r="H23" s="307">
        <f t="shared" si="2"/>
        <v>-6.0809768476592453E-2</v>
      </c>
      <c r="I23" s="313">
        <v>9159.7299899999998</v>
      </c>
      <c r="J23" s="129">
        <v>99748.748039999991</v>
      </c>
      <c r="K23" s="307">
        <f>I23/$I$26</f>
        <v>0.23382459347641796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3"/>
      <c r="B24" s="423"/>
      <c r="C24" s="154" t="s">
        <v>7</v>
      </c>
      <c r="D24" s="313">
        <v>107135</v>
      </c>
      <c r="E24" s="129">
        <v>13807.613069999999</v>
      </c>
      <c r="F24" s="129">
        <v>150582.53681999998</v>
      </c>
      <c r="G24" s="307">
        <f>E24/$E$26</f>
        <v>0.38174046780894233</v>
      </c>
      <c r="H24" s="307">
        <f t="shared" si="2"/>
        <v>-7.6220688177202192E-2</v>
      </c>
      <c r="I24" s="313">
        <v>14946.874099999999</v>
      </c>
      <c r="J24" s="129">
        <v>162755.14603</v>
      </c>
      <c r="K24" s="307">
        <f>I24/$I$26</f>
        <v>0.38155565327703511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3"/>
      <c r="B25" s="423"/>
      <c r="C25" s="154" t="s">
        <v>93</v>
      </c>
      <c r="D25" s="313">
        <v>15</v>
      </c>
      <c r="E25" s="129">
        <v>155.898</v>
      </c>
      <c r="F25" s="129">
        <v>1700.2295000000001</v>
      </c>
      <c r="G25" s="307">
        <f>E25/$E$26</f>
        <v>4.310127691786376E-3</v>
      </c>
      <c r="H25" s="307">
        <f t="shared" si="2"/>
        <v>-0.14408068474423671</v>
      </c>
      <c r="I25" s="313">
        <v>182.14100000000002</v>
      </c>
      <c r="J25" s="129">
        <v>1984.1538999999998</v>
      </c>
      <c r="K25" s="307">
        <f>I25/$I$26</f>
        <v>4.6495961482362702E-3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24"/>
      <c r="B26" s="424"/>
      <c r="C26" s="318" t="s">
        <v>0</v>
      </c>
      <c r="D26" s="321">
        <v>118250</v>
      </c>
      <c r="E26" s="319">
        <v>36170.158089999997</v>
      </c>
      <c r="F26" s="319">
        <v>394466.20084999996</v>
      </c>
      <c r="G26" s="320">
        <f>SUM(G21:G25)</f>
        <v>1</v>
      </c>
      <c r="H26" s="320">
        <f t="shared" si="2"/>
        <v>-7.6667923551748729E-2</v>
      </c>
      <c r="I26" s="321">
        <v>39173.509740000001</v>
      </c>
      <c r="J26" s="319">
        <v>426589.43429999996</v>
      </c>
      <c r="K26" s="320">
        <f>SUM(K21:K25)</f>
        <v>0.99999999999999989</v>
      </c>
    </row>
    <row r="27" spans="1:20" ht="11.1" customHeight="1">
      <c r="A27" s="491" t="str">
        <f>'3.1'!G5</f>
        <v>IV. čtvrtletí</v>
      </c>
      <c r="B27" s="422"/>
      <c r="C27" s="164" t="s">
        <v>4</v>
      </c>
      <c r="D27" s="312">
        <f>D21</f>
        <v>91</v>
      </c>
      <c r="E27" s="308">
        <f>E9+E15+E21</f>
        <v>26139.89</v>
      </c>
      <c r="F27" s="308">
        <f>F9+F15+F21</f>
        <v>285860.37192999991</v>
      </c>
      <c r="G27" s="309">
        <f>E27/$E$32</f>
        <v>0.31710745760870984</v>
      </c>
      <c r="H27" s="309">
        <f>(E27-I27)/I27</f>
        <v>-3.962099566929711E-2</v>
      </c>
      <c r="I27" s="312">
        <f>I9+I15+I21</f>
        <v>27218.306400000001</v>
      </c>
      <c r="J27" s="308">
        <f>J9+J15+J21</f>
        <v>297239.34664</v>
      </c>
      <c r="K27" s="309">
        <f>I27/$I$32</f>
        <v>0.31606920265255056</v>
      </c>
    </row>
    <row r="28" spans="1:20" ht="11.1" customHeight="1">
      <c r="A28" s="423"/>
      <c r="B28" s="423"/>
      <c r="C28" s="154" t="s">
        <v>5</v>
      </c>
      <c r="D28" s="313">
        <f>D22</f>
        <v>313</v>
      </c>
      <c r="E28" s="129">
        <f t="shared" ref="E28:F31" si="3">E10+E16+E22</f>
        <v>10084.8678</v>
      </c>
      <c r="F28" s="129">
        <f t="shared" si="3"/>
        <v>110228.48235000001</v>
      </c>
      <c r="G28" s="307">
        <f>E28/$E$32</f>
        <v>0.12234124888734968</v>
      </c>
      <c r="H28" s="307">
        <f t="shared" ref="H28:H31" si="4">(E28-I28)/I28</f>
        <v>-6.5729100804571353E-3</v>
      </c>
      <c r="I28" s="313">
        <f t="shared" ref="I28:J28" si="5">I10+I16+I22</f>
        <v>10151.59331</v>
      </c>
      <c r="J28" s="129">
        <f t="shared" si="5"/>
        <v>110815.34348000004</v>
      </c>
      <c r="K28" s="307">
        <f>I28/$I$32</f>
        <v>0.11788411652036758</v>
      </c>
    </row>
    <row r="29" spans="1:20" ht="11.1" customHeight="1">
      <c r="A29" s="423"/>
      <c r="B29" s="423"/>
      <c r="C29" s="154" t="s">
        <v>6</v>
      </c>
      <c r="D29" s="313">
        <f>D23</f>
        <v>10696</v>
      </c>
      <c r="E29" s="129">
        <f t="shared" si="3"/>
        <v>17736.471980000002</v>
      </c>
      <c r="F29" s="129">
        <f t="shared" si="3"/>
        <v>193788.29087</v>
      </c>
      <c r="G29" s="307">
        <f>E29/$E$32</f>
        <v>0.21516416237887462</v>
      </c>
      <c r="H29" s="307">
        <f t="shared" si="4"/>
        <v>-4.9215425014893226E-2</v>
      </c>
      <c r="I29" s="313">
        <f t="shared" ref="I29:J29" si="6">I11+I17+I23</f>
        <v>18654.564290000002</v>
      </c>
      <c r="J29" s="129">
        <f t="shared" si="6"/>
        <v>203580.90899</v>
      </c>
      <c r="K29" s="307">
        <f>I29/$I$32</f>
        <v>0.21662381098667638</v>
      </c>
    </row>
    <row r="30" spans="1:20" ht="11.1" customHeight="1">
      <c r="A30" s="423"/>
      <c r="B30" s="423"/>
      <c r="C30" s="154" t="s">
        <v>7</v>
      </c>
      <c r="D30" s="313">
        <f>D24</f>
        <v>107135</v>
      </c>
      <c r="E30" s="129">
        <f t="shared" si="3"/>
        <v>27945.3449</v>
      </c>
      <c r="F30" s="129">
        <f t="shared" si="3"/>
        <v>305308.21643999999</v>
      </c>
      <c r="G30" s="307">
        <f>E30/$E$32</f>
        <v>0.33900973849689214</v>
      </c>
      <c r="H30" s="307">
        <f t="shared" si="4"/>
        <v>-5.433502534639683E-2</v>
      </c>
      <c r="I30" s="313">
        <f t="shared" ref="I30:J30" si="7">I12+I18+I24</f>
        <v>29550.999190000002</v>
      </c>
      <c r="J30" s="129">
        <f t="shared" si="7"/>
        <v>322473.25667000003</v>
      </c>
      <c r="K30" s="307">
        <f>I30/$I$32</f>
        <v>0.34315730796422617</v>
      </c>
    </row>
    <row r="31" spans="1:20" ht="11.1" customHeight="1">
      <c r="A31" s="423"/>
      <c r="B31" s="423"/>
      <c r="C31" s="154" t="s">
        <v>93</v>
      </c>
      <c r="D31" s="313">
        <f>D25</f>
        <v>15</v>
      </c>
      <c r="E31" s="129">
        <f>E13+E19+E25</f>
        <v>525.70299999999997</v>
      </c>
      <c r="F31" s="129">
        <f t="shared" si="3"/>
        <v>5751.83925</v>
      </c>
      <c r="G31" s="307">
        <f>E31/$E$32</f>
        <v>6.3773926281737066E-3</v>
      </c>
      <c r="H31" s="307">
        <f t="shared" si="4"/>
        <v>-2.5680231448275342E-2</v>
      </c>
      <c r="I31" s="313">
        <f>I13+I19+I25</f>
        <v>539.55899999999997</v>
      </c>
      <c r="J31" s="129">
        <f t="shared" ref="J31" si="8">J13+J19+J25</f>
        <v>5893.1431300000004</v>
      </c>
      <c r="K31" s="307">
        <f>I31/$I$32</f>
        <v>6.2655618761793177E-3</v>
      </c>
    </row>
    <row r="32" spans="1:20" ht="11.1" customHeight="1">
      <c r="A32" s="424"/>
      <c r="B32" s="424"/>
      <c r="C32" s="318" t="s">
        <v>0</v>
      </c>
      <c r="D32" s="321">
        <f>SUM(D27:D31)</f>
        <v>118250</v>
      </c>
      <c r="E32" s="319">
        <f>SUM(E27:E31)</f>
        <v>82432.277679999999</v>
      </c>
      <c r="F32" s="319">
        <f>SUM(F27:F31)</f>
        <v>900937.20083999983</v>
      </c>
      <c r="G32" s="320">
        <f>SUM(G27:G31)</f>
        <v>0.99999999999999989</v>
      </c>
      <c r="H32" s="320">
        <f>(E32-I32)/I32</f>
        <v>-4.2765413238523883E-2</v>
      </c>
      <c r="I32" s="321">
        <f>SUM(I27:I31)</f>
        <v>86115.022190000003</v>
      </c>
      <c r="J32" s="319">
        <f>SUM(J27:J31)</f>
        <v>940001.99891000008</v>
      </c>
      <c r="K32" s="320">
        <f>SUM(K27:K31)</f>
        <v>1</v>
      </c>
    </row>
    <row r="33" spans="1:11" ht="9.9499999999999993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2.95" customHeight="1">
      <c r="A34" s="516" t="s">
        <v>47</v>
      </c>
      <c r="B34" s="516"/>
      <c r="C34" s="516"/>
      <c r="D34" s="481">
        <f>D4</f>
        <v>2023</v>
      </c>
      <c r="E34" s="353"/>
      <c r="F34" s="342"/>
      <c r="G34" s="342"/>
      <c r="H34" s="342"/>
      <c r="I34" s="481">
        <f>D34-1</f>
        <v>2022</v>
      </c>
      <c r="J34" s="482"/>
      <c r="K34" s="482"/>
    </row>
    <row r="35" spans="1:11" ht="24.95" customHeight="1">
      <c r="A35" s="304"/>
      <c r="B35" s="272"/>
      <c r="C35" s="150"/>
      <c r="D35" s="483"/>
      <c r="E35" s="355"/>
      <c r="F35" s="356"/>
      <c r="G35" s="356"/>
      <c r="H35" s="357"/>
      <c r="I35" s="483"/>
      <c r="J35" s="484"/>
      <c r="K35" s="484"/>
    </row>
    <row r="36" spans="1:11" ht="24.95" customHeight="1">
      <c r="A36" s="130"/>
      <c r="B36" s="131"/>
      <c r="C36" s="352"/>
      <c r="D36" s="364" t="s">
        <v>159</v>
      </c>
      <c r="E36" s="479" t="s">
        <v>60</v>
      </c>
      <c r="F36" s="479"/>
      <c r="G36" s="480" t="s">
        <v>33</v>
      </c>
      <c r="H36" s="480" t="s">
        <v>268</v>
      </c>
      <c r="I36" s="478" t="s">
        <v>60</v>
      </c>
      <c r="J36" s="479"/>
      <c r="K36" s="480" t="s">
        <v>33</v>
      </c>
    </row>
    <row r="37" spans="1:11" ht="24.95" customHeight="1">
      <c r="A37" s="130"/>
      <c r="B37" s="306"/>
      <c r="C37" s="306"/>
      <c r="D37" s="365"/>
      <c r="E37" s="479"/>
      <c r="F37" s="479"/>
      <c r="G37" s="480"/>
      <c r="H37" s="480"/>
      <c r="I37" s="478"/>
      <c r="J37" s="479"/>
      <c r="K37" s="480"/>
    </row>
    <row r="38" spans="1:11" ht="15" customHeight="1">
      <c r="A38" s="517" t="s">
        <v>158</v>
      </c>
      <c r="B38" s="517"/>
      <c r="C38" s="366" t="s">
        <v>184</v>
      </c>
      <c r="D38" s="343"/>
      <c r="E38" s="219" t="s">
        <v>259</v>
      </c>
      <c r="F38" s="219" t="s">
        <v>260</v>
      </c>
      <c r="G38" s="467"/>
      <c r="H38" s="467"/>
      <c r="I38" s="221" t="s">
        <v>259</v>
      </c>
      <c r="J38" s="219" t="s">
        <v>260</v>
      </c>
      <c r="K38" s="467"/>
    </row>
    <row r="39" spans="1:11" ht="11.1" customHeight="1">
      <c r="A39" s="422" t="str">
        <f>'3.1'!D5</f>
        <v>Říjen</v>
      </c>
      <c r="B39" s="422"/>
      <c r="C39" s="164" t="s">
        <v>4</v>
      </c>
      <c r="D39" s="312">
        <v>72</v>
      </c>
      <c r="E39" s="308">
        <v>8801.9490000000005</v>
      </c>
      <c r="F39" s="308">
        <v>96582.291809999995</v>
      </c>
      <c r="G39" s="309">
        <f>E39/$E$44</f>
        <v>0.44506661879888959</v>
      </c>
      <c r="H39" s="309">
        <f>(E39-I39)/I39</f>
        <v>2.5301398073302849E-2</v>
      </c>
      <c r="I39" s="312">
        <v>8584.7430000000004</v>
      </c>
      <c r="J39" s="308">
        <v>94086.152619999993</v>
      </c>
      <c r="K39" s="309">
        <f>I39/$I$44</f>
        <v>0.39594053104202126</v>
      </c>
    </row>
    <row r="40" spans="1:11" ht="11.1" customHeight="1">
      <c r="A40" s="423"/>
      <c r="B40" s="423"/>
      <c r="C40" s="154" t="s">
        <v>5</v>
      </c>
      <c r="D40" s="313">
        <v>302</v>
      </c>
      <c r="E40" s="129">
        <v>1898.1079999999999</v>
      </c>
      <c r="F40" s="129">
        <v>20827.290989999983</v>
      </c>
      <c r="G40" s="307">
        <f t="shared" ref="G40" si="9">E40/$E$44</f>
        <v>9.5976983015366557E-2</v>
      </c>
      <c r="H40" s="307">
        <f>(E40-I40)/I40</f>
        <v>-8.5024271025649814E-2</v>
      </c>
      <c r="I40" s="313">
        <v>2074.4900000000002</v>
      </c>
      <c r="J40" s="129">
        <v>22735.314239999996</v>
      </c>
      <c r="K40" s="307">
        <f t="shared" ref="K40:K43" si="10">I40/$I$44</f>
        <v>9.5678423016433076E-2</v>
      </c>
    </row>
    <row r="41" spans="1:11" ht="11.1" customHeight="1">
      <c r="A41" s="423"/>
      <c r="B41" s="423"/>
      <c r="C41" s="154" t="s">
        <v>6</v>
      </c>
      <c r="D41" s="313">
        <v>10654</v>
      </c>
      <c r="E41" s="129">
        <v>3074.4920000000002</v>
      </c>
      <c r="F41" s="129">
        <v>33735.937620000004</v>
      </c>
      <c r="G41" s="307">
        <f>E41/$E$44</f>
        <v>0.15546031441039204</v>
      </c>
      <c r="H41" s="307">
        <f t="shared" ref="H41:H43" si="11">(E41-I41)/I41</f>
        <v>-0.17779448311900301</v>
      </c>
      <c r="I41" s="313">
        <v>3739.3229999999999</v>
      </c>
      <c r="J41" s="129">
        <v>40981.783589999999</v>
      </c>
      <c r="K41" s="307">
        <f t="shared" si="10"/>
        <v>0.17246288378785993</v>
      </c>
    </row>
    <row r="42" spans="1:11" ht="11.1" customHeight="1">
      <c r="A42" s="423"/>
      <c r="B42" s="423"/>
      <c r="C42" s="154" t="s">
        <v>7</v>
      </c>
      <c r="D42" s="313">
        <v>142015</v>
      </c>
      <c r="E42" s="129">
        <v>5802.5</v>
      </c>
      <c r="F42" s="129">
        <v>63670</v>
      </c>
      <c r="G42" s="307">
        <f>E42/$E$44</f>
        <v>0.29340082015705349</v>
      </c>
      <c r="H42" s="307">
        <f t="shared" si="11"/>
        <v>-0.18244709330177244</v>
      </c>
      <c r="I42" s="313">
        <v>7097.4</v>
      </c>
      <c r="J42" s="129">
        <v>77785.5</v>
      </c>
      <c r="K42" s="307">
        <f t="shared" si="10"/>
        <v>0.32734216097297747</v>
      </c>
    </row>
    <row r="43" spans="1:11" ht="11.1" customHeight="1">
      <c r="A43" s="423"/>
      <c r="B43" s="423"/>
      <c r="C43" s="154" t="s">
        <v>93</v>
      </c>
      <c r="D43" s="313">
        <v>11</v>
      </c>
      <c r="E43" s="129">
        <v>199.65100000000001</v>
      </c>
      <c r="F43" s="129">
        <v>2190.7269899999997</v>
      </c>
      <c r="G43" s="307">
        <f>E43/$E$44</f>
        <v>1.00952636182983E-2</v>
      </c>
      <c r="H43" s="307">
        <f t="shared" si="11"/>
        <v>7.3715742374048224E-2</v>
      </c>
      <c r="I43" s="313">
        <v>185.94399999999999</v>
      </c>
      <c r="J43" s="129">
        <v>2037.8941299999999</v>
      </c>
      <c r="K43" s="307">
        <f t="shared" si="10"/>
        <v>8.5760011807083335E-3</v>
      </c>
    </row>
    <row r="44" spans="1:11" ht="11.1" customHeight="1">
      <c r="A44" s="424"/>
      <c r="B44" s="424"/>
      <c r="C44" s="318" t="s">
        <v>0</v>
      </c>
      <c r="D44" s="321">
        <v>153054</v>
      </c>
      <c r="E44" s="319">
        <v>19776.7</v>
      </c>
      <c r="F44" s="319">
        <v>217006.24740999998</v>
      </c>
      <c r="G44" s="320">
        <f>SUM(G39:G43)</f>
        <v>1</v>
      </c>
      <c r="H44" s="320">
        <f>(E44-I44)/I44</f>
        <v>-8.7870527951886004E-2</v>
      </c>
      <c r="I44" s="321">
        <v>21681.899999999998</v>
      </c>
      <c r="J44" s="319">
        <v>237626.64457999999</v>
      </c>
      <c r="K44" s="320">
        <f>SUM(K39:K43)</f>
        <v>1</v>
      </c>
    </row>
    <row r="45" spans="1:11" ht="11.1" customHeight="1">
      <c r="A45" s="422" t="str">
        <f>'3.1'!E5</f>
        <v>Listopad</v>
      </c>
      <c r="B45" s="422"/>
      <c r="C45" s="164" t="s">
        <v>4</v>
      </c>
      <c r="D45" s="312">
        <v>72</v>
      </c>
      <c r="E45" s="308">
        <v>12117.822</v>
      </c>
      <c r="F45" s="308">
        <v>132454.34240999998</v>
      </c>
      <c r="G45" s="309">
        <f>E45/$E$50</f>
        <v>0.32684970303118571</v>
      </c>
      <c r="H45" s="309">
        <f>(E45-I45)/I45</f>
        <v>9.5845078255773972E-2</v>
      </c>
      <c r="I45" s="312">
        <v>11057.97</v>
      </c>
      <c r="J45" s="308">
        <v>120843.29486999998</v>
      </c>
      <c r="K45" s="309">
        <f>I45/$I$50</f>
        <v>0.3143022403119724</v>
      </c>
    </row>
    <row r="46" spans="1:11" ht="11.1" customHeight="1">
      <c r="A46" s="423"/>
      <c r="B46" s="423"/>
      <c r="C46" s="154" t="s">
        <v>5</v>
      </c>
      <c r="D46" s="313">
        <v>302</v>
      </c>
      <c r="E46" s="129">
        <v>3333.098</v>
      </c>
      <c r="F46" s="129">
        <v>36432.375020000029</v>
      </c>
      <c r="G46" s="307">
        <f t="shared" ref="G46:G49" si="12">E46/$E$50</f>
        <v>8.9902466918051691E-2</v>
      </c>
      <c r="H46" s="307">
        <f>(E46-I46)/I46</f>
        <v>6.7867333319236611E-2</v>
      </c>
      <c r="I46" s="313">
        <v>3121.2659999999996</v>
      </c>
      <c r="J46" s="129">
        <v>34109.25852000001</v>
      </c>
      <c r="K46" s="307">
        <f t="shared" ref="K46:K49" si="13">I46/$I$50</f>
        <v>8.8716183568013723E-2</v>
      </c>
    </row>
    <row r="47" spans="1:11" ht="11.1" customHeight="1">
      <c r="A47" s="423"/>
      <c r="B47" s="423"/>
      <c r="C47" s="154" t="s">
        <v>6</v>
      </c>
      <c r="D47" s="313">
        <v>10661</v>
      </c>
      <c r="E47" s="129">
        <v>7219.0520000000006</v>
      </c>
      <c r="F47" s="129">
        <v>78908.57849</v>
      </c>
      <c r="G47" s="307">
        <f t="shared" si="12"/>
        <v>0.1947169220976086</v>
      </c>
      <c r="H47" s="307">
        <f t="shared" ref="H47:H49" si="14">(E47-I47)/I47</f>
        <v>1.9632624167167264E-2</v>
      </c>
      <c r="I47" s="313">
        <v>7080.0519999999997</v>
      </c>
      <c r="J47" s="129">
        <v>77371.776440000001</v>
      </c>
      <c r="K47" s="307">
        <f t="shared" si="13"/>
        <v>0.20123731617333568</v>
      </c>
    </row>
    <row r="48" spans="1:11" ht="11.1" customHeight="1">
      <c r="A48" s="423"/>
      <c r="B48" s="423"/>
      <c r="C48" s="154" t="s">
        <v>7</v>
      </c>
      <c r="D48" s="313">
        <v>141930</v>
      </c>
      <c r="E48" s="129">
        <v>14210.4</v>
      </c>
      <c r="F48" s="129">
        <v>155328.29999999999</v>
      </c>
      <c r="G48" s="307">
        <f t="shared" si="12"/>
        <v>0.38329206518748676</v>
      </c>
      <c r="H48" s="307">
        <f t="shared" si="14"/>
        <v>3.5969964277903305E-2</v>
      </c>
      <c r="I48" s="313">
        <v>13717</v>
      </c>
      <c r="J48" s="129">
        <v>149901.9</v>
      </c>
      <c r="K48" s="307">
        <f t="shared" si="13"/>
        <v>0.38988022488389146</v>
      </c>
    </row>
    <row r="49" spans="1:11" ht="11.1" customHeight="1">
      <c r="A49" s="423"/>
      <c r="B49" s="423"/>
      <c r="C49" s="154" t="s">
        <v>93</v>
      </c>
      <c r="D49" s="313">
        <v>11</v>
      </c>
      <c r="E49" s="129">
        <v>194.22800000000001</v>
      </c>
      <c r="F49" s="129">
        <v>2123.0240199999994</v>
      </c>
      <c r="G49" s="307">
        <f t="shared" si="12"/>
        <v>5.2388427656670598E-3</v>
      </c>
      <c r="H49" s="307">
        <f t="shared" si="14"/>
        <v>-5.857148396603204E-2</v>
      </c>
      <c r="I49" s="313">
        <v>206.31200000000001</v>
      </c>
      <c r="J49" s="129">
        <v>2254.60331</v>
      </c>
      <c r="K49" s="307">
        <f t="shared" si="13"/>
        <v>5.8640350627867186E-3</v>
      </c>
    </row>
    <row r="50" spans="1:11" ht="11.1" customHeight="1">
      <c r="A50" s="424"/>
      <c r="B50" s="424"/>
      <c r="C50" s="318" t="s">
        <v>0</v>
      </c>
      <c r="D50" s="321">
        <v>152976</v>
      </c>
      <c r="E50" s="319">
        <v>37074.600000000006</v>
      </c>
      <c r="F50" s="319">
        <v>405246.61994</v>
      </c>
      <c r="G50" s="320">
        <f>SUM(G45:G49)</f>
        <v>0.99999999999999978</v>
      </c>
      <c r="H50" s="320">
        <f t="shared" ref="H50" si="15">(E50-I50)/I50</f>
        <v>5.3776582742605931E-2</v>
      </c>
      <c r="I50" s="321">
        <v>35182.6</v>
      </c>
      <c r="J50" s="319">
        <v>384480.83313999994</v>
      </c>
      <c r="K50" s="320">
        <f>SUM(K45:K49)</f>
        <v>1</v>
      </c>
    </row>
    <row r="51" spans="1:11" ht="11.1" customHeight="1">
      <c r="A51" s="422" t="str">
        <f>'3.1'!F5</f>
        <v>Prosinec</v>
      </c>
      <c r="B51" s="422"/>
      <c r="C51" s="164" t="s">
        <v>4</v>
      </c>
      <c r="D51" s="312">
        <v>72</v>
      </c>
      <c r="E51" s="308">
        <v>12810.248</v>
      </c>
      <c r="F51" s="308">
        <v>139702.39032999999</v>
      </c>
      <c r="G51" s="309">
        <f>E51/$E$56</f>
        <v>0.27877940075558422</v>
      </c>
      <c r="H51" s="309">
        <f>(E51-I51)/I51</f>
        <v>2.9589888771080704E-2</v>
      </c>
      <c r="I51" s="312">
        <v>12442.088000000002</v>
      </c>
      <c r="J51" s="308">
        <v>135455.98098999998</v>
      </c>
      <c r="K51" s="309">
        <f>I51/$I$56</f>
        <v>0.25841553888459651</v>
      </c>
    </row>
    <row r="52" spans="1:11" ht="11.1" customHeight="1">
      <c r="A52" s="423"/>
      <c r="B52" s="423"/>
      <c r="C52" s="154" t="s">
        <v>5</v>
      </c>
      <c r="D52" s="313">
        <v>302</v>
      </c>
      <c r="E52" s="129">
        <v>3657.4279999999999</v>
      </c>
      <c r="F52" s="129">
        <v>39885.473549999995</v>
      </c>
      <c r="G52" s="307">
        <f t="shared" ref="G52:G55" si="16">E52/$E$56</f>
        <v>7.9593742927279373E-2</v>
      </c>
      <c r="H52" s="307">
        <f t="shared" ref="H52:H55" si="17">(E52-I52)/I52</f>
        <v>-6.0322448702744148E-2</v>
      </c>
      <c r="I52" s="313">
        <v>3892.2159999999999</v>
      </c>
      <c r="J52" s="129">
        <v>42373.764129999996</v>
      </c>
      <c r="K52" s="307">
        <f t="shared" ref="K52:K55" si="18">I52/$I$56</f>
        <v>8.0839252631491484E-2</v>
      </c>
    </row>
    <row r="53" spans="1:11" ht="11.1" customHeight="1">
      <c r="A53" s="423"/>
      <c r="B53" s="423"/>
      <c r="C53" s="154" t="s">
        <v>6</v>
      </c>
      <c r="D53" s="313">
        <v>10666</v>
      </c>
      <c r="E53" s="129">
        <v>9687.5010000000002</v>
      </c>
      <c r="F53" s="129">
        <v>105647.1994</v>
      </c>
      <c r="G53" s="307">
        <f t="shared" si="16"/>
        <v>0.21082150194118982</v>
      </c>
      <c r="H53" s="307">
        <f t="shared" si="17"/>
        <v>-6.2150085207588801E-2</v>
      </c>
      <c r="I53" s="313">
        <v>10329.478999999999</v>
      </c>
      <c r="J53" s="129">
        <v>112455.69498</v>
      </c>
      <c r="K53" s="307">
        <f t="shared" si="18"/>
        <v>0.21453777550698266</v>
      </c>
    </row>
    <row r="54" spans="1:11" ht="10.5" customHeight="1">
      <c r="A54" s="423"/>
      <c r="B54" s="423"/>
      <c r="C54" s="154" t="s">
        <v>7</v>
      </c>
      <c r="D54" s="313">
        <v>141870</v>
      </c>
      <c r="E54" s="129">
        <v>19601.8</v>
      </c>
      <c r="F54" s="129">
        <v>213767.1</v>
      </c>
      <c r="G54" s="307">
        <f t="shared" si="16"/>
        <v>0.42657863124358014</v>
      </c>
      <c r="H54" s="307">
        <f t="shared" si="17"/>
        <v>-7.8460041277438039E-2</v>
      </c>
      <c r="I54" s="313">
        <v>21270.7</v>
      </c>
      <c r="J54" s="129">
        <v>231571.7</v>
      </c>
      <c r="K54" s="307">
        <f t="shared" si="18"/>
        <v>0.44178110643105778</v>
      </c>
    </row>
    <row r="55" spans="1:11" ht="11.1" customHeight="1">
      <c r="A55" s="423"/>
      <c r="B55" s="423"/>
      <c r="C55" s="154" t="s">
        <v>93</v>
      </c>
      <c r="D55" s="313">
        <v>11</v>
      </c>
      <c r="E55" s="129">
        <v>194.22300000000001</v>
      </c>
      <c r="F55" s="129">
        <v>2118.09575</v>
      </c>
      <c r="G55" s="307">
        <f t="shared" si="16"/>
        <v>4.2267231323665109E-3</v>
      </c>
      <c r="H55" s="307">
        <f t="shared" si="17"/>
        <v>-8.8655527245597388E-2</v>
      </c>
      <c r="I55" s="313">
        <v>213.11699999999999</v>
      </c>
      <c r="J55" s="129">
        <v>2320.1781900000001</v>
      </c>
      <c r="K55" s="307">
        <f t="shared" si="18"/>
        <v>4.4263265458714448E-3</v>
      </c>
    </row>
    <row r="56" spans="1:11" ht="11.1" customHeight="1">
      <c r="A56" s="424"/>
      <c r="B56" s="424"/>
      <c r="C56" s="318" t="s">
        <v>0</v>
      </c>
      <c r="D56" s="321">
        <v>152921</v>
      </c>
      <c r="E56" s="319">
        <v>45951.199999999997</v>
      </c>
      <c r="F56" s="319">
        <v>501120.25902999996</v>
      </c>
      <c r="G56" s="320">
        <f>SUM(G51:G55)</f>
        <v>1</v>
      </c>
      <c r="H56" s="320">
        <f>(E56-I56)/I56</f>
        <v>-4.5618057805581348E-2</v>
      </c>
      <c r="I56" s="321">
        <v>48147.600000000006</v>
      </c>
      <c r="J56" s="319">
        <v>524177.31829000002</v>
      </c>
      <c r="K56" s="320">
        <f>SUM(K51:K55)</f>
        <v>1</v>
      </c>
    </row>
    <row r="57" spans="1:11" ht="11.1" customHeight="1">
      <c r="A57" s="491" t="str">
        <f>'3.1'!G5</f>
        <v>IV. čtvrtletí</v>
      </c>
      <c r="B57" s="422"/>
      <c r="C57" s="164" t="s">
        <v>4</v>
      </c>
      <c r="D57" s="312">
        <f>D51</f>
        <v>72</v>
      </c>
      <c r="E57" s="308">
        <f>E39+E45+E51</f>
        <v>33730.019</v>
      </c>
      <c r="F57" s="308">
        <f>F39+F45+F51</f>
        <v>368739.02454999997</v>
      </c>
      <c r="G57" s="309">
        <f>E57/$E$62</f>
        <v>0.32810504608350965</v>
      </c>
      <c r="H57" s="309">
        <f>(E57-I57)/I57</f>
        <v>5.1277176380180783E-2</v>
      </c>
      <c r="I57" s="312">
        <f>I39+I45+I51</f>
        <v>32084.800999999999</v>
      </c>
      <c r="J57" s="308">
        <f>J39+J45+J51</f>
        <v>350385.42848</v>
      </c>
      <c r="K57" s="309">
        <f>I57/$I$62</f>
        <v>0.30553432413978954</v>
      </c>
    </row>
    <row r="58" spans="1:11" ht="11.1" customHeight="1">
      <c r="A58" s="423"/>
      <c r="B58" s="423"/>
      <c r="C58" s="154" t="s">
        <v>5</v>
      </c>
      <c r="D58" s="313">
        <f>D52</f>
        <v>302</v>
      </c>
      <c r="E58" s="129">
        <f t="shared" ref="E58:F59" si="19">E40+E46+E52</f>
        <v>8888.634</v>
      </c>
      <c r="F58" s="129">
        <f t="shared" si="19"/>
        <v>97145.139560000011</v>
      </c>
      <c r="G58" s="307">
        <f t="shared" ref="G58:G61" si="20">E58/$E$62</f>
        <v>8.6463208579557888E-2</v>
      </c>
      <c r="H58" s="307">
        <f t="shared" ref="H58:H61" si="21">(E58-I58)/I58</f>
        <v>-2.1934266522828167E-2</v>
      </c>
      <c r="I58" s="313">
        <f t="shared" ref="I58:J58" si="22">I40+I46+I52</f>
        <v>9087.9719999999998</v>
      </c>
      <c r="J58" s="129">
        <f t="shared" si="22"/>
        <v>99218.336890000006</v>
      </c>
      <c r="K58" s="307">
        <f t="shared" ref="K58:K61" si="23">I58/$I$62</f>
        <v>8.6542141334189082E-2</v>
      </c>
    </row>
    <row r="59" spans="1:11" ht="11.1" customHeight="1">
      <c r="A59" s="423"/>
      <c r="B59" s="423"/>
      <c r="C59" s="154" t="s">
        <v>6</v>
      </c>
      <c r="D59" s="313">
        <f>D53</f>
        <v>10666</v>
      </c>
      <c r="E59" s="129">
        <f>E41+E47+E53</f>
        <v>19981.045000000002</v>
      </c>
      <c r="F59" s="129">
        <f t="shared" si="19"/>
        <v>218291.71551000001</v>
      </c>
      <c r="G59" s="307">
        <f t="shared" si="20"/>
        <v>0.19436341528659323</v>
      </c>
      <c r="H59" s="307">
        <f t="shared" si="21"/>
        <v>-5.5218547539266076E-2</v>
      </c>
      <c r="I59" s="313">
        <f>I41+I47+I53</f>
        <v>21148.853999999999</v>
      </c>
      <c r="J59" s="129">
        <f t="shared" ref="J59" si="24">J41+J47+J53</f>
        <v>230809.25500999999</v>
      </c>
      <c r="K59" s="307">
        <f t="shared" si="23"/>
        <v>0.20139444883018237</v>
      </c>
    </row>
    <row r="60" spans="1:11" ht="11.1" customHeight="1">
      <c r="A60" s="423"/>
      <c r="B60" s="423"/>
      <c r="C60" s="154" t="s">
        <v>7</v>
      </c>
      <c r="D60" s="313">
        <f>D54</f>
        <v>141870</v>
      </c>
      <c r="E60" s="129">
        <f t="shared" ref="E60:F61" si="25">E42+E48+E54</f>
        <v>39614.699999999997</v>
      </c>
      <c r="F60" s="129">
        <f t="shared" si="25"/>
        <v>432765.4</v>
      </c>
      <c r="G60" s="307">
        <f t="shared" si="20"/>
        <v>0.38534763259648352</v>
      </c>
      <c r="H60" s="307">
        <f t="shared" si="21"/>
        <v>-5.8700110015183722E-2</v>
      </c>
      <c r="I60" s="313">
        <f t="shared" ref="I60:J60" si="26">I42+I48+I54</f>
        <v>42085.100000000006</v>
      </c>
      <c r="J60" s="129">
        <f t="shared" si="26"/>
        <v>459259.1</v>
      </c>
      <c r="K60" s="307">
        <f t="shared" si="23"/>
        <v>0.4007642928767256</v>
      </c>
    </row>
    <row r="61" spans="1:11" ht="11.1" customHeight="1">
      <c r="A61" s="423"/>
      <c r="B61" s="423"/>
      <c r="C61" s="154" t="s">
        <v>93</v>
      </c>
      <c r="D61" s="313">
        <f>D55</f>
        <v>11</v>
      </c>
      <c r="E61" s="129">
        <f>E43+E49+E55</f>
        <v>588.10200000000009</v>
      </c>
      <c r="F61" s="129">
        <f t="shared" si="25"/>
        <v>6431.8467599999985</v>
      </c>
      <c r="G61" s="307">
        <f t="shared" si="20"/>
        <v>5.7206974538556946E-3</v>
      </c>
      <c r="H61" s="307">
        <f t="shared" si="21"/>
        <v>-2.8529518164833657E-2</v>
      </c>
      <c r="I61" s="313">
        <f>I43+I49+I55</f>
        <v>605.37299999999993</v>
      </c>
      <c r="J61" s="129">
        <f t="shared" ref="J61" si="27">J43+J49+J55</f>
        <v>6612.6756299999997</v>
      </c>
      <c r="K61" s="307">
        <f t="shared" si="23"/>
        <v>5.7647928191132247E-3</v>
      </c>
    </row>
    <row r="62" spans="1:11" ht="11.1" customHeight="1">
      <c r="A62" s="424"/>
      <c r="B62" s="424"/>
      <c r="C62" s="318" t="s">
        <v>0</v>
      </c>
      <c r="D62" s="321">
        <f>SUM(D57:D61)</f>
        <v>152921</v>
      </c>
      <c r="E62" s="319">
        <f>SUM(E57:E61)</f>
        <v>102802.5</v>
      </c>
      <c r="F62" s="319">
        <f>SUM(F57:F61)</f>
        <v>1123373.1263800003</v>
      </c>
      <c r="G62" s="320">
        <f>SUM(G57:G61)</f>
        <v>1</v>
      </c>
      <c r="H62" s="320">
        <f>(E62-I62)/I62</f>
        <v>-2.1041384754709409E-2</v>
      </c>
      <c r="I62" s="321">
        <f>SUM(I57:I61)</f>
        <v>105012.10000000002</v>
      </c>
      <c r="J62" s="319">
        <f>SUM(J57:J61)</f>
        <v>1146284.7960099999</v>
      </c>
      <c r="K62" s="320">
        <f>SUM(K57:K61)</f>
        <v>0.99999999999999989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7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4" customFormat="1" ht="18">
      <c r="A1" s="495" t="str">
        <f>"6.8 Spotřeba zemního plynu a teplota ovzduší podle krajů: "&amp;LOWER(A3)</f>
        <v>6.8 Spotřeba zemního plynu a teplota ovzduší podle krajů: říjen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ht="6" customHeight="1">
      <c r="A2" s="499"/>
      <c r="B2" s="499"/>
      <c r="C2" s="300"/>
      <c r="D2" s="301"/>
      <c r="E2" s="302"/>
      <c r="F2" s="302"/>
      <c r="G2" s="302"/>
      <c r="H2" s="302"/>
      <c r="I2" s="76"/>
      <c r="J2" s="76"/>
      <c r="K2" s="76"/>
    </row>
    <row r="3" spans="1:11" ht="20.100000000000001" customHeight="1">
      <c r="A3" s="463" t="str">
        <f>'3.1'!D5</f>
        <v>Říjen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</row>
    <row r="4" spans="1:11" ht="20.100000000000001" customHeight="1">
      <c r="A4" s="128"/>
      <c r="B4" s="252">
        <f>'3.1'!A4</f>
        <v>2023</v>
      </c>
      <c r="C4" s="518" t="s">
        <v>60</v>
      </c>
      <c r="D4" s="519"/>
      <c r="E4" s="519"/>
      <c r="F4" s="520"/>
      <c r="G4" s="521" t="s">
        <v>186</v>
      </c>
      <c r="H4" s="521"/>
      <c r="I4" s="521"/>
      <c r="J4" s="521"/>
      <c r="K4" s="521"/>
    </row>
    <row r="5" spans="1:11" ht="49.5" customHeight="1">
      <c r="A5" s="272"/>
      <c r="B5" s="480" t="s">
        <v>185</v>
      </c>
      <c r="C5" s="345"/>
      <c r="D5" s="346"/>
      <c r="E5" s="480" t="s">
        <v>277</v>
      </c>
      <c r="F5" s="500" t="s">
        <v>280</v>
      </c>
      <c r="G5" s="369" t="s">
        <v>62</v>
      </c>
      <c r="H5" s="369" t="s">
        <v>173</v>
      </c>
      <c r="I5" s="369" t="s">
        <v>174</v>
      </c>
      <c r="J5" s="369" t="s">
        <v>282</v>
      </c>
      <c r="K5" s="369" t="s">
        <v>283</v>
      </c>
    </row>
    <row r="6" spans="1:11" ht="15" customHeight="1">
      <c r="A6" s="219" t="s">
        <v>187</v>
      </c>
      <c r="B6" s="467"/>
      <c r="C6" s="221" t="s">
        <v>259</v>
      </c>
      <c r="D6" s="219" t="s">
        <v>260</v>
      </c>
      <c r="E6" s="467"/>
      <c r="F6" s="501"/>
      <c r="G6" s="219" t="s">
        <v>228</v>
      </c>
      <c r="H6" s="219" t="s">
        <v>228</v>
      </c>
      <c r="I6" s="219" t="s">
        <v>228</v>
      </c>
      <c r="J6" s="219" t="s">
        <v>228</v>
      </c>
      <c r="K6" s="219" t="s">
        <v>228</v>
      </c>
    </row>
    <row r="7" spans="1:11" ht="14.1" customHeight="1">
      <c r="A7" s="154" t="s">
        <v>8</v>
      </c>
      <c r="B7" s="129">
        <f>'6.1'!D14</f>
        <v>102548</v>
      </c>
      <c r="C7" s="313">
        <f>'6.1'!E14</f>
        <v>14806.035640000002</v>
      </c>
      <c r="D7" s="129">
        <f>'6.1'!F14</f>
        <v>162672.27692</v>
      </c>
      <c r="E7" s="307">
        <f>D7/$D$21</f>
        <v>3.2227335253172319E-2</v>
      </c>
      <c r="F7" s="332">
        <f>'6.1'!H14</f>
        <v>-0.1186444816186626</v>
      </c>
      <c r="G7" s="326">
        <v>10.519354838709678</v>
      </c>
      <c r="H7" s="327">
        <v>17.5</v>
      </c>
      <c r="I7" s="327">
        <v>2.2999999999999998</v>
      </c>
      <c r="J7" s="327">
        <v>7.5</v>
      </c>
      <c r="K7" s="326">
        <v>3.0193548387096776</v>
      </c>
    </row>
    <row r="8" spans="1:11" ht="14.1" customHeight="1">
      <c r="A8" s="154" t="s">
        <v>9</v>
      </c>
      <c r="B8" s="129">
        <f>'6.1'!D44</f>
        <v>374171</v>
      </c>
      <c r="C8" s="313">
        <f>'6.1'!E44</f>
        <v>53367.499999999993</v>
      </c>
      <c r="D8" s="129">
        <f>'6.1'!F44</f>
        <v>585589.47594999999</v>
      </c>
      <c r="E8" s="307">
        <f t="shared" ref="E8:E20" si="0">D8/$D$21</f>
        <v>0.11601232071922815</v>
      </c>
      <c r="F8" s="332">
        <f>'6.1'!H44</f>
        <v>-0.17967837335989478</v>
      </c>
      <c r="G8" s="326">
        <v>12.667741935483873</v>
      </c>
      <c r="H8" s="327">
        <v>19.7</v>
      </c>
      <c r="I8" s="327">
        <v>4.8</v>
      </c>
      <c r="J8" s="327">
        <v>8.9</v>
      </c>
      <c r="K8" s="326">
        <v>3.7677419354838726</v>
      </c>
    </row>
    <row r="9" spans="1:11" ht="14.1" customHeight="1">
      <c r="A9" s="154" t="s">
        <v>10</v>
      </c>
      <c r="B9" s="129">
        <f>'6.2'!D14</f>
        <v>82258</v>
      </c>
      <c r="C9" s="313">
        <f>'6.2'!E14</f>
        <v>12203.600000000002</v>
      </c>
      <c r="D9" s="129">
        <f>'6.2'!F14</f>
        <v>133908.65643000003</v>
      </c>
      <c r="E9" s="307">
        <f t="shared" si="0"/>
        <v>2.6528915963927847E-2</v>
      </c>
      <c r="F9" s="332">
        <f>'6.2'!H14</f>
        <v>-5.3889151619930575E-2</v>
      </c>
      <c r="G9" s="326">
        <v>9.7290322580645174</v>
      </c>
      <c r="H9" s="327">
        <v>15.6</v>
      </c>
      <c r="I9" s="327">
        <v>2</v>
      </c>
      <c r="J9" s="327">
        <v>7</v>
      </c>
      <c r="K9" s="326">
        <v>2.7290322580645174</v>
      </c>
    </row>
    <row r="10" spans="1:11" ht="14.1" customHeight="1">
      <c r="A10" s="154" t="s">
        <v>92</v>
      </c>
      <c r="B10" s="129">
        <f>'6.2'!D44</f>
        <v>115368</v>
      </c>
      <c r="C10" s="313">
        <f>'6.2'!E44</f>
        <v>18822.300000000003</v>
      </c>
      <c r="D10" s="129">
        <f>'6.2'!F44</f>
        <v>206531.74196999994</v>
      </c>
      <c r="E10" s="307">
        <f t="shared" si="0"/>
        <v>4.0916422975761146E-2</v>
      </c>
      <c r="F10" s="332">
        <f>'6.2'!H44</f>
        <v>-4.2039260394028818E-2</v>
      </c>
      <c r="G10" s="326">
        <v>10.622580645161291</v>
      </c>
      <c r="H10" s="327">
        <v>17.100000000000001</v>
      </c>
      <c r="I10" s="327">
        <v>3.7</v>
      </c>
      <c r="J10" s="327">
        <v>7.8000000000000043</v>
      </c>
      <c r="K10" s="326">
        <v>2.8225806451612865</v>
      </c>
    </row>
    <row r="11" spans="1:11" ht="14.1" customHeight="1">
      <c r="A11" s="154" t="s">
        <v>11</v>
      </c>
      <c r="B11" s="129">
        <f>'6.3'!D14</f>
        <v>91105</v>
      </c>
      <c r="C11" s="313">
        <f>'6.3'!E14</f>
        <v>16349.300000000001</v>
      </c>
      <c r="D11" s="129">
        <f>'6.3'!F14</f>
        <v>179398.04095999998</v>
      </c>
      <c r="E11" s="307">
        <f t="shared" si="0"/>
        <v>3.5540910345919184E-2</v>
      </c>
      <c r="F11" s="332">
        <f>'6.3'!H14</f>
        <v>-0.1254533394670119</v>
      </c>
      <c r="G11" s="326">
        <v>10.829032258064515</v>
      </c>
      <c r="H11" s="327">
        <v>16.3</v>
      </c>
      <c r="I11" s="327">
        <v>4</v>
      </c>
      <c r="J11" s="327">
        <v>7.8000000000000043</v>
      </c>
      <c r="K11" s="326">
        <v>3.029032258064511</v>
      </c>
    </row>
    <row r="12" spans="1:11" ht="14.1" customHeight="1">
      <c r="A12" s="154" t="s">
        <v>12</v>
      </c>
      <c r="B12" s="129">
        <f>'6.3'!D44</f>
        <v>369381</v>
      </c>
      <c r="C12" s="313">
        <f>'6.3'!E44</f>
        <v>53264.099000000017</v>
      </c>
      <c r="D12" s="129">
        <f>'6.3'!F44</f>
        <v>584144.94889</v>
      </c>
      <c r="E12" s="307">
        <f t="shared" si="0"/>
        <v>0.11572614252878091</v>
      </c>
      <c r="F12" s="332">
        <f>'6.3'!H44</f>
        <v>9.1584583814682166E-2</v>
      </c>
      <c r="G12" s="326">
        <v>12.083870967741936</v>
      </c>
      <c r="H12" s="327">
        <v>19.600000000000001</v>
      </c>
      <c r="I12" s="327">
        <v>3.8</v>
      </c>
      <c r="J12" s="327">
        <v>8.1999999999999957</v>
      </c>
      <c r="K12" s="326">
        <v>3.8838709677419399</v>
      </c>
    </row>
    <row r="13" spans="1:11" ht="14.1" customHeight="1">
      <c r="A13" s="154" t="s">
        <v>13</v>
      </c>
      <c r="B13" s="129">
        <f>'6.4'!D14</f>
        <v>182874</v>
      </c>
      <c r="C13" s="313">
        <f>'6.4'!E14</f>
        <v>27099.8</v>
      </c>
      <c r="D13" s="129">
        <f>'6.4'!F14</f>
        <v>297359.37287000008</v>
      </c>
      <c r="E13" s="307">
        <f t="shared" si="0"/>
        <v>5.8910469451825542E-2</v>
      </c>
      <c r="F13" s="332">
        <f>'6.4'!H14</f>
        <v>-7.2563064465898566E-2</v>
      </c>
      <c r="G13" s="326">
        <v>11.393548387096775</v>
      </c>
      <c r="H13" s="327">
        <v>17.8</v>
      </c>
      <c r="I13" s="327">
        <v>4.2</v>
      </c>
      <c r="J13" s="327">
        <v>7.6999999999999957</v>
      </c>
      <c r="K13" s="326">
        <v>3.6935483870967794</v>
      </c>
    </row>
    <row r="14" spans="1:11" ht="14.1" customHeight="1">
      <c r="A14" s="154" t="s">
        <v>14</v>
      </c>
      <c r="B14" s="129">
        <f>'6.4'!D44</f>
        <v>133702</v>
      </c>
      <c r="C14" s="313">
        <f>'6.4'!E44</f>
        <v>18635.999999999996</v>
      </c>
      <c r="D14" s="129">
        <f>'6.4'!F44</f>
        <v>204490.15160000001</v>
      </c>
      <c r="E14" s="307">
        <f t="shared" si="0"/>
        <v>4.0511959360021672E-2</v>
      </c>
      <c r="F14" s="332">
        <f>'6.4'!H44</f>
        <v>-0.11334408586802959</v>
      </c>
      <c r="G14" s="326">
        <v>11.522580645161289</v>
      </c>
      <c r="H14" s="327">
        <v>19.100000000000001</v>
      </c>
      <c r="I14" s="327">
        <v>3.9</v>
      </c>
      <c r="J14" s="327">
        <v>8.4000000000000021</v>
      </c>
      <c r="K14" s="326">
        <v>3.1225806451612872</v>
      </c>
    </row>
    <row r="15" spans="1:11" ht="14.1" customHeight="1">
      <c r="A15" s="154" t="s">
        <v>15</v>
      </c>
      <c r="B15" s="129">
        <f>'6.5'!D14</f>
        <v>156591</v>
      </c>
      <c r="C15" s="313">
        <f>'6.5'!E14</f>
        <v>20753</v>
      </c>
      <c r="D15" s="129">
        <f>'6.5'!F14</f>
        <v>227717.47977000003</v>
      </c>
      <c r="E15" s="307">
        <f t="shared" si="0"/>
        <v>4.5113572530643076E-2</v>
      </c>
      <c r="F15" s="332">
        <f>'6.5'!H14</f>
        <v>-0.10317021313374018</v>
      </c>
      <c r="G15" s="326">
        <v>10.67741935483871</v>
      </c>
      <c r="H15" s="327">
        <v>17.399999999999999</v>
      </c>
      <c r="I15" s="327">
        <v>2.2999999999999998</v>
      </c>
      <c r="J15" s="327">
        <v>7.6999999999999957</v>
      </c>
      <c r="K15" s="326">
        <v>2.9774193548387142</v>
      </c>
    </row>
    <row r="16" spans="1:11" ht="14.1" customHeight="1">
      <c r="A16" s="154" t="s">
        <v>1</v>
      </c>
      <c r="B16" s="129">
        <f>'6.5'!D44</f>
        <v>402855</v>
      </c>
      <c r="C16" s="313">
        <f>'6.5'!E44</f>
        <v>40048.97621749332</v>
      </c>
      <c r="D16" s="129">
        <f>'6.5'!F44</f>
        <v>439714.35609700228</v>
      </c>
      <c r="E16" s="307">
        <f t="shared" si="0"/>
        <v>8.7112704376418743E-2</v>
      </c>
      <c r="F16" s="332">
        <f>'6.5'!H44</f>
        <v>-0.12113518367186146</v>
      </c>
      <c r="G16" s="326">
        <v>13.009677419354839</v>
      </c>
      <c r="H16" s="327">
        <v>19.2</v>
      </c>
      <c r="I16" s="327">
        <v>5.6</v>
      </c>
      <c r="J16" s="327">
        <v>9</v>
      </c>
      <c r="K16" s="326">
        <v>4.0096774193548388</v>
      </c>
    </row>
    <row r="17" spans="1:16" ht="14.1" customHeight="1">
      <c r="A17" s="154" t="s">
        <v>16</v>
      </c>
      <c r="B17" s="129">
        <f>'6.6'!D14</f>
        <v>255361</v>
      </c>
      <c r="C17" s="313">
        <f>'6.6'!E14</f>
        <v>68023.48</v>
      </c>
      <c r="D17" s="129">
        <f>'6.6'!F14</f>
        <v>746435.66070200002</v>
      </c>
      <c r="E17" s="307">
        <f t="shared" si="0"/>
        <v>0.14787788514324887</v>
      </c>
      <c r="F17" s="332">
        <f>'6.6'!H14</f>
        <v>-7.0946906608144206E-2</v>
      </c>
      <c r="G17" s="326">
        <v>11.819354838709678</v>
      </c>
      <c r="H17" s="327">
        <v>17.899999999999999</v>
      </c>
      <c r="I17" s="327">
        <v>3.3</v>
      </c>
      <c r="J17" s="327">
        <v>8.6999999999999957</v>
      </c>
      <c r="K17" s="326">
        <v>3.1193548387096826</v>
      </c>
      <c r="L17" s="93"/>
      <c r="N17" s="93"/>
      <c r="O17" s="93"/>
      <c r="P17" s="93"/>
    </row>
    <row r="18" spans="1:16" ht="14.1" customHeight="1">
      <c r="A18" s="154" t="s">
        <v>17</v>
      </c>
      <c r="B18" s="129">
        <f>'6.6'!D44</f>
        <v>217409</v>
      </c>
      <c r="C18" s="313">
        <f>'6.6'!E44</f>
        <v>79902.61</v>
      </c>
      <c r="D18" s="129">
        <f>'6.6'!F44</f>
        <v>876756.50799800002</v>
      </c>
      <c r="E18" s="307">
        <f t="shared" si="0"/>
        <v>0.17369601295092146</v>
      </c>
      <c r="F18" s="332">
        <f>'6.6'!H44</f>
        <v>-4.8377400099296627E-2</v>
      </c>
      <c r="G18" s="326">
        <v>11.525806451612906</v>
      </c>
      <c r="H18" s="327">
        <v>17.8</v>
      </c>
      <c r="I18" s="327">
        <v>3.3</v>
      </c>
      <c r="J18" s="327">
        <v>8.5999999999999979</v>
      </c>
      <c r="K18" s="326">
        <v>2.9258064516129085</v>
      </c>
      <c r="L18" s="93"/>
      <c r="N18" s="93"/>
      <c r="O18" s="93"/>
      <c r="P18" s="93"/>
    </row>
    <row r="19" spans="1:16" ht="14.1" customHeight="1">
      <c r="A19" s="154" t="s">
        <v>18</v>
      </c>
      <c r="B19" s="129">
        <f>'6.7'!D14</f>
        <v>118308</v>
      </c>
      <c r="C19" s="313">
        <f>'6.7'!E14</f>
        <v>16941.23775</v>
      </c>
      <c r="D19" s="129">
        <f>'6.7'!F14</f>
        <v>185924.09349999999</v>
      </c>
      <c r="E19" s="307">
        <f t="shared" si="0"/>
        <v>3.6833799872447594E-2</v>
      </c>
      <c r="F19" s="332">
        <f>'6.7'!H14</f>
        <v>-7.6342637926704246E-2</v>
      </c>
      <c r="G19" s="326">
        <v>10.877419354838711</v>
      </c>
      <c r="H19" s="327">
        <v>18.399999999999999</v>
      </c>
      <c r="I19" s="327">
        <v>3</v>
      </c>
      <c r="J19" s="327">
        <v>7.4000000000000039</v>
      </c>
      <c r="K19" s="326">
        <v>3.4774193548387071</v>
      </c>
      <c r="L19" s="93"/>
      <c r="N19" s="93"/>
      <c r="O19" s="93"/>
      <c r="P19" s="93"/>
    </row>
    <row r="20" spans="1:16" ht="14.1" customHeight="1">
      <c r="A20" s="204" t="s">
        <v>19</v>
      </c>
      <c r="B20" s="310">
        <f>'6.7'!D44</f>
        <v>153054</v>
      </c>
      <c r="C20" s="314">
        <f>'6.7'!E44</f>
        <v>19776.7</v>
      </c>
      <c r="D20" s="310">
        <f>'6.7'!F44</f>
        <v>217006.24740999998</v>
      </c>
      <c r="E20" s="311">
        <f t="shared" si="0"/>
        <v>4.299154852768336E-2</v>
      </c>
      <c r="F20" s="333">
        <f>'6.7'!H44</f>
        <v>-8.7870527951886004E-2</v>
      </c>
      <c r="G20" s="328">
        <v>11.541935483870969</v>
      </c>
      <c r="H20" s="329">
        <v>19.3</v>
      </c>
      <c r="I20" s="329">
        <v>3.2</v>
      </c>
      <c r="J20" s="329">
        <v>8.8000000000000043</v>
      </c>
      <c r="K20" s="328">
        <v>2.7419354838709644</v>
      </c>
      <c r="L20" s="93"/>
    </row>
    <row r="21" spans="1:16" ht="14.1" customHeight="1">
      <c r="A21" s="154" t="s">
        <v>0</v>
      </c>
      <c r="B21" s="156">
        <f>SUM(B7:B20)</f>
        <v>2754985</v>
      </c>
      <c r="C21" s="313">
        <f>SUM(C7:C20)</f>
        <v>459994.63860749331</v>
      </c>
      <c r="D21" s="129">
        <f>SUM(D7:D20)</f>
        <v>5047649.011067003</v>
      </c>
      <c r="E21" s="367">
        <f>SUM(E7:E20)</f>
        <v>1</v>
      </c>
      <c r="F21" s="332"/>
      <c r="G21" s="256">
        <v>11.261290322580644</v>
      </c>
      <c r="H21" s="256">
        <v>17.600000000000001</v>
      </c>
      <c r="I21" s="256">
        <v>3.4</v>
      </c>
      <c r="J21" s="256">
        <v>8.3548387096774199</v>
      </c>
      <c r="K21" s="256">
        <v>2.9064516129032238</v>
      </c>
    </row>
    <row r="22" spans="1:16" ht="14.1" customHeight="1">
      <c r="A22" s="204" t="s">
        <v>94</v>
      </c>
      <c r="B22" s="368"/>
      <c r="C22" s="314">
        <f>'5.1'!E13</f>
        <v>5546.8543719377476</v>
      </c>
      <c r="D22" s="310">
        <f>'5.1'!F13</f>
        <v>61000.470352599994</v>
      </c>
      <c r="E22" s="368"/>
      <c r="F22" s="333">
        <f>'5.1'!H13</f>
        <v>-0.41995060083762858</v>
      </c>
      <c r="G22" s="262">
        <v>11.261290322580644</v>
      </c>
      <c r="H22" s="262">
        <v>17.600000000000001</v>
      </c>
      <c r="I22" s="262">
        <v>3.4</v>
      </c>
      <c r="J22" s="262">
        <v>8.3548387096774199</v>
      </c>
      <c r="K22" s="262">
        <v>2.9064516129032238</v>
      </c>
    </row>
    <row r="23" spans="1:16" ht="14.1" customHeight="1">
      <c r="A23" s="204" t="s">
        <v>55</v>
      </c>
      <c r="B23" s="161">
        <f>B21+B22</f>
        <v>2754985</v>
      </c>
      <c r="C23" s="314">
        <f>C21+C22</f>
        <v>465541.49297943106</v>
      </c>
      <c r="D23" s="310">
        <f>D21+D22</f>
        <v>5108649.4814196033</v>
      </c>
      <c r="E23" s="368"/>
      <c r="F23" s="333">
        <f>'5.1'!H14</f>
        <v>-8.2874443282101071E-2</v>
      </c>
      <c r="G23" s="262">
        <v>11.261290322580644</v>
      </c>
      <c r="H23" s="262">
        <v>17.600000000000001</v>
      </c>
      <c r="I23" s="262">
        <v>3.4</v>
      </c>
      <c r="J23" s="262">
        <v>8.3548387096774199</v>
      </c>
      <c r="K23" s="262">
        <v>2.9064516129032238</v>
      </c>
    </row>
    <row r="24" spans="1:16" ht="15" customHeight="1">
      <c r="A24" s="101"/>
      <c r="B24" s="94"/>
      <c r="C24" s="503" t="s">
        <v>242</v>
      </c>
      <c r="D24" s="503"/>
      <c r="E24" s="503"/>
      <c r="F24" s="503"/>
      <c r="G24" s="506" t="s">
        <v>240</v>
      </c>
      <c r="H24" s="506"/>
      <c r="I24" s="506"/>
      <c r="J24" s="506"/>
      <c r="K24" s="506"/>
    </row>
    <row r="25" spans="1:16" ht="15" customHeight="1">
      <c r="A25" s="94"/>
      <c r="B25" s="94"/>
      <c r="C25" s="503"/>
      <c r="D25" s="503"/>
      <c r="E25" s="503"/>
      <c r="F25" s="503"/>
      <c r="G25" s="506" t="s">
        <v>241</v>
      </c>
      <c r="H25" s="506"/>
      <c r="I25" s="506"/>
      <c r="J25" s="506"/>
      <c r="K25" s="506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68" t="s">
        <v>255</v>
      </c>
      <c r="B29" s="468"/>
      <c r="C29" s="468"/>
      <c r="D29" s="468"/>
      <c r="E29" s="468"/>
      <c r="F29" s="468" t="s">
        <v>61</v>
      </c>
      <c r="G29" s="468"/>
      <c r="H29" s="468"/>
      <c r="I29" s="468"/>
      <c r="J29" s="468"/>
      <c r="K29" s="468"/>
    </row>
    <row r="30" spans="1:16" ht="15" customHeight="1">
      <c r="A30" s="120"/>
      <c r="B30" s="504"/>
      <c r="C30" s="504"/>
      <c r="D30" s="120"/>
      <c r="E30" s="120"/>
      <c r="F30" s="120"/>
      <c r="G30" s="120"/>
      <c r="H30" s="504"/>
      <c r="I30" s="504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B30:C30"/>
    <mergeCell ref="H30:I30"/>
    <mergeCell ref="F29:K29"/>
    <mergeCell ref="A29:E29"/>
    <mergeCell ref="B5:B6"/>
    <mergeCell ref="G25:K25"/>
    <mergeCell ref="G24:K24"/>
    <mergeCell ref="A1:K1"/>
    <mergeCell ref="A3:K3"/>
    <mergeCell ref="C24:F25"/>
    <mergeCell ref="C4:F4"/>
    <mergeCell ref="G4:K4"/>
    <mergeCell ref="A2:B2"/>
    <mergeCell ref="F5:F6"/>
    <mergeCell ref="E5:E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7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4" customFormat="1" ht="18">
      <c r="A1" s="495" t="str">
        <f>"6.9 Spotřeba zemního plynu a teplota ovzduší podle krajů: "&amp;LOWER(A3)</f>
        <v>6.9 Spotřeba zemního plynu a teplota ovzduší podle krajů: listopad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ht="6" customHeight="1">
      <c r="A2" s="499"/>
      <c r="B2" s="499"/>
      <c r="C2" s="300"/>
      <c r="D2" s="301"/>
      <c r="E2" s="302"/>
      <c r="F2" s="302"/>
      <c r="G2" s="302"/>
      <c r="H2" s="302"/>
      <c r="I2" s="76"/>
      <c r="J2" s="76"/>
      <c r="K2" s="76"/>
    </row>
    <row r="3" spans="1:11" ht="20.100000000000001" customHeight="1">
      <c r="A3" s="463" t="str">
        <f>'3.1'!E5</f>
        <v>Listopad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</row>
    <row r="4" spans="1:11" ht="20.100000000000001" customHeight="1">
      <c r="A4" s="128"/>
      <c r="B4" s="252">
        <f>'3.1'!A4</f>
        <v>2023</v>
      </c>
      <c r="C4" s="518" t="s">
        <v>60</v>
      </c>
      <c r="D4" s="519"/>
      <c r="E4" s="519"/>
      <c r="F4" s="520"/>
      <c r="G4" s="521" t="s">
        <v>186</v>
      </c>
      <c r="H4" s="521"/>
      <c r="I4" s="521"/>
      <c r="J4" s="521"/>
      <c r="K4" s="521"/>
    </row>
    <row r="5" spans="1:11" ht="49.5" customHeight="1">
      <c r="A5" s="272"/>
      <c r="B5" s="480" t="s">
        <v>185</v>
      </c>
      <c r="C5" s="345"/>
      <c r="D5" s="346"/>
      <c r="E5" s="480" t="s">
        <v>277</v>
      </c>
      <c r="F5" s="500" t="s">
        <v>280</v>
      </c>
      <c r="G5" s="369" t="s">
        <v>62</v>
      </c>
      <c r="H5" s="369" t="s">
        <v>173</v>
      </c>
      <c r="I5" s="369" t="s">
        <v>174</v>
      </c>
      <c r="J5" s="369" t="s">
        <v>282</v>
      </c>
      <c r="K5" s="369" t="s">
        <v>283</v>
      </c>
    </row>
    <row r="6" spans="1:11" ht="15" customHeight="1">
      <c r="A6" s="219" t="s">
        <v>187</v>
      </c>
      <c r="B6" s="467"/>
      <c r="C6" s="221" t="s">
        <v>259</v>
      </c>
      <c r="D6" s="219" t="s">
        <v>260</v>
      </c>
      <c r="E6" s="467"/>
      <c r="F6" s="501"/>
      <c r="G6" s="219" t="s">
        <v>228</v>
      </c>
      <c r="H6" s="219" t="s">
        <v>228</v>
      </c>
      <c r="I6" s="219" t="s">
        <v>228</v>
      </c>
      <c r="J6" s="219" t="s">
        <v>228</v>
      </c>
      <c r="K6" s="219" t="s">
        <v>228</v>
      </c>
    </row>
    <row r="7" spans="1:11" ht="14.1" customHeight="1">
      <c r="A7" s="154" t="s">
        <v>8</v>
      </c>
      <c r="B7" s="129">
        <f>'6.1'!D20</f>
        <v>102531</v>
      </c>
      <c r="C7" s="313">
        <f>'6.1'!E20</f>
        <v>24848.485140000001</v>
      </c>
      <c r="D7" s="129">
        <f>'6.1'!F20</f>
        <v>271961.88776000001</v>
      </c>
      <c r="E7" s="307">
        <f>D7/$D$21</f>
        <v>3.4493529863293515E-2</v>
      </c>
      <c r="F7" s="332">
        <f>'6.1'!H20</f>
        <v>-4.155033060674327E-2</v>
      </c>
      <c r="G7" s="326">
        <v>3.9233333333333329</v>
      </c>
      <c r="H7" s="327">
        <v>9.1999999999999993</v>
      </c>
      <c r="I7" s="327">
        <v>-2.6</v>
      </c>
      <c r="J7" s="327">
        <v>2.2999999999999985</v>
      </c>
      <c r="K7" s="326">
        <v>1.6233333333333344</v>
      </c>
    </row>
    <row r="8" spans="1:11" ht="14.1" customHeight="1">
      <c r="A8" s="154" t="s">
        <v>9</v>
      </c>
      <c r="B8" s="129">
        <f>'6.1'!D50</f>
        <v>373976</v>
      </c>
      <c r="C8" s="313">
        <f>'6.1'!E50</f>
        <v>96846.900000000009</v>
      </c>
      <c r="D8" s="129">
        <f>'6.1'!F50</f>
        <v>1058592.3069500001</v>
      </c>
      <c r="E8" s="307">
        <f t="shared" ref="E8:E20" si="0">D8/$D$21</f>
        <v>0.13426361191115085</v>
      </c>
      <c r="F8" s="332">
        <f>'6.1'!H50</f>
        <v>-1.3171047335680097E-2</v>
      </c>
      <c r="G8" s="326">
        <v>5.2500000000000018</v>
      </c>
      <c r="H8" s="327">
        <v>13.2</v>
      </c>
      <c r="I8" s="327">
        <v>-2.4</v>
      </c>
      <c r="J8" s="327">
        <v>3.2000000000000015</v>
      </c>
      <c r="K8" s="326">
        <v>2.0500000000000003</v>
      </c>
    </row>
    <row r="9" spans="1:11" ht="14.1" customHeight="1">
      <c r="A9" s="154" t="s">
        <v>10</v>
      </c>
      <c r="B9" s="129">
        <f>'6.2'!D20</f>
        <v>82218</v>
      </c>
      <c r="C9" s="313">
        <f>'6.2'!E20</f>
        <v>22770.799999999999</v>
      </c>
      <c r="D9" s="129">
        <f>'6.2'!F20</f>
        <v>248898.95426000006</v>
      </c>
      <c r="E9" s="307">
        <f t="shared" si="0"/>
        <v>3.1568406817672395E-2</v>
      </c>
      <c r="F9" s="332">
        <f>'6.2'!H20</f>
        <v>0.17968750000000008</v>
      </c>
      <c r="G9" s="326">
        <v>3.4066666666666667</v>
      </c>
      <c r="H9" s="327">
        <v>8.4</v>
      </c>
      <c r="I9" s="327">
        <v>-2.8</v>
      </c>
      <c r="J9" s="327">
        <v>1.7999999999999992</v>
      </c>
      <c r="K9" s="326">
        <v>1.6066666666666676</v>
      </c>
    </row>
    <row r="10" spans="1:11" ht="14.1" customHeight="1">
      <c r="A10" s="154" t="s">
        <v>92</v>
      </c>
      <c r="B10" s="129">
        <f>'6.2'!D50</f>
        <v>115312</v>
      </c>
      <c r="C10" s="313">
        <f>'6.2'!E50</f>
        <v>31411.800000000003</v>
      </c>
      <c r="D10" s="129">
        <f>'6.2'!F50</f>
        <v>343349.31676000002</v>
      </c>
      <c r="E10" s="307">
        <f t="shared" si="0"/>
        <v>4.3547755932823742E-2</v>
      </c>
      <c r="F10" s="332">
        <f>'6.2'!H50</f>
        <v>3.6043405125498959E-2</v>
      </c>
      <c r="G10" s="326">
        <v>3.6799999999999988</v>
      </c>
      <c r="H10" s="327">
        <v>10.9</v>
      </c>
      <c r="I10" s="327">
        <v>-4.5999999999999996</v>
      </c>
      <c r="J10" s="327">
        <v>2.5</v>
      </c>
      <c r="K10" s="326">
        <v>1.1799999999999988</v>
      </c>
    </row>
    <row r="11" spans="1:11" ht="14.1" customHeight="1">
      <c r="A11" s="154" t="s">
        <v>11</v>
      </c>
      <c r="B11" s="129">
        <f>'6.3'!D20</f>
        <v>91063</v>
      </c>
      <c r="C11" s="313">
        <f>'6.3'!E20</f>
        <v>29974.1</v>
      </c>
      <c r="D11" s="129">
        <f>'6.3'!F20</f>
        <v>327635.43009999994</v>
      </c>
      <c r="E11" s="307">
        <f t="shared" si="0"/>
        <v>4.1554728809650332E-2</v>
      </c>
      <c r="F11" s="332">
        <f>'6.3'!H20</f>
        <v>5.565582624915218E-3</v>
      </c>
      <c r="G11" s="326">
        <v>4.1099999999999985</v>
      </c>
      <c r="H11" s="327">
        <v>10.1</v>
      </c>
      <c r="I11" s="327">
        <v>-3.3</v>
      </c>
      <c r="J11" s="327">
        <v>2.7000000000000015</v>
      </c>
      <c r="K11" s="326">
        <v>1.409999999999997</v>
      </c>
    </row>
    <row r="12" spans="1:11" ht="14.1" customHeight="1">
      <c r="A12" s="154" t="s">
        <v>12</v>
      </c>
      <c r="B12" s="129">
        <f>'6.3'!D50</f>
        <v>369181</v>
      </c>
      <c r="C12" s="313">
        <f>'6.3'!E50</f>
        <v>79359.262000000002</v>
      </c>
      <c r="D12" s="129">
        <f>'6.3'!F50</f>
        <v>867061.31002000009</v>
      </c>
      <c r="E12" s="307">
        <f t="shared" si="0"/>
        <v>0.10997131045389119</v>
      </c>
      <c r="F12" s="332">
        <f>'6.3'!H50</f>
        <v>7.8275206136791092E-2</v>
      </c>
      <c r="G12" s="326">
        <v>4.5233333333333343</v>
      </c>
      <c r="H12" s="327">
        <v>13.2</v>
      </c>
      <c r="I12" s="327">
        <v>-4</v>
      </c>
      <c r="J12" s="327">
        <v>2.7000000000000015</v>
      </c>
      <c r="K12" s="326">
        <v>1.8233333333333328</v>
      </c>
    </row>
    <row r="13" spans="1:11" ht="14.1" customHeight="1">
      <c r="A13" s="154" t="s">
        <v>13</v>
      </c>
      <c r="B13" s="129">
        <f>'6.4'!D20</f>
        <v>182814</v>
      </c>
      <c r="C13" s="313">
        <f>'6.4'!E20</f>
        <v>45313.4</v>
      </c>
      <c r="D13" s="129">
        <f>'6.4'!F20</f>
        <v>495301.73489999992</v>
      </c>
      <c r="E13" s="307">
        <f t="shared" si="0"/>
        <v>6.2820218394685837E-2</v>
      </c>
      <c r="F13" s="332">
        <f>'6.4'!H20</f>
        <v>-5.0523126241944199E-3</v>
      </c>
      <c r="G13" s="326">
        <v>4.2566666666666659</v>
      </c>
      <c r="H13" s="327">
        <v>12.2</v>
      </c>
      <c r="I13" s="327">
        <v>-4.7</v>
      </c>
      <c r="J13" s="327">
        <v>2.100000000000001</v>
      </c>
      <c r="K13" s="326">
        <v>2.156666666666665</v>
      </c>
    </row>
    <row r="14" spans="1:11" ht="14.1" customHeight="1">
      <c r="A14" s="154" t="s">
        <v>14</v>
      </c>
      <c r="B14" s="129">
        <f>'6.4'!D50</f>
        <v>133634</v>
      </c>
      <c r="C14" s="313">
        <f>'6.4'!E50</f>
        <v>32386.800000000003</v>
      </c>
      <c r="D14" s="129">
        <f>'6.4'!F50</f>
        <v>354005.92601000011</v>
      </c>
      <c r="E14" s="307">
        <f t="shared" si="0"/>
        <v>4.489935733710107E-2</v>
      </c>
      <c r="F14" s="332">
        <f>'6.4'!H50</f>
        <v>2.4684717748824633E-2</v>
      </c>
      <c r="G14" s="326">
        <v>4.3766666666666669</v>
      </c>
      <c r="H14" s="327">
        <v>11.9</v>
      </c>
      <c r="I14" s="327">
        <v>-3.2</v>
      </c>
      <c r="J14" s="327">
        <v>3</v>
      </c>
      <c r="K14" s="326">
        <v>1.3766666666666669</v>
      </c>
    </row>
    <row r="15" spans="1:11" ht="14.1" customHeight="1">
      <c r="A15" s="154" t="s">
        <v>15</v>
      </c>
      <c r="B15" s="129">
        <f>'6.5'!D20</f>
        <v>156513</v>
      </c>
      <c r="C15" s="313">
        <f>'6.5'!E20</f>
        <v>33586.400000000001</v>
      </c>
      <c r="D15" s="129">
        <f>'6.5'!F20</f>
        <v>367119.49892000004</v>
      </c>
      <c r="E15" s="307">
        <f t="shared" si="0"/>
        <v>4.6562580895781219E-2</v>
      </c>
      <c r="F15" s="332">
        <f>'6.5'!H20</f>
        <v>-4.7766359681872816E-3</v>
      </c>
      <c r="G15" s="326">
        <v>4.4966666666666653</v>
      </c>
      <c r="H15" s="327">
        <v>9</v>
      </c>
      <c r="I15" s="327">
        <v>-1.7</v>
      </c>
      <c r="J15" s="327">
        <v>2.5999999999999996</v>
      </c>
      <c r="K15" s="326">
        <v>1.8966666666666656</v>
      </c>
    </row>
    <row r="16" spans="1:11" ht="14.1" customHeight="1">
      <c r="A16" s="154" t="s">
        <v>1</v>
      </c>
      <c r="B16" s="129">
        <f>'6.5'!D50</f>
        <v>402513</v>
      </c>
      <c r="C16" s="313">
        <f>'6.5'!E50</f>
        <v>82964.247862867662</v>
      </c>
      <c r="D16" s="129">
        <f>'6.5'!F50</f>
        <v>907560.87966304051</v>
      </c>
      <c r="E16" s="307">
        <f t="shared" si="0"/>
        <v>0.11510796076338435</v>
      </c>
      <c r="F16" s="332">
        <f>'6.5'!H50</f>
        <v>1.1049999988181148E-2</v>
      </c>
      <c r="G16" s="326">
        <v>6.0366666666666671</v>
      </c>
      <c r="H16" s="327">
        <v>11.8</v>
      </c>
      <c r="I16" s="327">
        <v>-0.7</v>
      </c>
      <c r="J16" s="327">
        <v>3.700000000000002</v>
      </c>
      <c r="K16" s="326">
        <v>2.3366666666666651</v>
      </c>
    </row>
    <row r="17" spans="1:16" ht="14.1" customHeight="1">
      <c r="A17" s="154" t="s">
        <v>16</v>
      </c>
      <c r="B17" s="129">
        <f>'6.6'!D20</f>
        <v>255231</v>
      </c>
      <c r="C17" s="313">
        <f>'6.6'!E20</f>
        <v>95670.291000000012</v>
      </c>
      <c r="D17" s="129">
        <f>'6.6'!F20</f>
        <v>1045775.8393610001</v>
      </c>
      <c r="E17" s="307">
        <f t="shared" si="0"/>
        <v>0.13263807087977944</v>
      </c>
      <c r="F17" s="332">
        <f>'6.6'!H20</f>
        <v>-5.3113200323937765E-2</v>
      </c>
      <c r="G17" s="326">
        <v>5.0000000000000027</v>
      </c>
      <c r="H17" s="327">
        <v>10.5</v>
      </c>
      <c r="I17" s="327">
        <v>-1.7</v>
      </c>
      <c r="J17" s="327">
        <v>3.5</v>
      </c>
      <c r="K17" s="326">
        <v>1.5000000000000027</v>
      </c>
      <c r="L17" s="93"/>
      <c r="N17" s="93"/>
      <c r="O17" s="93"/>
      <c r="P17" s="93"/>
    </row>
    <row r="18" spans="1:16" ht="14.1" customHeight="1">
      <c r="A18" s="154" t="s">
        <v>17</v>
      </c>
      <c r="B18" s="129">
        <f>'6.6'!D50</f>
        <v>217292</v>
      </c>
      <c r="C18" s="313">
        <f>'6.6'!E50</f>
        <v>79743.194999999992</v>
      </c>
      <c r="D18" s="129">
        <f>'6.6'!F50</f>
        <v>871375.30516600015</v>
      </c>
      <c r="E18" s="307">
        <f t="shared" si="0"/>
        <v>0.11051846403347647</v>
      </c>
      <c r="F18" s="332">
        <f>'6.6'!H50</f>
        <v>-0.15071683273140385</v>
      </c>
      <c r="G18" s="326">
        <v>4.9299999999999988</v>
      </c>
      <c r="H18" s="327">
        <v>10.3</v>
      </c>
      <c r="I18" s="327">
        <v>-1.6</v>
      </c>
      <c r="J18" s="327">
        <v>3.5</v>
      </c>
      <c r="K18" s="326">
        <v>1.4299999999999988</v>
      </c>
      <c r="L18" s="93"/>
      <c r="N18" s="93"/>
      <c r="O18" s="93"/>
      <c r="P18" s="93"/>
    </row>
    <row r="19" spans="1:16" ht="14.1" customHeight="1">
      <c r="A19" s="154" t="s">
        <v>18</v>
      </c>
      <c r="B19" s="129">
        <f>'6.7'!D20</f>
        <v>118241</v>
      </c>
      <c r="C19" s="313">
        <f>'6.7'!E20</f>
        <v>29320.881840000002</v>
      </c>
      <c r="D19" s="129">
        <f>'6.7'!F20</f>
        <v>320546.90649000002</v>
      </c>
      <c r="E19" s="307">
        <f t="shared" si="0"/>
        <v>4.0655675626713295E-2</v>
      </c>
      <c r="F19" s="332">
        <f>'6.7'!H20</f>
        <v>2.5204290487840224E-2</v>
      </c>
      <c r="G19" s="326">
        <v>3.5666666666666673</v>
      </c>
      <c r="H19" s="327">
        <v>10.5</v>
      </c>
      <c r="I19" s="327">
        <v>-3.7</v>
      </c>
      <c r="J19" s="327">
        <v>1.899999999999999</v>
      </c>
      <c r="K19" s="326">
        <v>1.6666666666666683</v>
      </c>
      <c r="L19" s="93"/>
      <c r="N19" s="93"/>
      <c r="O19" s="93"/>
      <c r="P19" s="93"/>
    </row>
    <row r="20" spans="1:16" ht="14.1" customHeight="1">
      <c r="A20" s="204" t="s">
        <v>19</v>
      </c>
      <c r="B20" s="310">
        <f>'6.7'!D50</f>
        <v>152976</v>
      </c>
      <c r="C20" s="314">
        <f>'6.7'!E50</f>
        <v>37074.600000000006</v>
      </c>
      <c r="D20" s="310">
        <f>'6.7'!F50</f>
        <v>405246.61994</v>
      </c>
      <c r="E20" s="311">
        <f t="shared" si="0"/>
        <v>5.1398328280596234E-2</v>
      </c>
      <c r="F20" s="333">
        <f>'6.7'!H50</f>
        <v>5.3776582742605931E-2</v>
      </c>
      <c r="G20" s="328">
        <v>4.0833333333333321</v>
      </c>
      <c r="H20" s="329">
        <v>12.6</v>
      </c>
      <c r="I20" s="329">
        <v>-4.0999999999999996</v>
      </c>
      <c r="J20" s="329">
        <v>3.299999999999998</v>
      </c>
      <c r="K20" s="328">
        <v>0.7833333333333341</v>
      </c>
      <c r="L20" s="93"/>
    </row>
    <row r="21" spans="1:16" ht="14.1" customHeight="1">
      <c r="A21" s="154" t="s">
        <v>0</v>
      </c>
      <c r="B21" s="156">
        <f>SUM(B7:B20)</f>
        <v>2753495</v>
      </c>
      <c r="C21" s="313">
        <f>SUM(C7:C20)</f>
        <v>721271.16284286766</v>
      </c>
      <c r="D21" s="129">
        <f>SUM(D7:D20)</f>
        <v>7884431.9163000416</v>
      </c>
      <c r="E21" s="367">
        <f>SUM(E7:E20)</f>
        <v>0.99999999999999989</v>
      </c>
      <c r="F21" s="332"/>
      <c r="G21" s="256">
        <v>4.2833333333333323</v>
      </c>
      <c r="H21" s="256">
        <v>10.1</v>
      </c>
      <c r="I21" s="256">
        <v>-3</v>
      </c>
      <c r="J21" s="256">
        <v>3.5466666666666664</v>
      </c>
      <c r="K21" s="256">
        <v>0.73666666666666591</v>
      </c>
    </row>
    <row r="22" spans="1:16" ht="14.1" customHeight="1">
      <c r="A22" s="204" t="s">
        <v>94</v>
      </c>
      <c r="B22" s="368"/>
      <c r="C22" s="314">
        <f>'5.1'!E20</f>
        <v>9843.1043431659473</v>
      </c>
      <c r="D22" s="310">
        <f>'5.1'!F20</f>
        <v>107691.69618</v>
      </c>
      <c r="E22" s="368"/>
      <c r="F22" s="333">
        <f>'5.1'!H20</f>
        <v>-0.3072280887493764</v>
      </c>
      <c r="G22" s="262">
        <v>4.2833333333333323</v>
      </c>
      <c r="H22" s="262">
        <v>10.1</v>
      </c>
      <c r="I22" s="262">
        <v>-3</v>
      </c>
      <c r="J22" s="262">
        <v>3.5466666666666664</v>
      </c>
      <c r="K22" s="262">
        <v>0.73666666666666591</v>
      </c>
    </row>
    <row r="23" spans="1:16" ht="14.1" customHeight="1">
      <c r="A23" s="204" t="s">
        <v>55</v>
      </c>
      <c r="B23" s="161">
        <f>B21+B22</f>
        <v>2753495</v>
      </c>
      <c r="C23" s="314">
        <f t="shared" ref="C23:D23" si="1">C21+C22</f>
        <v>731114.26718603366</v>
      </c>
      <c r="D23" s="310">
        <f t="shared" si="1"/>
        <v>7992123.6124800416</v>
      </c>
      <c r="E23" s="368"/>
      <c r="F23" s="333">
        <f>'5.1'!H21</f>
        <v>-1.5958096209833114E-2</v>
      </c>
      <c r="G23" s="262">
        <v>4.2833333333333323</v>
      </c>
      <c r="H23" s="262">
        <v>10.1</v>
      </c>
      <c r="I23" s="262">
        <v>-3</v>
      </c>
      <c r="J23" s="262">
        <v>3.5466666666666664</v>
      </c>
      <c r="K23" s="262">
        <v>0.73666666666666591</v>
      </c>
    </row>
    <row r="24" spans="1:16" ht="15" customHeight="1">
      <c r="A24" s="101"/>
      <c r="B24" s="94"/>
      <c r="C24" s="503" t="s">
        <v>242</v>
      </c>
      <c r="D24" s="503"/>
      <c r="E24" s="503"/>
      <c r="F24" s="503"/>
      <c r="G24" s="506" t="s">
        <v>240</v>
      </c>
      <c r="H24" s="506"/>
      <c r="I24" s="506"/>
      <c r="J24" s="506"/>
      <c r="K24" s="506"/>
    </row>
    <row r="25" spans="1:16" ht="15" customHeight="1">
      <c r="A25" s="94"/>
      <c r="B25" s="94"/>
      <c r="C25" s="503"/>
      <c r="D25" s="503"/>
      <c r="E25" s="503"/>
      <c r="F25" s="503"/>
      <c r="G25" s="506" t="s">
        <v>241</v>
      </c>
      <c r="H25" s="506"/>
      <c r="I25" s="506"/>
      <c r="J25" s="506"/>
      <c r="K25" s="506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68" t="s">
        <v>255</v>
      </c>
      <c r="B29" s="468"/>
      <c r="C29" s="468"/>
      <c r="D29" s="468"/>
      <c r="E29" s="468"/>
      <c r="F29" s="468" t="s">
        <v>61</v>
      </c>
      <c r="G29" s="468"/>
      <c r="H29" s="468"/>
      <c r="I29" s="468"/>
      <c r="J29" s="468"/>
      <c r="K29" s="468"/>
    </row>
    <row r="30" spans="1:16" ht="15" customHeight="1">
      <c r="A30" s="120"/>
      <c r="B30" s="504"/>
      <c r="C30" s="504"/>
      <c r="D30" s="120"/>
      <c r="E30" s="120"/>
      <c r="F30" s="120"/>
      <c r="G30" s="120"/>
      <c r="H30" s="504"/>
      <c r="I30" s="504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zoomScaleNormal="100" zoomScaleSheetLayoutView="100" workbookViewId="0">
      <selection activeCell="D1" sqref="D1"/>
    </sheetView>
  </sheetViews>
  <sheetFormatPr defaultColWidth="9.140625" defaultRowHeight="11.25"/>
  <cols>
    <col min="1" max="1" width="90.28515625" style="4" customWidth="1"/>
    <col min="2" max="2" width="9.140625" style="2" customWidth="1"/>
    <col min="3" max="4" width="9.140625" style="4" customWidth="1"/>
    <col min="5" max="5" width="9.140625" style="4"/>
    <col min="6" max="6" width="9.140625" style="4" customWidth="1"/>
    <col min="7" max="8" width="9.140625" style="4"/>
    <col min="9" max="9" width="9.140625" style="4" customWidth="1"/>
    <col min="10" max="16384" width="9.140625" style="4"/>
  </cols>
  <sheetData>
    <row r="1" spans="1:4" ht="20.25">
      <c r="A1" s="45" t="s">
        <v>244</v>
      </c>
      <c r="C1" s="3"/>
      <c r="D1" s="3"/>
    </row>
    <row r="2" spans="1:4" s="6" customFormat="1" ht="6" customHeight="1">
      <c r="A2" s="5"/>
      <c r="B2" s="5"/>
      <c r="C2" s="5"/>
      <c r="D2" s="5"/>
    </row>
    <row r="3" spans="1:4" ht="11.25" customHeight="1">
      <c r="A3" s="409" t="s">
        <v>316</v>
      </c>
      <c r="B3" s="409"/>
    </row>
    <row r="4" spans="1:4" ht="11.25" customHeight="1">
      <c r="A4" s="409"/>
      <c r="B4" s="409"/>
    </row>
    <row r="5" spans="1:4" ht="11.25" customHeight="1">
      <c r="A5" s="409"/>
      <c r="B5" s="409"/>
      <c r="C5" s="7"/>
      <c r="D5" s="7"/>
    </row>
    <row r="6" spans="1:4" ht="11.25" customHeight="1">
      <c r="A6" s="409"/>
      <c r="B6" s="409"/>
      <c r="C6" s="7"/>
      <c r="D6" s="7"/>
    </row>
    <row r="7" spans="1:4" ht="11.25" customHeight="1">
      <c r="A7" s="409"/>
      <c r="B7" s="409"/>
      <c r="C7" s="8"/>
      <c r="D7" s="7"/>
    </row>
    <row r="8" spans="1:4" ht="11.25" customHeight="1">
      <c r="A8" s="409"/>
      <c r="B8" s="409"/>
      <c r="C8" s="7"/>
      <c r="D8" s="7"/>
    </row>
    <row r="9" spans="1:4" ht="11.25" customHeight="1">
      <c r="A9" s="409"/>
      <c r="B9" s="409"/>
      <c r="C9" s="7"/>
      <c r="D9" s="7"/>
    </row>
    <row r="10" spans="1:4" ht="11.25" customHeight="1">
      <c r="A10" s="409"/>
      <c r="B10" s="409"/>
      <c r="C10" s="7"/>
      <c r="D10" s="7"/>
    </row>
    <row r="11" spans="1:4" ht="11.25" customHeight="1">
      <c r="A11" s="409"/>
      <c r="B11" s="409"/>
      <c r="C11" s="7"/>
      <c r="D11" s="7"/>
    </row>
    <row r="12" spans="1:4" ht="11.25" customHeight="1">
      <c r="A12" s="409"/>
      <c r="B12" s="409"/>
      <c r="C12" s="7"/>
      <c r="D12" s="7"/>
    </row>
    <row r="13" spans="1:4" ht="11.25" customHeight="1">
      <c r="A13" s="409"/>
      <c r="B13" s="409"/>
      <c r="C13" s="7"/>
      <c r="D13" s="7"/>
    </row>
    <row r="14" spans="1:4" ht="11.25" customHeight="1">
      <c r="A14" s="409"/>
      <c r="B14" s="409"/>
      <c r="C14" s="7"/>
      <c r="D14" s="7"/>
    </row>
    <row r="15" spans="1:4" ht="11.25" customHeight="1">
      <c r="A15" s="409"/>
      <c r="B15" s="409"/>
      <c r="C15" s="7"/>
      <c r="D15" s="7"/>
    </row>
    <row r="16" spans="1:4" ht="11.25" customHeight="1">
      <c r="A16" s="409"/>
      <c r="B16" s="409"/>
      <c r="C16" s="7"/>
      <c r="D16" s="7"/>
    </row>
    <row r="17" spans="1:6" ht="11.25" customHeight="1">
      <c r="A17" s="409"/>
      <c r="B17" s="409"/>
      <c r="C17" s="7"/>
      <c r="D17" s="7"/>
    </row>
    <row r="18" spans="1:6" ht="11.25" customHeight="1">
      <c r="A18" s="409"/>
      <c r="B18" s="409"/>
      <c r="C18" s="7"/>
      <c r="D18" s="7"/>
      <c r="F18" s="2"/>
    </row>
    <row r="19" spans="1:6" ht="11.25" customHeight="1">
      <c r="A19" s="409"/>
      <c r="B19" s="409"/>
      <c r="C19" s="7"/>
      <c r="D19" s="7"/>
      <c r="F19" s="2"/>
    </row>
    <row r="20" spans="1:6" ht="11.25" customHeight="1">
      <c r="A20" s="409"/>
      <c r="B20" s="409"/>
      <c r="C20" s="7"/>
      <c r="D20" s="7"/>
      <c r="F20" s="2"/>
    </row>
    <row r="21" spans="1:6" ht="11.25" customHeight="1">
      <c r="A21" s="409"/>
      <c r="B21" s="409"/>
      <c r="C21" s="7"/>
      <c r="D21" s="7"/>
      <c r="F21" s="2"/>
    </row>
    <row r="22" spans="1:6" ht="11.25" customHeight="1">
      <c r="A22" s="409"/>
      <c r="B22" s="409"/>
      <c r="C22" s="7"/>
      <c r="D22" s="7"/>
      <c r="F22" s="2"/>
    </row>
    <row r="23" spans="1:6" ht="11.25" customHeight="1">
      <c r="A23" s="409"/>
      <c r="B23" s="409"/>
      <c r="C23" s="7"/>
      <c r="D23" s="7"/>
      <c r="F23" s="2"/>
    </row>
    <row r="24" spans="1:6" ht="11.25" customHeight="1">
      <c r="A24" s="409"/>
      <c r="B24" s="409"/>
      <c r="C24" s="7"/>
      <c r="D24" s="7"/>
      <c r="F24" s="2"/>
    </row>
    <row r="25" spans="1:6" ht="11.25" customHeight="1">
      <c r="A25" s="409"/>
      <c r="B25" s="409"/>
      <c r="C25" s="7"/>
      <c r="D25" s="7"/>
      <c r="F25" s="2"/>
    </row>
    <row r="26" spans="1:6" ht="11.25" customHeight="1">
      <c r="A26" s="409"/>
      <c r="B26" s="409"/>
      <c r="C26" s="7"/>
      <c r="D26" s="7"/>
      <c r="F26" s="2"/>
    </row>
    <row r="27" spans="1:6" ht="11.25" customHeight="1">
      <c r="A27" s="409"/>
      <c r="B27" s="409"/>
      <c r="C27" s="7"/>
      <c r="D27" s="7"/>
      <c r="F27" s="2"/>
    </row>
    <row r="28" spans="1:6" ht="11.25" customHeight="1">
      <c r="A28" s="409"/>
      <c r="B28" s="409"/>
      <c r="C28" s="9"/>
      <c r="D28" s="9"/>
      <c r="F28" s="2"/>
    </row>
    <row r="29" spans="1:6" ht="11.25" customHeight="1">
      <c r="A29" s="409"/>
      <c r="B29" s="409"/>
      <c r="C29" s="7"/>
      <c r="D29" s="7"/>
      <c r="F29" s="2"/>
    </row>
    <row r="30" spans="1:6" ht="11.25" customHeight="1">
      <c r="A30" s="409"/>
      <c r="B30" s="409"/>
      <c r="C30" s="7"/>
      <c r="D30" s="7"/>
    </row>
    <row r="31" spans="1:6" ht="11.25" customHeight="1">
      <c r="A31" s="409"/>
      <c r="B31" s="409"/>
      <c r="C31" s="7"/>
      <c r="D31" s="7"/>
    </row>
    <row r="32" spans="1:6" ht="11.25" customHeight="1">
      <c r="A32" s="409"/>
      <c r="B32" s="409"/>
      <c r="C32" s="7"/>
      <c r="D32" s="7"/>
    </row>
    <row r="33" spans="1:4" ht="11.25" customHeight="1">
      <c r="A33" s="409"/>
      <c r="B33" s="409"/>
      <c r="C33" s="7"/>
      <c r="D33" s="7"/>
    </row>
    <row r="34" spans="1:4" ht="11.25" customHeight="1">
      <c r="A34" s="409"/>
      <c r="B34" s="409"/>
      <c r="C34" s="7"/>
      <c r="D34" s="7"/>
    </row>
    <row r="35" spans="1:4" ht="11.25" customHeight="1">
      <c r="A35" s="409"/>
      <c r="B35" s="409"/>
      <c r="C35" s="7"/>
      <c r="D35" s="7"/>
    </row>
    <row r="36" spans="1:4" ht="11.25" customHeight="1">
      <c r="A36" s="409"/>
      <c r="B36" s="409"/>
      <c r="C36" s="7"/>
      <c r="D36" s="7"/>
    </row>
    <row r="37" spans="1:4" ht="11.25" customHeight="1">
      <c r="A37" s="409"/>
      <c r="B37" s="409"/>
      <c r="C37" s="10"/>
      <c r="D37" s="10"/>
    </row>
    <row r="38" spans="1:4" ht="11.25" customHeight="1">
      <c r="A38" s="409"/>
      <c r="B38" s="409"/>
    </row>
    <row r="39" spans="1:4" ht="11.25" customHeight="1">
      <c r="A39" s="409"/>
      <c r="B39" s="409"/>
    </row>
    <row r="40" spans="1:4" ht="11.25" customHeight="1">
      <c r="A40" s="409"/>
      <c r="B40" s="409"/>
    </row>
    <row r="41" spans="1:4" ht="11.25" customHeight="1">
      <c r="A41" s="409"/>
      <c r="B41" s="409"/>
    </row>
    <row r="42" spans="1:4" ht="11.25" customHeight="1">
      <c r="A42" s="409"/>
      <c r="B42" s="409"/>
    </row>
    <row r="43" spans="1:4" ht="11.25" customHeight="1">
      <c r="A43" s="409"/>
      <c r="B43" s="409"/>
    </row>
    <row r="44" spans="1:4" ht="11.25" customHeight="1">
      <c r="A44" s="409"/>
      <c r="B44" s="409"/>
    </row>
    <row r="45" spans="1:4" ht="11.25" customHeight="1">
      <c r="A45" s="409"/>
      <c r="B45" s="409"/>
    </row>
    <row r="46" spans="1:4" ht="11.25" customHeight="1">
      <c r="A46" s="409"/>
      <c r="B46" s="409"/>
    </row>
    <row r="47" spans="1:4" ht="11.25" customHeight="1">
      <c r="A47" s="409"/>
      <c r="B47" s="409"/>
    </row>
    <row r="48" spans="1:4" ht="11.25" customHeight="1">
      <c r="A48" s="409"/>
      <c r="B48" s="409"/>
    </row>
    <row r="49" spans="1:2" ht="11.25" customHeight="1">
      <c r="A49" s="409"/>
      <c r="B49" s="409"/>
    </row>
    <row r="50" spans="1:2" ht="11.25" customHeight="1">
      <c r="A50" s="409"/>
      <c r="B50" s="409"/>
    </row>
    <row r="51" spans="1:2" ht="11.25" customHeight="1">
      <c r="A51" s="409"/>
      <c r="B51" s="409"/>
    </row>
    <row r="52" spans="1:2" ht="11.25" customHeight="1">
      <c r="A52" s="409"/>
      <c r="B52" s="409"/>
    </row>
    <row r="53" spans="1:2" ht="11.25" customHeight="1">
      <c r="A53" s="409"/>
      <c r="B53" s="409"/>
    </row>
    <row r="54" spans="1:2" ht="11.25" customHeight="1">
      <c r="A54" s="409"/>
      <c r="B54" s="409"/>
    </row>
    <row r="55" spans="1:2" ht="11.25" customHeight="1">
      <c r="A55" s="409"/>
      <c r="B55" s="409"/>
    </row>
    <row r="56" spans="1:2" ht="11.25" customHeight="1">
      <c r="A56" s="409"/>
      <c r="B56" s="409"/>
    </row>
    <row r="57" spans="1:2" ht="11.25" customHeight="1">
      <c r="A57" s="409"/>
      <c r="B57" s="409"/>
    </row>
    <row r="58" spans="1:2" ht="11.25" customHeight="1">
      <c r="A58" s="409"/>
      <c r="B58" s="409"/>
    </row>
    <row r="59" spans="1:2" ht="11.25" customHeight="1">
      <c r="A59" s="409"/>
      <c r="B59" s="409"/>
    </row>
    <row r="60" spans="1:2" ht="11.25" customHeight="1">
      <c r="A60" s="409"/>
      <c r="B60" s="409"/>
    </row>
    <row r="61" spans="1:2" ht="11.25" customHeight="1">
      <c r="A61" s="409"/>
      <c r="B61" s="409"/>
    </row>
    <row r="62" spans="1:2" ht="11.25" customHeight="1">
      <c r="A62" s="409"/>
      <c r="B62" s="409"/>
    </row>
    <row r="63" spans="1:2" ht="11.25" customHeight="1">
      <c r="A63" s="409"/>
      <c r="B63" s="409"/>
    </row>
    <row r="64" spans="1:2" ht="11.25" customHeight="1">
      <c r="A64" s="409"/>
      <c r="B64" s="409"/>
    </row>
    <row r="65" spans="1:2" ht="11.25" customHeight="1">
      <c r="A65" s="409"/>
      <c r="B65" s="409"/>
    </row>
    <row r="66" spans="1:2" ht="11.25" customHeight="1">
      <c r="A66" s="409"/>
      <c r="B66" s="409"/>
    </row>
    <row r="67" spans="1:2" ht="11.25" customHeight="1">
      <c r="A67" s="409"/>
      <c r="B67" s="409"/>
    </row>
    <row r="68" spans="1:2" ht="11.25" customHeight="1">
      <c r="A68" s="409"/>
      <c r="B68" s="409"/>
    </row>
    <row r="69" spans="1:2" ht="11.25" customHeight="1">
      <c r="A69" s="409"/>
      <c r="B69" s="409"/>
    </row>
    <row r="70" spans="1:2" ht="11.25" customHeight="1">
      <c r="A70" s="409"/>
      <c r="B70" s="409"/>
    </row>
    <row r="71" spans="1:2" ht="11.25" customHeight="1">
      <c r="A71" s="409"/>
      <c r="B71" s="409"/>
    </row>
    <row r="72" spans="1:2" ht="11.25" customHeight="1">
      <c r="A72" s="11"/>
      <c r="B72" s="11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7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4" customFormat="1" ht="18">
      <c r="A1" s="495" t="str">
        <f>"6.10 Spotřeba zemního plynu a teplota ovzduší podle krajů: "&amp;LOWER(A3)</f>
        <v>6.10 Spotřeba zemního plynu a teplota ovzduší podle krajů: prosinec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ht="6" customHeight="1">
      <c r="A2" s="499"/>
      <c r="B2" s="499"/>
      <c r="C2" s="300"/>
      <c r="D2" s="301"/>
      <c r="E2" s="302"/>
      <c r="F2" s="302"/>
      <c r="G2" s="302"/>
      <c r="H2" s="302"/>
      <c r="I2" s="76"/>
      <c r="J2" s="76"/>
      <c r="K2" s="76"/>
    </row>
    <row r="3" spans="1:11" ht="20.100000000000001" customHeight="1">
      <c r="A3" s="463" t="str">
        <f>'3.1'!F5</f>
        <v>Prosinec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</row>
    <row r="4" spans="1:11" ht="20.100000000000001" customHeight="1">
      <c r="A4" s="128"/>
      <c r="B4" s="252">
        <f>'3.1'!A4</f>
        <v>2023</v>
      </c>
      <c r="C4" s="518" t="s">
        <v>60</v>
      </c>
      <c r="D4" s="519"/>
      <c r="E4" s="519"/>
      <c r="F4" s="520"/>
      <c r="G4" s="521" t="s">
        <v>186</v>
      </c>
      <c r="H4" s="521"/>
      <c r="I4" s="521"/>
      <c r="J4" s="521"/>
      <c r="K4" s="521"/>
    </row>
    <row r="5" spans="1:11" ht="49.5" customHeight="1">
      <c r="A5" s="272"/>
      <c r="B5" s="480" t="s">
        <v>185</v>
      </c>
      <c r="C5" s="345"/>
      <c r="D5" s="346"/>
      <c r="E5" s="480" t="s">
        <v>277</v>
      </c>
      <c r="F5" s="500" t="s">
        <v>280</v>
      </c>
      <c r="G5" s="369" t="s">
        <v>62</v>
      </c>
      <c r="H5" s="369" t="s">
        <v>173</v>
      </c>
      <c r="I5" s="369" t="s">
        <v>174</v>
      </c>
      <c r="J5" s="369" t="s">
        <v>282</v>
      </c>
      <c r="K5" s="369" t="s">
        <v>283</v>
      </c>
    </row>
    <row r="6" spans="1:11" ht="15" customHeight="1">
      <c r="A6" s="219" t="s">
        <v>187</v>
      </c>
      <c r="B6" s="467"/>
      <c r="C6" s="221" t="s">
        <v>259</v>
      </c>
      <c r="D6" s="219" t="s">
        <v>260</v>
      </c>
      <c r="E6" s="467"/>
      <c r="F6" s="501"/>
      <c r="G6" s="219" t="s">
        <v>228</v>
      </c>
      <c r="H6" s="219" t="s">
        <v>228</v>
      </c>
      <c r="I6" s="219" t="s">
        <v>228</v>
      </c>
      <c r="J6" s="219" t="s">
        <v>228</v>
      </c>
      <c r="K6" s="219" t="s">
        <v>228</v>
      </c>
    </row>
    <row r="7" spans="1:11" ht="14.1" customHeight="1">
      <c r="A7" s="154" t="s">
        <v>8</v>
      </c>
      <c r="B7" s="129">
        <f>'6.1'!D26</f>
        <v>102509</v>
      </c>
      <c r="C7" s="313">
        <f>'6.1'!E26</f>
        <v>29704.590910000003</v>
      </c>
      <c r="D7" s="129">
        <f>'6.1'!F26</f>
        <v>324035.79143000004</v>
      </c>
      <c r="E7" s="307">
        <f>D7/$D$21</f>
        <v>3.4280994036419751E-2</v>
      </c>
      <c r="F7" s="332">
        <f>'6.1'!H26</f>
        <v>-0.10146067007261116</v>
      </c>
      <c r="G7" s="326">
        <v>2.1064516129032258</v>
      </c>
      <c r="H7" s="327">
        <v>8.6999999999999993</v>
      </c>
      <c r="I7" s="327">
        <v>-9.1</v>
      </c>
      <c r="J7" s="327">
        <v>-0.5</v>
      </c>
      <c r="K7" s="326">
        <v>2.6064516129032258</v>
      </c>
    </row>
    <row r="8" spans="1:11" ht="14.1" customHeight="1">
      <c r="A8" s="154" t="s">
        <v>9</v>
      </c>
      <c r="B8" s="129">
        <f>'6.1'!D56</f>
        <v>373853</v>
      </c>
      <c r="C8" s="313">
        <f>'6.1'!E56</f>
        <v>124624.4</v>
      </c>
      <c r="D8" s="129">
        <f>'6.1'!F56</f>
        <v>1359089.0841700002</v>
      </c>
      <c r="E8" s="307">
        <f t="shared" ref="E8:E20" si="0">D8/$D$21</f>
        <v>0.14378326722423124</v>
      </c>
      <c r="F8" s="332">
        <f>'6.1'!H56</f>
        <v>-3.5109411570690703E-2</v>
      </c>
      <c r="G8" s="326">
        <v>2.274193548387097</v>
      </c>
      <c r="H8" s="327">
        <v>10.4</v>
      </c>
      <c r="I8" s="327">
        <v>-4.0999999999999996</v>
      </c>
      <c r="J8" s="327">
        <v>-0.20000000000000009</v>
      </c>
      <c r="K8" s="326">
        <v>2.4741935483870972</v>
      </c>
    </row>
    <row r="9" spans="1:11" ht="14.1" customHeight="1">
      <c r="A9" s="154" t="s">
        <v>10</v>
      </c>
      <c r="B9" s="129">
        <f>'6.2'!D26</f>
        <v>82189</v>
      </c>
      <c r="C9" s="313">
        <f>'6.2'!E26</f>
        <v>23270.9</v>
      </c>
      <c r="D9" s="129">
        <f>'6.2'!F26</f>
        <v>253780.38625000001</v>
      </c>
      <c r="E9" s="307">
        <f t="shared" si="0"/>
        <v>2.6848404212396822E-2</v>
      </c>
      <c r="F9" s="332">
        <f>'6.2'!H26</f>
        <v>-6.7440630284766032E-2</v>
      </c>
      <c r="G9" s="326">
        <v>1.564516129032258</v>
      </c>
      <c r="H9" s="327">
        <v>7.3</v>
      </c>
      <c r="I9" s="327">
        <v>-7.3</v>
      </c>
      <c r="J9" s="327">
        <v>-0.80000000000000038</v>
      </c>
      <c r="K9" s="326">
        <v>2.3645161290322583</v>
      </c>
    </row>
    <row r="10" spans="1:11" ht="14.1" customHeight="1">
      <c r="A10" s="154" t="s">
        <v>92</v>
      </c>
      <c r="B10" s="129">
        <f>'6.2'!D56</f>
        <v>115272</v>
      </c>
      <c r="C10" s="313">
        <f>'6.2'!E56</f>
        <v>36444.400000000001</v>
      </c>
      <c r="D10" s="129">
        <f>'6.2'!F56</f>
        <v>397444.44873999996</v>
      </c>
      <c r="E10" s="307">
        <f t="shared" si="0"/>
        <v>4.2047178544495363E-2</v>
      </c>
      <c r="F10" s="332">
        <f>'6.2'!H56</f>
        <v>-6.6808352644449245E-2</v>
      </c>
      <c r="G10" s="326">
        <v>1.8322580645161293</v>
      </c>
      <c r="H10" s="327">
        <v>8.5</v>
      </c>
      <c r="I10" s="327">
        <v>-4.5</v>
      </c>
      <c r="J10" s="327">
        <v>-0.60000000000000009</v>
      </c>
      <c r="K10" s="326">
        <v>2.4322580645161294</v>
      </c>
    </row>
    <row r="11" spans="1:11" ht="14.1" customHeight="1">
      <c r="A11" s="154" t="s">
        <v>11</v>
      </c>
      <c r="B11" s="129">
        <f>'6.3'!D26</f>
        <v>91033</v>
      </c>
      <c r="C11" s="313">
        <f>'6.3'!E26</f>
        <v>36537.300000000003</v>
      </c>
      <c r="D11" s="129">
        <f>'6.3'!F26</f>
        <v>398455.44504999998</v>
      </c>
      <c r="E11" s="307">
        <f t="shared" si="0"/>
        <v>4.2154135736850583E-2</v>
      </c>
      <c r="F11" s="332">
        <f>'6.3'!H26</f>
        <v>-5.4899546556233005E-2</v>
      </c>
      <c r="G11" s="326">
        <v>2.129032258064516</v>
      </c>
      <c r="H11" s="327">
        <v>8.5</v>
      </c>
      <c r="I11" s="327">
        <v>-3.9</v>
      </c>
      <c r="J11" s="327">
        <v>-0.20000000000000009</v>
      </c>
      <c r="K11" s="326">
        <v>2.3290322580645162</v>
      </c>
    </row>
    <row r="12" spans="1:11" ht="14.1" customHeight="1">
      <c r="A12" s="154" t="s">
        <v>12</v>
      </c>
      <c r="B12" s="129">
        <f>'6.3'!D56</f>
        <v>369046</v>
      </c>
      <c r="C12" s="313">
        <f>'6.3'!E56</f>
        <v>91714.315000000002</v>
      </c>
      <c r="D12" s="129">
        <f>'6.3'!F56</f>
        <v>999805.15044999996</v>
      </c>
      <c r="E12" s="307">
        <f t="shared" si="0"/>
        <v>0.10577323649619835</v>
      </c>
      <c r="F12" s="332">
        <f>'6.3'!H56</f>
        <v>-5.386177225253732E-2</v>
      </c>
      <c r="G12" s="326">
        <v>2.5419354838709678</v>
      </c>
      <c r="H12" s="327">
        <v>9.6999999999999993</v>
      </c>
      <c r="I12" s="327">
        <v>-4.7</v>
      </c>
      <c r="J12" s="327">
        <v>-0.5</v>
      </c>
      <c r="K12" s="326">
        <v>3.0419354838709678</v>
      </c>
    </row>
    <row r="13" spans="1:11" ht="14.1" customHeight="1">
      <c r="A13" s="154" t="s">
        <v>13</v>
      </c>
      <c r="B13" s="129">
        <f>'6.4'!D26</f>
        <v>182701</v>
      </c>
      <c r="C13" s="313">
        <f>'6.4'!E26</f>
        <v>53970.999999999993</v>
      </c>
      <c r="D13" s="129">
        <f>'6.4'!F26</f>
        <v>588580.80087000015</v>
      </c>
      <c r="E13" s="307">
        <f t="shared" si="0"/>
        <v>6.2268229183980152E-2</v>
      </c>
      <c r="F13" s="332">
        <f>'6.4'!H26</f>
        <v>-7.004753921252739E-2</v>
      </c>
      <c r="G13" s="326">
        <v>2.0096774193548388</v>
      </c>
      <c r="H13" s="327">
        <v>9.4</v>
      </c>
      <c r="I13" s="327">
        <v>-4</v>
      </c>
      <c r="J13" s="327">
        <v>-1.1000000000000005</v>
      </c>
      <c r="K13" s="326">
        <v>3.1096774193548393</v>
      </c>
    </row>
    <row r="14" spans="1:11" ht="14.1" customHeight="1">
      <c r="A14" s="154" t="s">
        <v>14</v>
      </c>
      <c r="B14" s="129">
        <f>'6.4'!D56</f>
        <v>133588</v>
      </c>
      <c r="C14" s="313">
        <f>'6.4'!E56</f>
        <v>39432.200000000004</v>
      </c>
      <c r="D14" s="129">
        <f>'6.4'!F56</f>
        <v>430026.06396</v>
      </c>
      <c r="E14" s="307">
        <f t="shared" si="0"/>
        <v>4.5494113070229783E-2</v>
      </c>
      <c r="F14" s="332">
        <f>'6.4'!H56</f>
        <v>-2.818668224241476E-2</v>
      </c>
      <c r="G14" s="326">
        <v>2.3258064516129036</v>
      </c>
      <c r="H14" s="327">
        <v>9.5</v>
      </c>
      <c r="I14" s="327">
        <v>-4.3</v>
      </c>
      <c r="J14" s="327">
        <v>0.10000000000000005</v>
      </c>
      <c r="K14" s="326">
        <v>2.2258064516129035</v>
      </c>
    </row>
    <row r="15" spans="1:11" ht="14.1" customHeight="1">
      <c r="A15" s="154" t="s">
        <v>15</v>
      </c>
      <c r="B15" s="129">
        <f>'6.5'!D26</f>
        <v>156457</v>
      </c>
      <c r="C15" s="313">
        <f>'6.5'!E26</f>
        <v>38084.200000000004</v>
      </c>
      <c r="D15" s="129">
        <f>'6.5'!F26</f>
        <v>415325.24160999997</v>
      </c>
      <c r="E15" s="307">
        <f t="shared" si="0"/>
        <v>4.3938856470065957E-2</v>
      </c>
      <c r="F15" s="332">
        <f>'6.5'!H26</f>
        <v>-0.1201646737021088</v>
      </c>
      <c r="G15" s="326">
        <v>2.6580645161290324</v>
      </c>
      <c r="H15" s="327">
        <v>8.6999999999999993</v>
      </c>
      <c r="I15" s="327">
        <v>-8.6</v>
      </c>
      <c r="J15" s="327">
        <v>-0.10000000000000005</v>
      </c>
      <c r="K15" s="326">
        <v>2.7580645161290325</v>
      </c>
    </row>
    <row r="16" spans="1:11" ht="14.1" customHeight="1">
      <c r="A16" s="154" t="s">
        <v>1</v>
      </c>
      <c r="B16" s="129">
        <f>'6.5'!D56</f>
        <v>402294</v>
      </c>
      <c r="C16" s="313">
        <f>'6.5'!E56</f>
        <v>104891.88793294679</v>
      </c>
      <c r="D16" s="129">
        <f>'6.5'!F56</f>
        <v>1144989.6369110865</v>
      </c>
      <c r="E16" s="307">
        <f t="shared" si="0"/>
        <v>0.12113286233440872</v>
      </c>
      <c r="F16" s="332">
        <f>'6.5'!H56</f>
        <v>-8.3596833446917873E-2</v>
      </c>
      <c r="G16" s="326">
        <v>4.1838709677419352</v>
      </c>
      <c r="H16" s="327">
        <v>10.4</v>
      </c>
      <c r="I16" s="327">
        <v>-4.9000000000000004</v>
      </c>
      <c r="J16" s="327">
        <v>1.1000000000000005</v>
      </c>
      <c r="K16" s="326">
        <v>3.0838709677419347</v>
      </c>
    </row>
    <row r="17" spans="1:16" ht="14.1" customHeight="1">
      <c r="A17" s="154" t="s">
        <v>16</v>
      </c>
      <c r="B17" s="129">
        <f>'6.6'!D26</f>
        <v>255141</v>
      </c>
      <c r="C17" s="313">
        <f>'6.6'!E26</f>
        <v>112916.823</v>
      </c>
      <c r="D17" s="129">
        <f>'6.6'!F26</f>
        <v>1231444.2153660001</v>
      </c>
      <c r="E17" s="307">
        <f t="shared" si="0"/>
        <v>0.130279225072163</v>
      </c>
      <c r="F17" s="332">
        <f>'6.6'!H26</f>
        <v>-8.887425584866071E-2</v>
      </c>
      <c r="G17" s="326">
        <v>3.1451612903225805</v>
      </c>
      <c r="H17" s="327">
        <v>9.8000000000000007</v>
      </c>
      <c r="I17" s="327">
        <v>-5.9</v>
      </c>
      <c r="J17" s="327">
        <v>0.69999999999999962</v>
      </c>
      <c r="K17" s="326">
        <v>2.4451612903225808</v>
      </c>
      <c r="L17" s="93"/>
      <c r="N17" s="93"/>
      <c r="O17" s="93"/>
      <c r="P17" s="93"/>
    </row>
    <row r="18" spans="1:16" ht="14.1" customHeight="1">
      <c r="A18" s="154" t="s">
        <v>17</v>
      </c>
      <c r="B18" s="129">
        <f>'6.6'!D56</f>
        <v>217212</v>
      </c>
      <c r="C18" s="313">
        <f>'6.6'!E56</f>
        <v>92931.738999999987</v>
      </c>
      <c r="D18" s="129">
        <f>'6.6'!F56</f>
        <v>1013782.5336140001</v>
      </c>
      <c r="E18" s="307">
        <f t="shared" si="0"/>
        <v>0.10725195767935923</v>
      </c>
      <c r="F18" s="332">
        <f>'6.6'!H56</f>
        <v>-0.22319848362621991</v>
      </c>
      <c r="G18" s="326">
        <v>2.8870967741935485</v>
      </c>
      <c r="H18" s="327">
        <v>10.1</v>
      </c>
      <c r="I18" s="327">
        <v>-5.6</v>
      </c>
      <c r="J18" s="327">
        <v>0.89999999999999947</v>
      </c>
      <c r="K18" s="326">
        <v>1.987096774193549</v>
      </c>
      <c r="L18" s="93"/>
      <c r="N18" s="93"/>
      <c r="O18" s="93"/>
      <c r="P18" s="93"/>
    </row>
    <row r="19" spans="1:16" ht="14.1" customHeight="1">
      <c r="A19" s="154" t="s">
        <v>18</v>
      </c>
      <c r="B19" s="129">
        <f>'6.7'!D26</f>
        <v>118250</v>
      </c>
      <c r="C19" s="313">
        <f>'6.7'!E26</f>
        <v>36170.158089999997</v>
      </c>
      <c r="D19" s="129">
        <f>'6.7'!F26</f>
        <v>394466.20084999996</v>
      </c>
      <c r="E19" s="307">
        <f t="shared" si="0"/>
        <v>4.173209823282515E-2</v>
      </c>
      <c r="F19" s="332">
        <f>'6.7'!H26</f>
        <v>-7.6667923551748729E-2</v>
      </c>
      <c r="G19" s="326">
        <v>1.6774193548387097</v>
      </c>
      <c r="H19" s="327">
        <v>8.1</v>
      </c>
      <c r="I19" s="327">
        <v>-6.3</v>
      </c>
      <c r="J19" s="327">
        <v>-1.2000000000000002</v>
      </c>
      <c r="K19" s="326">
        <v>2.8774193548387101</v>
      </c>
      <c r="L19" s="93"/>
      <c r="N19" s="93"/>
      <c r="O19" s="93"/>
      <c r="P19" s="93"/>
    </row>
    <row r="20" spans="1:16" ht="14.1" customHeight="1">
      <c r="A20" s="204" t="s">
        <v>19</v>
      </c>
      <c r="B20" s="310">
        <f>'6.7'!D56</f>
        <v>152921</v>
      </c>
      <c r="C20" s="314">
        <f>'6.7'!E56</f>
        <v>45951.199999999997</v>
      </c>
      <c r="D20" s="310">
        <f>'6.7'!F56</f>
        <v>501120.25902999996</v>
      </c>
      <c r="E20" s="311">
        <f t="shared" si="0"/>
        <v>5.3015441706375906E-2</v>
      </c>
      <c r="F20" s="333">
        <f>'6.7'!H56</f>
        <v>-4.5618057805581348E-2</v>
      </c>
      <c r="G20" s="328">
        <v>1.4774193548387096</v>
      </c>
      <c r="H20" s="329">
        <v>7.5</v>
      </c>
      <c r="I20" s="329">
        <v>-4.8</v>
      </c>
      <c r="J20" s="329">
        <v>-0.10000000000000005</v>
      </c>
      <c r="K20" s="328">
        <v>1.5774193548387097</v>
      </c>
      <c r="L20" s="93"/>
    </row>
    <row r="21" spans="1:16" ht="14.1" customHeight="1">
      <c r="A21" s="154" t="s">
        <v>0</v>
      </c>
      <c r="B21" s="156">
        <f>SUM(B7:B20)</f>
        <v>2752466</v>
      </c>
      <c r="C21" s="313">
        <f>SUM(C7:C20)</f>
        <v>866645.1139329467</v>
      </c>
      <c r="D21" s="129">
        <f>SUM(D7:D20)</f>
        <v>9452345.2583010867</v>
      </c>
      <c r="E21" s="367">
        <f>SUM(E7:E20)</f>
        <v>1.0000000000000002</v>
      </c>
      <c r="F21" s="332"/>
      <c r="G21" s="256">
        <v>2.2387096774193549</v>
      </c>
      <c r="H21" s="256">
        <v>8.9</v>
      </c>
      <c r="I21" s="256">
        <v>-5.7</v>
      </c>
      <c r="J21" s="256">
        <v>-0.38387096774193558</v>
      </c>
      <c r="K21" s="256">
        <v>2.6225806451612903</v>
      </c>
    </row>
    <row r="22" spans="1:16" ht="14.1" customHeight="1">
      <c r="A22" s="204" t="s">
        <v>94</v>
      </c>
      <c r="B22" s="368"/>
      <c r="C22" s="314">
        <f>'5.1'!E27</f>
        <v>13157.606677814621</v>
      </c>
      <c r="D22" s="310">
        <f>'5.1'!F27</f>
        <v>143715.3222621</v>
      </c>
      <c r="E22" s="368"/>
      <c r="F22" s="333">
        <f>'5.1'!H27</f>
        <v>-0.23025443694699796</v>
      </c>
      <c r="G22" s="262">
        <v>2.2387096774193549</v>
      </c>
      <c r="H22" s="262">
        <v>8.9</v>
      </c>
      <c r="I22" s="262">
        <v>-5.7</v>
      </c>
      <c r="J22" s="262">
        <v>-0.38387096774193558</v>
      </c>
      <c r="K22" s="262">
        <v>2.6225806451612903</v>
      </c>
    </row>
    <row r="23" spans="1:16" ht="14.1" customHeight="1">
      <c r="A23" s="204" t="s">
        <v>55</v>
      </c>
      <c r="B23" s="161">
        <f>B21+B22</f>
        <v>2752466</v>
      </c>
      <c r="C23" s="314">
        <f t="shared" ref="C23:D23" si="1">C21+C22</f>
        <v>879802.72061076132</v>
      </c>
      <c r="D23" s="310">
        <f t="shared" si="1"/>
        <v>9596060.5805631876</v>
      </c>
      <c r="E23" s="368"/>
      <c r="F23" s="333">
        <f>'5.1'!H28</f>
        <v>-8.9380074873124285E-2</v>
      </c>
      <c r="G23" s="262">
        <v>2.2387096774193549</v>
      </c>
      <c r="H23" s="262">
        <v>8.9</v>
      </c>
      <c r="I23" s="262">
        <v>-5.7</v>
      </c>
      <c r="J23" s="262">
        <v>-0.38387096774193558</v>
      </c>
      <c r="K23" s="262">
        <v>2.6225806451612903</v>
      </c>
    </row>
    <row r="24" spans="1:16" ht="15" customHeight="1">
      <c r="A24" s="101"/>
      <c r="B24" s="94"/>
      <c r="C24" s="503" t="s">
        <v>242</v>
      </c>
      <c r="D24" s="503"/>
      <c r="E24" s="503"/>
      <c r="F24" s="503"/>
      <c r="G24" s="506" t="s">
        <v>240</v>
      </c>
      <c r="H24" s="506"/>
      <c r="I24" s="506"/>
      <c r="J24" s="506"/>
      <c r="K24" s="506"/>
    </row>
    <row r="25" spans="1:16" ht="15" customHeight="1">
      <c r="A25" s="94"/>
      <c r="B25" s="94"/>
      <c r="C25" s="503"/>
      <c r="D25" s="503"/>
      <c r="E25" s="503"/>
      <c r="F25" s="503"/>
      <c r="G25" s="506" t="s">
        <v>241</v>
      </c>
      <c r="H25" s="506"/>
      <c r="I25" s="506"/>
      <c r="J25" s="506"/>
      <c r="K25" s="506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68" t="s">
        <v>255</v>
      </c>
      <c r="B29" s="468"/>
      <c r="C29" s="468"/>
      <c r="D29" s="468"/>
      <c r="E29" s="468"/>
      <c r="F29" s="468" t="s">
        <v>61</v>
      </c>
      <c r="G29" s="468"/>
      <c r="H29" s="468"/>
      <c r="I29" s="468"/>
      <c r="J29" s="468"/>
      <c r="K29" s="468"/>
    </row>
    <row r="30" spans="1:16" ht="15" customHeight="1">
      <c r="A30" s="120"/>
      <c r="B30" s="504"/>
      <c r="C30" s="504"/>
      <c r="D30" s="120"/>
      <c r="E30" s="120"/>
      <c r="F30" s="120"/>
      <c r="G30" s="120"/>
      <c r="H30" s="504"/>
      <c r="I30" s="504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7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4" customFormat="1" ht="18">
      <c r="A1" s="495" t="str">
        <f>"6.11 Spotřeba zemního plynu a teplota ovzduší podle krajů: "&amp;(A3)</f>
        <v>6.11 Spotřeba zemního plynu a teplota ovzduší podle krajů: IV. čtvrtletí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ht="6" customHeight="1">
      <c r="A2" s="499"/>
      <c r="B2" s="499"/>
      <c r="C2" s="300"/>
      <c r="D2" s="301"/>
      <c r="E2" s="302"/>
      <c r="F2" s="302"/>
      <c r="G2" s="302"/>
      <c r="H2" s="302"/>
      <c r="I2" s="76"/>
      <c r="J2" s="76"/>
      <c r="K2" s="76"/>
    </row>
    <row r="3" spans="1:11" ht="20.100000000000001" customHeight="1">
      <c r="A3" s="522" t="str">
        <f>'3.1'!G5</f>
        <v>IV. čtvrtletí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</row>
    <row r="4" spans="1:11" ht="20.100000000000001" customHeight="1">
      <c r="A4" s="128"/>
      <c r="B4" s="252">
        <f>'3.1'!A4</f>
        <v>2023</v>
      </c>
      <c r="C4" s="518" t="s">
        <v>60</v>
      </c>
      <c r="D4" s="519"/>
      <c r="E4" s="519"/>
      <c r="F4" s="520"/>
      <c r="G4" s="521" t="s">
        <v>186</v>
      </c>
      <c r="H4" s="521"/>
      <c r="I4" s="521"/>
      <c r="J4" s="521"/>
      <c r="K4" s="521"/>
    </row>
    <row r="5" spans="1:11" ht="49.5" customHeight="1">
      <c r="A5" s="272"/>
      <c r="B5" s="480" t="s">
        <v>185</v>
      </c>
      <c r="C5" s="345"/>
      <c r="D5" s="346"/>
      <c r="E5" s="480" t="s">
        <v>277</v>
      </c>
      <c r="F5" s="500" t="s">
        <v>280</v>
      </c>
      <c r="G5" s="369" t="s">
        <v>62</v>
      </c>
      <c r="H5" s="369" t="s">
        <v>173</v>
      </c>
      <c r="I5" s="369" t="s">
        <v>174</v>
      </c>
      <c r="J5" s="369" t="s">
        <v>282</v>
      </c>
      <c r="K5" s="369" t="s">
        <v>283</v>
      </c>
    </row>
    <row r="6" spans="1:11" ht="15" customHeight="1">
      <c r="A6" s="219" t="s">
        <v>187</v>
      </c>
      <c r="B6" s="467"/>
      <c r="C6" s="221" t="s">
        <v>259</v>
      </c>
      <c r="D6" s="219" t="s">
        <v>260</v>
      </c>
      <c r="E6" s="467"/>
      <c r="F6" s="501"/>
      <c r="G6" s="219" t="s">
        <v>228</v>
      </c>
      <c r="H6" s="219" t="s">
        <v>228</v>
      </c>
      <c r="I6" s="219" t="s">
        <v>228</v>
      </c>
      <c r="J6" s="219" t="s">
        <v>228</v>
      </c>
      <c r="K6" s="219" t="s">
        <v>228</v>
      </c>
    </row>
    <row r="7" spans="1:11" ht="14.1" customHeight="1">
      <c r="A7" s="154" t="s">
        <v>8</v>
      </c>
      <c r="B7" s="129">
        <f>'6.1'!D32</f>
        <v>102509</v>
      </c>
      <c r="C7" s="313">
        <f>'6.1'!E32</f>
        <v>69359.111690000005</v>
      </c>
      <c r="D7" s="129">
        <f>'6.1'!F32</f>
        <v>758669.95611000003</v>
      </c>
      <c r="E7" s="307">
        <f>D7/$D$21</f>
        <v>3.3892758734005275E-2</v>
      </c>
      <c r="F7" s="332">
        <f>'6.1'!H32</f>
        <v>-8.4774423711021077E-2</v>
      </c>
      <c r="G7" s="326">
        <f>AVERAGE('6.8'!G7,'6.9'!G7,'6.10'!G7)</f>
        <v>5.5163799283154118</v>
      </c>
      <c r="H7" s="327">
        <f>MAX('6.8'!H7,'6.9'!H7,'6.10'!H7)</f>
        <v>17.5</v>
      </c>
      <c r="I7" s="327">
        <f>MIN('6.8'!I7,'6.9'!I7,'6.10'!I7)</f>
        <v>-9.1</v>
      </c>
      <c r="J7" s="327">
        <f>AVERAGE('6.8'!J7,'6.9'!J7,'6.10'!J7)</f>
        <v>3.0999999999999996</v>
      </c>
      <c r="K7" s="326">
        <f>G7-J7</f>
        <v>2.4163799283154122</v>
      </c>
    </row>
    <row r="8" spans="1:11" ht="14.1" customHeight="1">
      <c r="A8" s="154" t="s">
        <v>9</v>
      </c>
      <c r="B8" s="129">
        <f>'6.1'!D62</f>
        <v>373853</v>
      </c>
      <c r="C8" s="313">
        <f>'6.1'!E62</f>
        <v>274838.8</v>
      </c>
      <c r="D8" s="129">
        <f>'6.1'!F62</f>
        <v>3003270.8670700002</v>
      </c>
      <c r="E8" s="307">
        <f t="shared" ref="E8:E20" si="0">D8/$D$21</f>
        <v>0.13416787377792494</v>
      </c>
      <c r="F8" s="332">
        <f>'6.1'!H62</f>
        <v>-5.9915431697174171E-2</v>
      </c>
      <c r="G8" s="326">
        <f>AVERAGE('6.8'!G8,'6.9'!G8,'6.10'!G8)</f>
        <v>6.7306451612903233</v>
      </c>
      <c r="H8" s="327">
        <f>MAX('6.8'!H8,'6.9'!H8,'6.10'!H8)</f>
        <v>19.7</v>
      </c>
      <c r="I8" s="327">
        <f>MIN('6.8'!I8,'6.9'!I8,'6.10'!I8)</f>
        <v>-4.0999999999999996</v>
      </c>
      <c r="J8" s="327">
        <f>AVERAGE('6.8'!J8,'6.9'!J8,'6.10'!J8)</f>
        <v>3.9666666666666672</v>
      </c>
      <c r="K8" s="326">
        <f t="shared" ref="K8:K23" si="1">G8-J8</f>
        <v>2.7639784946236561</v>
      </c>
    </row>
    <row r="9" spans="1:11" ht="14.1" customHeight="1">
      <c r="A9" s="154" t="s">
        <v>10</v>
      </c>
      <c r="B9" s="129">
        <f>'6.2'!D32</f>
        <v>82189</v>
      </c>
      <c r="C9" s="313">
        <f>'6.2'!E32</f>
        <v>58245.3</v>
      </c>
      <c r="D9" s="129">
        <f>'6.2'!F32</f>
        <v>636587.99693999998</v>
      </c>
      <c r="E9" s="307">
        <f t="shared" si="0"/>
        <v>2.8438879409273497E-2</v>
      </c>
      <c r="F9" s="332">
        <f>'6.2'!H32</f>
        <v>1.9077979315859209E-2</v>
      </c>
      <c r="G9" s="326">
        <f>AVERAGE('6.8'!G9,'6.9'!G9,'6.10'!G9)</f>
        <v>4.9000716845878136</v>
      </c>
      <c r="H9" s="327">
        <f>MAX('6.8'!H9,'6.9'!H9,'6.10'!H9)</f>
        <v>15.6</v>
      </c>
      <c r="I9" s="327">
        <f>MIN('6.8'!I9,'6.9'!I9,'6.10'!I9)</f>
        <v>-7.3</v>
      </c>
      <c r="J9" s="327">
        <f>AVERAGE('6.8'!J9,'6.9'!J9,'6.10'!J9)</f>
        <v>2.6666666666666661</v>
      </c>
      <c r="K9" s="326">
        <f t="shared" si="1"/>
        <v>2.2334050179211475</v>
      </c>
    </row>
    <row r="10" spans="1:11" ht="14.1" customHeight="1">
      <c r="A10" s="154" t="s">
        <v>92</v>
      </c>
      <c r="B10" s="129">
        <f>'6.2'!D62</f>
        <v>115272</v>
      </c>
      <c r="C10" s="313">
        <f>'6.2'!E62</f>
        <v>86678.5</v>
      </c>
      <c r="D10" s="129">
        <f>'6.2'!F62</f>
        <v>947325.50747000007</v>
      </c>
      <c r="E10" s="307">
        <f t="shared" si="0"/>
        <v>4.2320741198027013E-2</v>
      </c>
      <c r="F10" s="332">
        <f>'6.2'!H62</f>
        <v>-2.63118282468815E-2</v>
      </c>
      <c r="G10" s="326">
        <f>AVERAGE('6.8'!G10,'6.9'!G10,'6.10'!G10)</f>
        <v>5.3782795698924728</v>
      </c>
      <c r="H10" s="327">
        <f>MAX('6.8'!H10,'6.9'!H10,'6.10'!H10)</f>
        <v>17.100000000000001</v>
      </c>
      <c r="I10" s="327">
        <f>MIN('6.8'!I10,'6.9'!I10,'6.10'!I10)</f>
        <v>-4.5999999999999996</v>
      </c>
      <c r="J10" s="327">
        <f>AVERAGE('6.8'!J10,'6.9'!J10,'6.10'!J10)</f>
        <v>3.2333333333333347</v>
      </c>
      <c r="K10" s="326">
        <f t="shared" si="1"/>
        <v>2.1449462365591381</v>
      </c>
    </row>
    <row r="11" spans="1:11" ht="14.1" customHeight="1">
      <c r="A11" s="154" t="s">
        <v>11</v>
      </c>
      <c r="B11" s="129">
        <f>'6.3'!D32</f>
        <v>91033</v>
      </c>
      <c r="C11" s="313">
        <f>'6.3'!E32</f>
        <v>82860.7</v>
      </c>
      <c r="D11" s="129">
        <f>'6.3'!F32</f>
        <v>905488.91610999987</v>
      </c>
      <c r="E11" s="307">
        <f t="shared" si="0"/>
        <v>4.0451736783395802E-2</v>
      </c>
      <c r="F11" s="332">
        <f>'6.3'!H32</f>
        <v>-4.9353793202351962E-2</v>
      </c>
      <c r="G11" s="326">
        <f>AVERAGE('6.8'!G11,'6.9'!G11,'6.10'!G11)</f>
        <v>5.6893548387096766</v>
      </c>
      <c r="H11" s="327">
        <f>MAX('6.8'!H11,'6.9'!H11,'6.10'!H11)</f>
        <v>16.3</v>
      </c>
      <c r="I11" s="327">
        <f>MIN('6.8'!I11,'6.9'!I11,'6.10'!I11)</f>
        <v>-3.9</v>
      </c>
      <c r="J11" s="327">
        <f>AVERAGE('6.8'!J11,'6.9'!J11,'6.10'!J11)</f>
        <v>3.4333333333333353</v>
      </c>
      <c r="K11" s="326">
        <f t="shared" si="1"/>
        <v>2.2560215053763413</v>
      </c>
    </row>
    <row r="12" spans="1:11" ht="14.1" customHeight="1">
      <c r="A12" s="154" t="s">
        <v>12</v>
      </c>
      <c r="B12" s="129">
        <f>'6.3'!D62</f>
        <v>369046</v>
      </c>
      <c r="C12" s="313">
        <f>'6.3'!E62</f>
        <v>224337.67600000001</v>
      </c>
      <c r="D12" s="129">
        <f>'6.3'!F62</f>
        <v>2451011.4093600004</v>
      </c>
      <c r="E12" s="307">
        <f t="shared" si="0"/>
        <v>0.10949628054031989</v>
      </c>
      <c r="F12" s="332">
        <f>'6.3'!H62</f>
        <v>2.2836471912402408E-2</v>
      </c>
      <c r="G12" s="326">
        <f>AVERAGE('6.8'!G12,'6.9'!G12,'6.10'!G12)</f>
        <v>6.3830465949820798</v>
      </c>
      <c r="H12" s="327">
        <f>MAX('6.8'!H12,'6.9'!H12,'6.10'!H12)</f>
        <v>19.600000000000001</v>
      </c>
      <c r="I12" s="327">
        <f>MIN('6.8'!I12,'6.9'!I12,'6.10'!I12)</f>
        <v>-4.7</v>
      </c>
      <c r="J12" s="327">
        <f>AVERAGE('6.8'!J12,'6.9'!J12,'6.10'!J12)</f>
        <v>3.4666666666666655</v>
      </c>
      <c r="K12" s="326">
        <f t="shared" si="1"/>
        <v>2.9163799283154144</v>
      </c>
    </row>
    <row r="13" spans="1:11" ht="14.1" customHeight="1">
      <c r="A13" s="154" t="s">
        <v>13</v>
      </c>
      <c r="B13" s="129">
        <f>'6.4'!D32</f>
        <v>182701</v>
      </c>
      <c r="C13" s="313">
        <f>'6.4'!E32</f>
        <v>126384.20000000001</v>
      </c>
      <c r="D13" s="129">
        <f>'6.4'!F32</f>
        <v>1381241.90864</v>
      </c>
      <c r="E13" s="307">
        <f t="shared" si="0"/>
        <v>6.1705486537079732E-2</v>
      </c>
      <c r="F13" s="332">
        <f>'6.4'!H32</f>
        <v>-4.8311030354691406E-2</v>
      </c>
      <c r="G13" s="326">
        <f>AVERAGE('6.8'!G13,'6.9'!G13,'6.10'!G13)</f>
        <v>5.8866308243727596</v>
      </c>
      <c r="H13" s="327">
        <f>MAX('6.8'!H13,'6.9'!H13,'6.10'!H13)</f>
        <v>17.8</v>
      </c>
      <c r="I13" s="327">
        <f>MIN('6.8'!I13,'6.9'!I13,'6.10'!I13)</f>
        <v>-4.7</v>
      </c>
      <c r="J13" s="327">
        <f>AVERAGE('6.8'!J13,'6.9'!J13,'6.10'!J13)</f>
        <v>2.8999999999999986</v>
      </c>
      <c r="K13" s="326">
        <f t="shared" si="1"/>
        <v>2.9866308243727611</v>
      </c>
    </row>
    <row r="14" spans="1:11" ht="14.1" customHeight="1">
      <c r="A14" s="154" t="s">
        <v>14</v>
      </c>
      <c r="B14" s="129">
        <f>'6.4'!D62</f>
        <v>133588</v>
      </c>
      <c r="C14" s="313">
        <f>'6.4'!E62</f>
        <v>90454.999999999985</v>
      </c>
      <c r="D14" s="129">
        <f>'6.4'!F62</f>
        <v>988522.14156999998</v>
      </c>
      <c r="E14" s="307">
        <f t="shared" si="0"/>
        <v>4.4161156215070267E-2</v>
      </c>
      <c r="F14" s="332">
        <f>'6.4'!H62</f>
        <v>-2.9461120505403726E-2</v>
      </c>
      <c r="G14" s="326">
        <f>AVERAGE('6.8'!G14,'6.9'!G14,'6.10'!G14)</f>
        <v>6.0750179211469542</v>
      </c>
      <c r="H14" s="327">
        <f>MAX('6.8'!H14,'6.9'!H14,'6.10'!H14)</f>
        <v>19.100000000000001</v>
      </c>
      <c r="I14" s="327">
        <f>MIN('6.8'!I14,'6.9'!I14,'6.10'!I14)</f>
        <v>-4.3</v>
      </c>
      <c r="J14" s="327">
        <f>AVERAGE('6.8'!J14,'6.9'!J14,'6.10'!J14)</f>
        <v>3.8333333333333339</v>
      </c>
      <c r="K14" s="326">
        <f t="shared" si="1"/>
        <v>2.2416845878136202</v>
      </c>
    </row>
    <row r="15" spans="1:11" ht="14.1" customHeight="1">
      <c r="A15" s="154" t="s">
        <v>15</v>
      </c>
      <c r="B15" s="129">
        <f>'6.5'!D32</f>
        <v>156457</v>
      </c>
      <c r="C15" s="313">
        <f>'6.5'!E32</f>
        <v>92423.6</v>
      </c>
      <c r="D15" s="129">
        <f>'6.5'!F32</f>
        <v>1010162.2202999999</v>
      </c>
      <c r="E15" s="307">
        <f t="shared" si="0"/>
        <v>4.5127903298533827E-2</v>
      </c>
      <c r="F15" s="332">
        <f>'6.5'!H32</f>
        <v>-7.7365693156679863E-2</v>
      </c>
      <c r="G15" s="326">
        <f>AVERAGE('6.8'!G15,'6.9'!G15,'6.10'!G15)</f>
        <v>5.9440501792114686</v>
      </c>
      <c r="H15" s="327">
        <f>MAX('6.8'!H15,'6.9'!H15,'6.10'!H15)</f>
        <v>17.399999999999999</v>
      </c>
      <c r="I15" s="327">
        <f>MIN('6.8'!I15,'6.9'!I15,'6.10'!I15)</f>
        <v>-8.6</v>
      </c>
      <c r="J15" s="327">
        <f>AVERAGE('6.8'!J15,'6.9'!J15,'6.10'!J15)</f>
        <v>3.3999999999999986</v>
      </c>
      <c r="K15" s="326">
        <f t="shared" si="1"/>
        <v>2.54405017921147</v>
      </c>
    </row>
    <row r="16" spans="1:11" ht="14.1" customHeight="1">
      <c r="A16" s="154" t="s">
        <v>1</v>
      </c>
      <c r="B16" s="129">
        <f>'6.5'!D62</f>
        <v>402294</v>
      </c>
      <c r="C16" s="313">
        <f>'6.5'!E62</f>
        <v>227905.11201330778</v>
      </c>
      <c r="D16" s="129">
        <f>'6.5'!F62</f>
        <v>2492264.8726711292</v>
      </c>
      <c r="E16" s="307">
        <f t="shared" si="0"/>
        <v>0.1113392343408306</v>
      </c>
      <c r="F16" s="332">
        <f>'6.5'!H62</f>
        <v>-5.8581440442087657E-2</v>
      </c>
      <c r="G16" s="326">
        <f>AVERAGE('6.8'!G16,'6.9'!G16,'6.10'!G16)</f>
        <v>7.7434050179211473</v>
      </c>
      <c r="H16" s="327">
        <f>MAX('6.8'!H16,'6.9'!H16,'6.10'!H16)</f>
        <v>19.2</v>
      </c>
      <c r="I16" s="327">
        <f>MIN('6.8'!I16,'6.9'!I16,'6.10'!I16)</f>
        <v>-4.9000000000000004</v>
      </c>
      <c r="J16" s="327">
        <f>AVERAGE('6.8'!J16,'6.9'!J16,'6.10'!J16)</f>
        <v>4.6000000000000014</v>
      </c>
      <c r="K16" s="326">
        <f t="shared" si="1"/>
        <v>3.1434050179211459</v>
      </c>
    </row>
    <row r="17" spans="1:16" ht="14.1" customHeight="1">
      <c r="A17" s="154" t="s">
        <v>16</v>
      </c>
      <c r="B17" s="129">
        <f>'6.6'!D32</f>
        <v>255141</v>
      </c>
      <c r="C17" s="313">
        <f>'6.6'!E32</f>
        <v>276610.59399999998</v>
      </c>
      <c r="D17" s="129">
        <f>'6.6'!F32</f>
        <v>3023655.7154289996</v>
      </c>
      <c r="E17" s="307">
        <f t="shared" si="0"/>
        <v>0.13507854480383899</v>
      </c>
      <c r="F17" s="332">
        <f>'6.6'!H32</f>
        <v>-7.2355081791672882E-2</v>
      </c>
      <c r="G17" s="326">
        <f>AVERAGE('6.8'!G17,'6.9'!G17,'6.10'!G17)</f>
        <v>6.6548387096774206</v>
      </c>
      <c r="H17" s="327">
        <f>MAX('6.8'!H17,'6.9'!H17,'6.10'!H17)</f>
        <v>17.899999999999999</v>
      </c>
      <c r="I17" s="327">
        <f>MIN('6.8'!I17,'6.9'!I17,'6.10'!I17)</f>
        <v>-5.9</v>
      </c>
      <c r="J17" s="327">
        <f>AVERAGE('6.8'!J17,'6.9'!J17,'6.10'!J17)</f>
        <v>4.299999999999998</v>
      </c>
      <c r="K17" s="326">
        <f t="shared" si="1"/>
        <v>2.3548387096774226</v>
      </c>
      <c r="L17" s="93"/>
      <c r="N17" s="93"/>
      <c r="O17" s="93"/>
      <c r="P17" s="93"/>
    </row>
    <row r="18" spans="1:16" ht="14.1" customHeight="1">
      <c r="A18" s="154" t="s">
        <v>17</v>
      </c>
      <c r="B18" s="129">
        <f>'6.6'!D62</f>
        <v>217212</v>
      </c>
      <c r="C18" s="313">
        <f>'6.6'!E62</f>
        <v>252577.54399999999</v>
      </c>
      <c r="D18" s="129">
        <f>'6.6'!F62</f>
        <v>2761914.3467780002</v>
      </c>
      <c r="E18" s="307">
        <f t="shared" si="0"/>
        <v>0.12338553259615587</v>
      </c>
      <c r="F18" s="332">
        <f>'6.6'!H62</f>
        <v>-0.15098026043525345</v>
      </c>
      <c r="G18" s="326">
        <f>AVERAGE('6.8'!G18,'6.9'!G18,'6.10'!G18)</f>
        <v>6.4476344086021511</v>
      </c>
      <c r="H18" s="327">
        <f>MAX('6.8'!H18,'6.9'!H18,'6.10'!H18)</f>
        <v>17.8</v>
      </c>
      <c r="I18" s="327">
        <f>MIN('6.8'!I18,'6.9'!I18,'6.10'!I18)</f>
        <v>-5.6</v>
      </c>
      <c r="J18" s="327">
        <f>AVERAGE('6.8'!J18,'6.9'!J18,'6.10'!J18)</f>
        <v>4.3333333333333321</v>
      </c>
      <c r="K18" s="326">
        <f t="shared" si="1"/>
        <v>2.1143010752688189</v>
      </c>
      <c r="L18" s="93"/>
      <c r="N18" s="93"/>
      <c r="O18" s="93"/>
      <c r="P18" s="93"/>
    </row>
    <row r="19" spans="1:16" ht="14.1" customHeight="1">
      <c r="A19" s="154" t="s">
        <v>18</v>
      </c>
      <c r="B19" s="129">
        <f>'6.7'!D32</f>
        <v>118250</v>
      </c>
      <c r="C19" s="313">
        <f>'6.7'!E32</f>
        <v>82432.277679999999</v>
      </c>
      <c r="D19" s="129">
        <f>'6.7'!F32</f>
        <v>900937.20083999983</v>
      </c>
      <c r="E19" s="307">
        <f t="shared" si="0"/>
        <v>4.0248393832710103E-2</v>
      </c>
      <c r="F19" s="332">
        <f>'6.7'!H32</f>
        <v>-4.2765413238523883E-2</v>
      </c>
      <c r="G19" s="326">
        <f>AVERAGE('6.8'!G19,'6.9'!G19,'6.10'!G19)</f>
        <v>5.3738351254480285</v>
      </c>
      <c r="H19" s="327">
        <f>MAX('6.8'!H19,'6.9'!H19,'6.10'!H19)</f>
        <v>18.399999999999999</v>
      </c>
      <c r="I19" s="327">
        <f>MIN('6.8'!I19,'6.9'!I19,'6.10'!I19)</f>
        <v>-6.3</v>
      </c>
      <c r="J19" s="327">
        <f>AVERAGE('6.8'!J19,'6.9'!J19,'6.10'!J19)</f>
        <v>2.7000000000000006</v>
      </c>
      <c r="K19" s="326">
        <f t="shared" si="1"/>
        <v>2.6738351254480279</v>
      </c>
      <c r="L19" s="93"/>
      <c r="N19" s="93"/>
      <c r="O19" s="93"/>
      <c r="P19" s="93"/>
    </row>
    <row r="20" spans="1:16" ht="14.1" customHeight="1">
      <c r="A20" s="204" t="s">
        <v>19</v>
      </c>
      <c r="B20" s="310">
        <f>'6.7'!D62</f>
        <v>152921</v>
      </c>
      <c r="C20" s="314">
        <f>'6.7'!E62</f>
        <v>102802.5</v>
      </c>
      <c r="D20" s="310">
        <f>'6.7'!F62</f>
        <v>1123373.1263800003</v>
      </c>
      <c r="E20" s="311">
        <f t="shared" si="0"/>
        <v>5.0185477932834024E-2</v>
      </c>
      <c r="F20" s="333">
        <f>'6.7'!H62</f>
        <v>-2.1041384754709409E-2</v>
      </c>
      <c r="G20" s="328">
        <f>AVERAGE('6.8'!G20,'6.9'!G20,'6.10'!G20)</f>
        <v>5.7008960573476699</v>
      </c>
      <c r="H20" s="329">
        <f>MAX('6.8'!H20,'6.9'!H20,'6.10'!H20)</f>
        <v>19.3</v>
      </c>
      <c r="I20" s="329">
        <f>MIN('6.8'!I20,'6.9'!I20,'6.10'!I20)</f>
        <v>-4.8</v>
      </c>
      <c r="J20" s="329">
        <f>AVERAGE('6.8'!J20,'6.9'!J20,'6.10'!J20)</f>
        <v>4.0000000000000009</v>
      </c>
      <c r="K20" s="328">
        <f t="shared" si="1"/>
        <v>1.700896057347669</v>
      </c>
      <c r="L20" s="93"/>
    </row>
    <row r="21" spans="1:16" ht="14.1" customHeight="1">
      <c r="A21" s="154" t="s">
        <v>0</v>
      </c>
      <c r="B21" s="156">
        <f>SUM(B7:B20)</f>
        <v>2752466</v>
      </c>
      <c r="C21" s="313">
        <f>SUM(C7:C20)</f>
        <v>2047910.915383308</v>
      </c>
      <c r="D21" s="129">
        <f>SUM(D7:D20)</f>
        <v>22384426.185668133</v>
      </c>
      <c r="E21" s="367">
        <f>SUM(E7:E20)</f>
        <v>0.99999999999999967</v>
      </c>
      <c r="F21" s="332"/>
      <c r="G21" s="256">
        <f>AVERAGE('6.8'!G21,'6.9'!G21,'6.10'!G21)</f>
        <v>5.9277777777777771</v>
      </c>
      <c r="H21" s="256">
        <f>MAX('6.8'!H21,'6.9'!H21,'6.10'!H21)</f>
        <v>17.600000000000001</v>
      </c>
      <c r="I21" s="256">
        <f>MIN('6.8'!I21,'6.9'!I21,'6.10'!I21)</f>
        <v>-5.7</v>
      </c>
      <c r="J21" s="256">
        <f>AVERAGE('6.8'!J21,'6.9'!J21,'6.10'!J21)</f>
        <v>3.83921146953405</v>
      </c>
      <c r="K21" s="256">
        <f t="shared" si="1"/>
        <v>2.0885663082437271</v>
      </c>
      <c r="M21" s="105"/>
    </row>
    <row r="22" spans="1:16" ht="14.1" customHeight="1">
      <c r="A22" s="204" t="s">
        <v>94</v>
      </c>
      <c r="B22" s="368"/>
      <c r="C22" s="314">
        <f>'5.1'!E34</f>
        <v>28547.565392918317</v>
      </c>
      <c r="D22" s="310">
        <f>'5.1'!F34</f>
        <v>312407.48879470001</v>
      </c>
      <c r="E22" s="368"/>
      <c r="F22" s="333">
        <f>'5.1'!H34</f>
        <v>-0.30140859439933454</v>
      </c>
      <c r="G22" s="262">
        <f>AVERAGE('6.8'!G22,'6.9'!G22,'6.10'!G22)</f>
        <v>5.9277777777777771</v>
      </c>
      <c r="H22" s="262">
        <f>MAX('6.8'!H22,'6.9'!H22,'6.10'!H22)</f>
        <v>17.600000000000001</v>
      </c>
      <c r="I22" s="262">
        <f>MIN('6.8'!I22,'6.9'!I22,'6.10'!I22)</f>
        <v>-5.7</v>
      </c>
      <c r="J22" s="262">
        <f>AVERAGE('6.8'!J22,'6.9'!J22,'6.10'!J22)</f>
        <v>3.83921146953405</v>
      </c>
      <c r="K22" s="262">
        <f t="shared" si="1"/>
        <v>2.0885663082437271</v>
      </c>
    </row>
    <row r="23" spans="1:16" ht="14.1" customHeight="1">
      <c r="A23" s="204" t="s">
        <v>55</v>
      </c>
      <c r="B23" s="161">
        <f>B21+B22</f>
        <v>2752466</v>
      </c>
      <c r="C23" s="314">
        <f t="shared" ref="C23:D23" si="2">C21+C22</f>
        <v>2076458.4807762264</v>
      </c>
      <c r="D23" s="310">
        <f t="shared" si="2"/>
        <v>22696833.674462833</v>
      </c>
      <c r="E23" s="368"/>
      <c r="F23" s="333">
        <f>'5.1'!H35</f>
        <v>-6.3281954219684522E-2</v>
      </c>
      <c r="G23" s="262">
        <f>AVERAGE('6.8'!G23,'6.9'!G23,'6.10'!G23)</f>
        <v>5.9277777777777771</v>
      </c>
      <c r="H23" s="262">
        <f>MAX('6.8'!H23,'6.9'!H23,'6.10'!H23)</f>
        <v>17.600000000000001</v>
      </c>
      <c r="I23" s="262">
        <f>MIN('6.8'!I23,'6.9'!I23,'6.10'!I23)</f>
        <v>-5.7</v>
      </c>
      <c r="J23" s="262">
        <f>AVERAGE('6.8'!J23,'6.9'!J23,'6.10'!J23)</f>
        <v>3.83921146953405</v>
      </c>
      <c r="K23" s="262">
        <f t="shared" si="1"/>
        <v>2.0885663082437271</v>
      </c>
    </row>
    <row r="24" spans="1:16" ht="15" customHeight="1">
      <c r="A24" s="101"/>
      <c r="B24" s="94"/>
      <c r="C24" s="503" t="s">
        <v>242</v>
      </c>
      <c r="D24" s="503"/>
      <c r="E24" s="503"/>
      <c r="F24" s="503"/>
      <c r="G24" s="506" t="s">
        <v>240</v>
      </c>
      <c r="H24" s="506"/>
      <c r="I24" s="506"/>
      <c r="J24" s="506"/>
      <c r="K24" s="506"/>
    </row>
    <row r="25" spans="1:16" ht="15" customHeight="1">
      <c r="A25" s="94"/>
      <c r="B25" s="94"/>
      <c r="C25" s="503"/>
      <c r="D25" s="503"/>
      <c r="E25" s="503"/>
      <c r="F25" s="503"/>
      <c r="G25" s="506" t="s">
        <v>241</v>
      </c>
      <c r="H25" s="506"/>
      <c r="I25" s="506"/>
      <c r="J25" s="506"/>
      <c r="K25" s="506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68" t="s">
        <v>255</v>
      </c>
      <c r="B29" s="468"/>
      <c r="C29" s="468"/>
      <c r="D29" s="468"/>
      <c r="E29" s="468"/>
      <c r="F29" s="468" t="s">
        <v>61</v>
      </c>
      <c r="G29" s="468"/>
      <c r="H29" s="468"/>
      <c r="I29" s="468"/>
      <c r="J29" s="468"/>
      <c r="K29" s="468"/>
    </row>
    <row r="30" spans="1:16" ht="15" customHeight="1">
      <c r="A30" s="120"/>
      <c r="B30" s="509"/>
      <c r="C30" s="509"/>
      <c r="D30" s="120"/>
      <c r="E30" s="120"/>
      <c r="F30" s="120"/>
      <c r="G30" s="120"/>
      <c r="H30" s="509"/>
      <c r="I30" s="504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58"/>
  <sheetViews>
    <sheetView showGridLines="0" topLeftCell="A13" zoomScaleNormal="100" zoomScaleSheetLayoutView="100" workbookViewId="0">
      <selection activeCell="D1" sqref="D1"/>
    </sheetView>
  </sheetViews>
  <sheetFormatPr defaultRowHeight="11.25"/>
  <cols>
    <col min="1" max="1" width="8" style="12" customWidth="1"/>
    <col min="2" max="2" width="7.7109375" style="12" customWidth="1"/>
    <col min="3" max="3" width="8.42578125" style="12" customWidth="1"/>
    <col min="4" max="11" width="7.7109375" style="12" customWidth="1"/>
    <col min="12" max="13" width="8.5703125" style="12" customWidth="1"/>
    <col min="14" max="15" width="7.7109375" style="12" customWidth="1"/>
    <col min="16" max="16" width="9.140625" style="12" customWidth="1"/>
    <col min="17" max="17" width="7.5703125" style="12" customWidth="1"/>
    <col min="18" max="18" width="8.5703125" style="12" customWidth="1"/>
    <col min="19" max="19" width="9.28515625" style="12" bestFit="1" customWidth="1"/>
    <col min="20" max="20" width="11.42578125" style="12" bestFit="1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18">
      <c r="A1" s="441" t="s">
        <v>308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</row>
    <row r="2" spans="1:22" ht="6" customHeight="1">
      <c r="A2" s="513"/>
      <c r="B2" s="514"/>
      <c r="C2" s="514"/>
      <c r="D2" s="514"/>
      <c r="E2" s="514"/>
      <c r="F2" s="514"/>
      <c r="G2" s="514"/>
      <c r="H2" s="514"/>
      <c r="I2" s="514"/>
      <c r="J2" s="208"/>
      <c r="K2" s="207"/>
      <c r="L2" s="207"/>
      <c r="M2" s="207"/>
      <c r="N2" s="207"/>
      <c r="O2" s="207"/>
      <c r="P2" s="207"/>
      <c r="Q2" s="207"/>
      <c r="R2" s="207"/>
    </row>
    <row r="3" spans="1:22" ht="35.1" customHeight="1">
      <c r="A3" s="437" t="s">
        <v>274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</row>
    <row r="4" spans="1:22" ht="84.95" customHeight="1">
      <c r="A4" s="218">
        <f>'3.1'!A4</f>
        <v>2023</v>
      </c>
      <c r="B4" s="370" t="s">
        <v>68</v>
      </c>
      <c r="C4" s="370" t="s">
        <v>69</v>
      </c>
      <c r="D4" s="370" t="s">
        <v>70</v>
      </c>
      <c r="E4" s="370" t="s">
        <v>91</v>
      </c>
      <c r="F4" s="370" t="s">
        <v>71</v>
      </c>
      <c r="G4" s="370" t="s">
        <v>72</v>
      </c>
      <c r="H4" s="370" t="s">
        <v>73</v>
      </c>
      <c r="I4" s="370" t="s">
        <v>74</v>
      </c>
      <c r="J4" s="370" t="s">
        <v>75</v>
      </c>
      <c r="K4" s="370" t="s">
        <v>76</v>
      </c>
      <c r="L4" s="370" t="s">
        <v>77</v>
      </c>
      <c r="M4" s="370" t="s">
        <v>78</v>
      </c>
      <c r="N4" s="370" t="s">
        <v>79</v>
      </c>
      <c r="O4" s="370" t="s">
        <v>80</v>
      </c>
      <c r="P4" s="370" t="s">
        <v>81</v>
      </c>
      <c r="Q4" s="370" t="s">
        <v>95</v>
      </c>
      <c r="R4" s="370" t="s">
        <v>82</v>
      </c>
    </row>
    <row r="5" spans="1:22" ht="20.100000000000001" customHeight="1">
      <c r="A5" s="176" t="s">
        <v>160</v>
      </c>
      <c r="B5" s="235">
        <v>31278.512580000002</v>
      </c>
      <c r="C5" s="235">
        <v>121713.4</v>
      </c>
      <c r="D5" s="236">
        <v>22877.1</v>
      </c>
      <c r="E5" s="236">
        <v>37291.100000000006</v>
      </c>
      <c r="F5" s="236">
        <v>35729.300000000003</v>
      </c>
      <c r="G5" s="236">
        <v>91279.186000000002</v>
      </c>
      <c r="H5" s="236">
        <v>55560.799999999996</v>
      </c>
      <c r="I5" s="236">
        <v>39408.800000000003</v>
      </c>
      <c r="J5" s="236">
        <v>41748.899999999994</v>
      </c>
      <c r="K5" s="235">
        <v>103020.06172704349</v>
      </c>
      <c r="L5" s="235">
        <v>115157.15700000001</v>
      </c>
      <c r="M5" s="236">
        <v>97307.651000000013</v>
      </c>
      <c r="N5" s="236">
        <v>36292.228410000003</v>
      </c>
      <c r="O5" s="236">
        <v>44962.6</v>
      </c>
      <c r="P5" s="236">
        <v>873626.79671704338</v>
      </c>
      <c r="Q5" s="236">
        <v>18152.813832539527</v>
      </c>
      <c r="R5" s="236">
        <v>891779.61054958287</v>
      </c>
      <c r="S5" s="56"/>
      <c r="T5" s="57"/>
      <c r="U5" s="57"/>
      <c r="V5" s="57"/>
    </row>
    <row r="6" spans="1:22" ht="20.100000000000001" customHeight="1">
      <c r="A6" s="176" t="s">
        <v>161</v>
      </c>
      <c r="B6" s="235">
        <v>29697.027830000003</v>
      </c>
      <c r="C6" s="236">
        <v>114628.9</v>
      </c>
      <c r="D6" s="236">
        <v>21745.399999999998</v>
      </c>
      <c r="E6" s="236">
        <v>36506.6</v>
      </c>
      <c r="F6" s="236">
        <v>34498.9</v>
      </c>
      <c r="G6" s="236">
        <v>90499.335000000006</v>
      </c>
      <c r="H6" s="236">
        <v>52460.2</v>
      </c>
      <c r="I6" s="236">
        <v>37843.1</v>
      </c>
      <c r="J6" s="236">
        <v>40190.899999999994</v>
      </c>
      <c r="K6" s="235">
        <v>97347.579894954179</v>
      </c>
      <c r="L6" s="236">
        <v>106198.262</v>
      </c>
      <c r="M6" s="236">
        <v>102391.95700000001</v>
      </c>
      <c r="N6" s="236">
        <v>34890.82518</v>
      </c>
      <c r="O6" s="236">
        <v>44072.6</v>
      </c>
      <c r="P6" s="236">
        <v>842971.58690495428</v>
      </c>
      <c r="Q6" s="236">
        <v>17795.721669949027</v>
      </c>
      <c r="R6" s="236">
        <v>860767.30857490329</v>
      </c>
      <c r="S6" s="58"/>
      <c r="T6" s="57"/>
      <c r="U6" s="57"/>
      <c r="V6" s="57"/>
    </row>
    <row r="7" spans="1:22" ht="20.100000000000001" customHeight="1">
      <c r="A7" s="179" t="s">
        <v>162</v>
      </c>
      <c r="B7" s="238">
        <v>26234.30948</v>
      </c>
      <c r="C7" s="239">
        <v>98264.2</v>
      </c>
      <c r="D7" s="239">
        <v>19665.7</v>
      </c>
      <c r="E7" s="239">
        <v>32068.100000000002</v>
      </c>
      <c r="F7" s="239">
        <v>30721.200000000001</v>
      </c>
      <c r="G7" s="239">
        <v>78450.795000000013</v>
      </c>
      <c r="H7" s="239">
        <v>45738.5</v>
      </c>
      <c r="I7" s="239">
        <v>33430.799999999996</v>
      </c>
      <c r="J7" s="239">
        <v>35734.199999999997</v>
      </c>
      <c r="K7" s="238">
        <v>84297.614414369527</v>
      </c>
      <c r="L7" s="239">
        <v>102911.54299999999</v>
      </c>
      <c r="M7" s="239">
        <v>94945.138999999996</v>
      </c>
      <c r="N7" s="239">
        <v>30362.961519999997</v>
      </c>
      <c r="O7" s="239">
        <v>39256.600000000006</v>
      </c>
      <c r="P7" s="239">
        <v>752081.66241436952</v>
      </c>
      <c r="Q7" s="239">
        <v>17186.378775875481</v>
      </c>
      <c r="R7" s="239">
        <v>769268.04119024496</v>
      </c>
      <c r="S7" s="59"/>
      <c r="T7" s="57"/>
      <c r="U7" s="57"/>
      <c r="V7" s="57"/>
    </row>
    <row r="8" spans="1:22" ht="20.100000000000001" customHeight="1">
      <c r="A8" s="176" t="s">
        <v>163</v>
      </c>
      <c r="B8" s="235">
        <v>21991.372780000002</v>
      </c>
      <c r="C8" s="236">
        <v>77526.3</v>
      </c>
      <c r="D8" s="236">
        <v>16023.3</v>
      </c>
      <c r="E8" s="236">
        <v>24866.100000000002</v>
      </c>
      <c r="F8" s="236">
        <v>23804.399999999998</v>
      </c>
      <c r="G8" s="236">
        <v>65941.516000000003</v>
      </c>
      <c r="H8" s="236">
        <v>36378.299999999996</v>
      </c>
      <c r="I8" s="236">
        <v>28294.5</v>
      </c>
      <c r="J8" s="236">
        <v>28927</v>
      </c>
      <c r="K8" s="235">
        <v>65162.508645217997</v>
      </c>
      <c r="L8" s="236">
        <v>85876.665999999983</v>
      </c>
      <c r="M8" s="236">
        <v>71233.026999999987</v>
      </c>
      <c r="N8" s="236">
        <v>24114.931219999999</v>
      </c>
      <c r="O8" s="236">
        <v>30116.100000000002</v>
      </c>
      <c r="P8" s="236">
        <v>600256.0216452179</v>
      </c>
      <c r="Q8" s="236">
        <v>6211.8862771392969</v>
      </c>
      <c r="R8" s="236">
        <v>606467.9079223572</v>
      </c>
      <c r="S8" s="58"/>
      <c r="T8" s="57"/>
      <c r="U8" s="57"/>
      <c r="V8" s="57"/>
    </row>
    <row r="9" spans="1:22" ht="20.100000000000001" customHeight="1">
      <c r="A9" s="176" t="s">
        <v>164</v>
      </c>
      <c r="B9" s="235">
        <v>13095.125610000001</v>
      </c>
      <c r="C9" s="236">
        <v>40291.800000000003</v>
      </c>
      <c r="D9" s="236">
        <v>10651.8</v>
      </c>
      <c r="E9" s="236">
        <v>14655.599999999999</v>
      </c>
      <c r="F9" s="236">
        <v>14502.2</v>
      </c>
      <c r="G9" s="236">
        <v>47854.303999999996</v>
      </c>
      <c r="H9" s="236">
        <v>21874.400000000001</v>
      </c>
      <c r="I9" s="236">
        <v>16739</v>
      </c>
      <c r="J9" s="236">
        <v>17804.300000000003</v>
      </c>
      <c r="K9" s="235">
        <v>31103.850063851471</v>
      </c>
      <c r="L9" s="236">
        <v>48817.525000000001</v>
      </c>
      <c r="M9" s="236">
        <v>53724.435999999994</v>
      </c>
      <c r="N9" s="236">
        <v>14148.167390000001</v>
      </c>
      <c r="O9" s="236">
        <v>17594.599999999999</v>
      </c>
      <c r="P9" s="236">
        <v>362857.10806385142</v>
      </c>
      <c r="Q9" s="236">
        <v>5996.9003121314117</v>
      </c>
      <c r="R9" s="236">
        <v>368854.00837598281</v>
      </c>
      <c r="S9" s="58"/>
      <c r="T9" s="57"/>
      <c r="U9" s="57"/>
      <c r="V9" s="57"/>
    </row>
    <row r="10" spans="1:22" ht="20.100000000000001" customHeight="1">
      <c r="A10" s="179" t="s">
        <v>165</v>
      </c>
      <c r="B10" s="238">
        <v>10103.054770000001</v>
      </c>
      <c r="C10" s="239">
        <v>26180.7</v>
      </c>
      <c r="D10" s="239">
        <v>9534.5000000000018</v>
      </c>
      <c r="E10" s="239">
        <v>10151.800000000001</v>
      </c>
      <c r="F10" s="239">
        <v>10071.1</v>
      </c>
      <c r="G10" s="239">
        <v>37453.051999999996</v>
      </c>
      <c r="H10" s="239">
        <v>15746.9</v>
      </c>
      <c r="I10" s="239">
        <v>12732.1</v>
      </c>
      <c r="J10" s="239">
        <v>13161.7</v>
      </c>
      <c r="K10" s="238">
        <v>18367.395025410795</v>
      </c>
      <c r="L10" s="239">
        <v>37845.222999999998</v>
      </c>
      <c r="M10" s="239">
        <v>87503.026999999987</v>
      </c>
      <c r="N10" s="239">
        <v>9664.3112300000012</v>
      </c>
      <c r="O10" s="239">
        <v>13898.6</v>
      </c>
      <c r="P10" s="239">
        <v>312413.46302541078</v>
      </c>
      <c r="Q10" s="239">
        <v>1539.6886030559683</v>
      </c>
      <c r="R10" s="239">
        <v>313953.15162846673</v>
      </c>
      <c r="S10" s="58"/>
      <c r="T10" s="57"/>
      <c r="U10" s="57"/>
      <c r="V10" s="57"/>
    </row>
    <row r="11" spans="1:22" ht="20.100000000000001" customHeight="1">
      <c r="A11" s="176" t="s">
        <v>166</v>
      </c>
      <c r="B11" s="235">
        <v>7498.2486400000007</v>
      </c>
      <c r="C11" s="236">
        <v>23488.9</v>
      </c>
      <c r="D11" s="236">
        <v>7914.7</v>
      </c>
      <c r="E11" s="236">
        <v>7931.8</v>
      </c>
      <c r="F11" s="236">
        <v>7626.5000000000009</v>
      </c>
      <c r="G11" s="236">
        <v>33637.406999999999</v>
      </c>
      <c r="H11" s="236">
        <v>13645.300000000001</v>
      </c>
      <c r="I11" s="236">
        <v>12874</v>
      </c>
      <c r="J11" s="236">
        <v>11053.400000000001</v>
      </c>
      <c r="K11" s="235">
        <v>17589.263062682734</v>
      </c>
      <c r="L11" s="236">
        <v>39265.481999999996</v>
      </c>
      <c r="M11" s="236">
        <v>77968</v>
      </c>
      <c r="N11" s="236">
        <v>8201.8333600000005</v>
      </c>
      <c r="O11" s="236">
        <v>11021.8</v>
      </c>
      <c r="P11" s="236">
        <v>279716.63406268274</v>
      </c>
      <c r="Q11" s="236">
        <v>1450.9984921262626</v>
      </c>
      <c r="R11" s="236">
        <v>281167.63255480898</v>
      </c>
      <c r="S11" s="58"/>
      <c r="T11" s="57"/>
      <c r="U11" s="57"/>
      <c r="V11" s="57"/>
    </row>
    <row r="12" spans="1:22" ht="20.100000000000001" customHeight="1">
      <c r="A12" s="176" t="s">
        <v>167</v>
      </c>
      <c r="B12" s="235">
        <v>8642.0651900000012</v>
      </c>
      <c r="C12" s="236">
        <v>24762</v>
      </c>
      <c r="D12" s="236">
        <v>8355.2000000000007</v>
      </c>
      <c r="E12" s="236">
        <v>9802.4</v>
      </c>
      <c r="F12" s="236">
        <v>8956.7999999999993</v>
      </c>
      <c r="G12" s="236">
        <v>31627.91</v>
      </c>
      <c r="H12" s="236">
        <v>14855.299999999997</v>
      </c>
      <c r="I12" s="236">
        <v>13587.399999999998</v>
      </c>
      <c r="J12" s="236">
        <v>12065.2</v>
      </c>
      <c r="K12" s="235">
        <v>16593.340768669295</v>
      </c>
      <c r="L12" s="236">
        <v>43379.415999999997</v>
      </c>
      <c r="M12" s="236">
        <v>72642.151999999987</v>
      </c>
      <c r="N12" s="236">
        <v>9782.1398199999985</v>
      </c>
      <c r="O12" s="236">
        <v>12253.100000000002</v>
      </c>
      <c r="P12" s="236">
        <v>287304.42377866927</v>
      </c>
      <c r="Q12" s="236">
        <v>317.0701988414894</v>
      </c>
      <c r="R12" s="236">
        <v>287621.49397751078</v>
      </c>
      <c r="S12" s="58"/>
      <c r="T12" s="57"/>
      <c r="U12" s="57"/>
      <c r="V12" s="57"/>
    </row>
    <row r="13" spans="1:22" ht="20.100000000000001" customHeight="1">
      <c r="A13" s="179" t="s">
        <v>168</v>
      </c>
      <c r="B13" s="238">
        <v>8769.3216499999999</v>
      </c>
      <c r="C13" s="239">
        <v>23903.8</v>
      </c>
      <c r="D13" s="239">
        <v>7648.0999999999995</v>
      </c>
      <c r="E13" s="239">
        <v>9837.6</v>
      </c>
      <c r="F13" s="239">
        <v>9207.7000000000007</v>
      </c>
      <c r="G13" s="239">
        <v>38514.176999999996</v>
      </c>
      <c r="H13" s="239">
        <v>14978.8</v>
      </c>
      <c r="I13" s="239">
        <v>12430.300000000001</v>
      </c>
      <c r="J13" s="239">
        <v>13183.299999999997</v>
      </c>
      <c r="K13" s="238">
        <v>17462.966013485595</v>
      </c>
      <c r="L13" s="239">
        <v>46157.972000000009</v>
      </c>
      <c r="M13" s="239">
        <v>77280.572</v>
      </c>
      <c r="N13" s="239">
        <v>9397.843350000001</v>
      </c>
      <c r="O13" s="239">
        <v>12243.900000000001</v>
      </c>
      <c r="P13" s="239">
        <v>301016.35201348562</v>
      </c>
      <c r="Q13" s="239">
        <v>1252.4761526624006</v>
      </c>
      <c r="R13" s="239">
        <v>302268.82816614804</v>
      </c>
      <c r="S13" s="58"/>
      <c r="T13" s="57"/>
      <c r="U13" s="57"/>
      <c r="V13" s="57"/>
    </row>
    <row r="14" spans="1:22" ht="20.100000000000001" customHeight="1">
      <c r="A14" s="176" t="s">
        <v>169</v>
      </c>
      <c r="B14" s="235">
        <v>14806.035640000002</v>
      </c>
      <c r="C14" s="236">
        <v>53367.499999999993</v>
      </c>
      <c r="D14" s="236">
        <v>12203.600000000002</v>
      </c>
      <c r="E14" s="236">
        <v>18822.300000000003</v>
      </c>
      <c r="F14" s="236">
        <v>16349.300000000001</v>
      </c>
      <c r="G14" s="236">
        <v>53264.099000000017</v>
      </c>
      <c r="H14" s="236">
        <v>27099.8</v>
      </c>
      <c r="I14" s="236">
        <v>18635.999999999996</v>
      </c>
      <c r="J14" s="236">
        <v>20753</v>
      </c>
      <c r="K14" s="235">
        <v>40048.97621749332</v>
      </c>
      <c r="L14" s="236">
        <v>68023.48</v>
      </c>
      <c r="M14" s="236">
        <v>79902.61</v>
      </c>
      <c r="N14" s="236">
        <v>16941.23775</v>
      </c>
      <c r="O14" s="236">
        <v>19776.7</v>
      </c>
      <c r="P14" s="236">
        <v>459994.63860749331</v>
      </c>
      <c r="Q14" s="236">
        <v>5546.8543719377476</v>
      </c>
      <c r="R14" s="236">
        <v>465541.49297943106</v>
      </c>
      <c r="S14" s="58"/>
      <c r="T14" s="57"/>
      <c r="U14" s="57"/>
      <c r="V14" s="57"/>
    </row>
    <row r="15" spans="1:22" ht="20.100000000000001" customHeight="1">
      <c r="A15" s="176" t="s">
        <v>170</v>
      </c>
      <c r="B15" s="235">
        <v>24848.485140000001</v>
      </c>
      <c r="C15" s="236">
        <v>96846.900000000009</v>
      </c>
      <c r="D15" s="236">
        <v>22770.799999999999</v>
      </c>
      <c r="E15" s="236">
        <v>31411.800000000003</v>
      </c>
      <c r="F15" s="236">
        <v>29974.1</v>
      </c>
      <c r="G15" s="236">
        <v>79359.262000000002</v>
      </c>
      <c r="H15" s="236">
        <v>45313.4</v>
      </c>
      <c r="I15" s="236">
        <v>32386.800000000003</v>
      </c>
      <c r="J15" s="236">
        <v>33586.400000000001</v>
      </c>
      <c r="K15" s="235">
        <v>82964.247862867662</v>
      </c>
      <c r="L15" s="236">
        <v>95670.291000000012</v>
      </c>
      <c r="M15" s="236">
        <v>79743.194999999992</v>
      </c>
      <c r="N15" s="236">
        <v>29320.881840000002</v>
      </c>
      <c r="O15" s="236">
        <v>37074.600000000006</v>
      </c>
      <c r="P15" s="236">
        <v>721271.16284286766</v>
      </c>
      <c r="Q15" s="236">
        <v>9843.1043431659473</v>
      </c>
      <c r="R15" s="236">
        <v>731114.26718603366</v>
      </c>
      <c r="S15" s="58"/>
      <c r="T15" s="57"/>
      <c r="U15" s="57"/>
      <c r="V15" s="57"/>
    </row>
    <row r="16" spans="1:22" ht="20.100000000000001" customHeight="1">
      <c r="A16" s="179" t="s">
        <v>171</v>
      </c>
      <c r="B16" s="238">
        <v>29704.590910000003</v>
      </c>
      <c r="C16" s="239">
        <v>124624.4</v>
      </c>
      <c r="D16" s="239">
        <v>23270.9</v>
      </c>
      <c r="E16" s="239">
        <v>36444.400000000001</v>
      </c>
      <c r="F16" s="239">
        <v>36537.300000000003</v>
      </c>
      <c r="G16" s="239">
        <v>91714.315000000002</v>
      </c>
      <c r="H16" s="239">
        <v>53970.999999999993</v>
      </c>
      <c r="I16" s="239">
        <v>39432.200000000004</v>
      </c>
      <c r="J16" s="239">
        <v>38084.200000000004</v>
      </c>
      <c r="K16" s="238">
        <v>104891.88793294679</v>
      </c>
      <c r="L16" s="239">
        <v>112916.823</v>
      </c>
      <c r="M16" s="239">
        <v>92931.738999999987</v>
      </c>
      <c r="N16" s="239">
        <v>36170.158089999997</v>
      </c>
      <c r="O16" s="239">
        <v>45951.199999999997</v>
      </c>
      <c r="P16" s="239">
        <v>866645.1139329467</v>
      </c>
      <c r="Q16" s="239">
        <v>13157.606677814621</v>
      </c>
      <c r="R16" s="239">
        <v>879802.72061076132</v>
      </c>
      <c r="S16" s="58"/>
      <c r="T16" s="57"/>
      <c r="U16" s="57"/>
      <c r="V16" s="57"/>
    </row>
    <row r="17" spans="1:22" ht="20.100000000000001" customHeight="1">
      <c r="A17" s="176" t="s">
        <v>48</v>
      </c>
      <c r="B17" s="235">
        <f>SUM(B5:B7)</f>
        <v>87209.849889999998</v>
      </c>
      <c r="C17" s="235">
        <f>SUM(C5:C7)</f>
        <v>334606.5</v>
      </c>
      <c r="D17" s="235">
        <f t="shared" ref="D17:J17" si="0">SUM(D5:D7)</f>
        <v>64288.2</v>
      </c>
      <c r="E17" s="235">
        <f t="shared" si="0"/>
        <v>105865.80000000002</v>
      </c>
      <c r="F17" s="235">
        <f t="shared" si="0"/>
        <v>100949.40000000001</v>
      </c>
      <c r="G17" s="235">
        <f t="shared" si="0"/>
        <v>260229.31600000002</v>
      </c>
      <c r="H17" s="235">
        <f t="shared" si="0"/>
        <v>153759.5</v>
      </c>
      <c r="I17" s="235">
        <f t="shared" si="0"/>
        <v>110682.69999999998</v>
      </c>
      <c r="J17" s="235">
        <f t="shared" si="0"/>
        <v>117673.99999999999</v>
      </c>
      <c r="K17" s="235">
        <f>SUM(K5:K7)</f>
        <v>284665.25603636721</v>
      </c>
      <c r="L17" s="235">
        <f t="shared" ref="L17:R17" si="1">SUM(L5:L7)</f>
        <v>324266.962</v>
      </c>
      <c r="M17" s="235">
        <f t="shared" si="1"/>
        <v>294644.74699999997</v>
      </c>
      <c r="N17" s="235">
        <f t="shared" si="1"/>
        <v>101546.01510999999</v>
      </c>
      <c r="O17" s="235">
        <f t="shared" si="1"/>
        <v>128291.8</v>
      </c>
      <c r="P17" s="235">
        <f t="shared" si="1"/>
        <v>2468680.0460363673</v>
      </c>
      <c r="Q17" s="235">
        <f t="shared" si="1"/>
        <v>53134.914278364027</v>
      </c>
      <c r="R17" s="235">
        <f t="shared" si="1"/>
        <v>2521814.9603147311</v>
      </c>
    </row>
    <row r="18" spans="1:22" ht="20.100000000000001" customHeight="1">
      <c r="A18" s="176" t="s">
        <v>56</v>
      </c>
      <c r="B18" s="235">
        <f>SUM(B8:B10)</f>
        <v>45189.553160000003</v>
      </c>
      <c r="C18" s="235">
        <f>SUM(C8:C10)</f>
        <v>143998.80000000002</v>
      </c>
      <c r="D18" s="235">
        <f t="shared" ref="D18:J18" si="2">SUM(D8:D10)</f>
        <v>36209.599999999999</v>
      </c>
      <c r="E18" s="235">
        <f t="shared" si="2"/>
        <v>49673.5</v>
      </c>
      <c r="F18" s="235">
        <f t="shared" si="2"/>
        <v>48377.7</v>
      </c>
      <c r="G18" s="235">
        <f t="shared" si="2"/>
        <v>151248.872</v>
      </c>
      <c r="H18" s="235">
        <f t="shared" si="2"/>
        <v>73999.599999999991</v>
      </c>
      <c r="I18" s="235">
        <f t="shared" si="2"/>
        <v>57765.599999999999</v>
      </c>
      <c r="J18" s="235">
        <f t="shared" si="2"/>
        <v>59893</v>
      </c>
      <c r="K18" s="235">
        <f>SUM(K8:K10)</f>
        <v>114633.75373448025</v>
      </c>
      <c r="L18" s="235">
        <f t="shared" ref="L18:R18" si="3">SUM(L8:L10)</f>
        <v>172539.41399999999</v>
      </c>
      <c r="M18" s="235">
        <f t="shared" si="3"/>
        <v>212460.49</v>
      </c>
      <c r="N18" s="235">
        <f t="shared" si="3"/>
        <v>47927.40984</v>
      </c>
      <c r="O18" s="235">
        <f t="shared" si="3"/>
        <v>61609.299999999996</v>
      </c>
      <c r="P18" s="235">
        <f t="shared" si="3"/>
        <v>1275526.5927344803</v>
      </c>
      <c r="Q18" s="235">
        <f t="shared" si="3"/>
        <v>13748.475192326678</v>
      </c>
      <c r="R18" s="235">
        <f t="shared" si="3"/>
        <v>1289275.0679268069</v>
      </c>
    </row>
    <row r="19" spans="1:22" ht="20.100000000000001" customHeight="1">
      <c r="A19" s="176" t="s">
        <v>63</v>
      </c>
      <c r="B19" s="235">
        <f>SUM(B11:B13)</f>
        <v>24909.635480000004</v>
      </c>
      <c r="C19" s="235">
        <f>SUM(C11:C13)</f>
        <v>72154.7</v>
      </c>
      <c r="D19" s="235">
        <f t="shared" ref="D19:J19" si="4">SUM(D11:D13)</f>
        <v>23918</v>
      </c>
      <c r="E19" s="235">
        <f t="shared" si="4"/>
        <v>27571.800000000003</v>
      </c>
      <c r="F19" s="235">
        <f t="shared" si="4"/>
        <v>25791</v>
      </c>
      <c r="G19" s="235">
        <f t="shared" si="4"/>
        <v>103779.49399999999</v>
      </c>
      <c r="H19" s="235">
        <f t="shared" si="4"/>
        <v>43479.399999999994</v>
      </c>
      <c r="I19" s="235">
        <f t="shared" si="4"/>
        <v>38891.699999999997</v>
      </c>
      <c r="J19" s="235">
        <f t="shared" si="4"/>
        <v>36301.9</v>
      </c>
      <c r="K19" s="235">
        <f>SUM(K11:K13)</f>
        <v>51645.569844837621</v>
      </c>
      <c r="L19" s="235">
        <f t="shared" ref="L19:R19" si="5">SUM(L11:L13)</f>
        <v>128802.87</v>
      </c>
      <c r="M19" s="235">
        <f t="shared" si="5"/>
        <v>227890.72399999999</v>
      </c>
      <c r="N19" s="235">
        <f t="shared" si="5"/>
        <v>27381.816530000004</v>
      </c>
      <c r="O19" s="235">
        <f t="shared" si="5"/>
        <v>35518.800000000003</v>
      </c>
      <c r="P19" s="235">
        <f t="shared" si="5"/>
        <v>868037.40985483758</v>
      </c>
      <c r="Q19" s="235">
        <f t="shared" si="5"/>
        <v>3020.5448436301526</v>
      </c>
      <c r="R19" s="235">
        <f t="shared" si="5"/>
        <v>871057.95469846774</v>
      </c>
    </row>
    <row r="20" spans="1:22" ht="20.100000000000001" customHeight="1">
      <c r="A20" s="179" t="s">
        <v>57</v>
      </c>
      <c r="B20" s="238">
        <f>SUM(B14:B16)</f>
        <v>69359.111690000005</v>
      </c>
      <c r="C20" s="238">
        <f>SUM(C14:C16)</f>
        <v>274838.8</v>
      </c>
      <c r="D20" s="238">
        <f t="shared" ref="D20:J20" si="6">SUM(D14:D16)</f>
        <v>58245.3</v>
      </c>
      <c r="E20" s="238">
        <f t="shared" si="6"/>
        <v>86678.5</v>
      </c>
      <c r="F20" s="238">
        <f t="shared" si="6"/>
        <v>82860.700000000012</v>
      </c>
      <c r="G20" s="238">
        <f t="shared" si="6"/>
        <v>224337.67600000004</v>
      </c>
      <c r="H20" s="238">
        <f t="shared" si="6"/>
        <v>126384.19999999998</v>
      </c>
      <c r="I20" s="238">
        <f t="shared" si="6"/>
        <v>90455</v>
      </c>
      <c r="J20" s="238">
        <f t="shared" si="6"/>
        <v>92423.6</v>
      </c>
      <c r="K20" s="238">
        <f>SUM(K14:K16)</f>
        <v>227905.11201330778</v>
      </c>
      <c r="L20" s="238">
        <f t="shared" ref="L20:R20" si="7">SUM(L14:L16)</f>
        <v>276610.59400000004</v>
      </c>
      <c r="M20" s="238">
        <f t="shared" si="7"/>
        <v>252577.54399999999</v>
      </c>
      <c r="N20" s="238">
        <f t="shared" si="7"/>
        <v>82432.277679999999</v>
      </c>
      <c r="O20" s="238">
        <f t="shared" si="7"/>
        <v>102802.5</v>
      </c>
      <c r="P20" s="238">
        <f t="shared" si="7"/>
        <v>2047910.9153833077</v>
      </c>
      <c r="Q20" s="238">
        <f t="shared" si="7"/>
        <v>28547.565392918317</v>
      </c>
      <c r="R20" s="238">
        <f t="shared" si="7"/>
        <v>2076458.4807762259</v>
      </c>
    </row>
    <row r="21" spans="1:22" ht="20.100000000000001" customHeight="1">
      <c r="A21" s="176" t="s">
        <v>58</v>
      </c>
      <c r="B21" s="235">
        <f>SUM(B5:B10)</f>
        <v>132399.40304999999</v>
      </c>
      <c r="C21" s="235">
        <f>SUM(C5:C10)</f>
        <v>478605.3</v>
      </c>
      <c r="D21" s="235">
        <f t="shared" ref="D21:J21" si="8">SUM(D5:D10)</f>
        <v>100497.8</v>
      </c>
      <c r="E21" s="235">
        <f t="shared" si="8"/>
        <v>155539.30000000002</v>
      </c>
      <c r="F21" s="235">
        <f t="shared" si="8"/>
        <v>149327.1</v>
      </c>
      <c r="G21" s="235">
        <f t="shared" si="8"/>
        <v>411478.18800000008</v>
      </c>
      <c r="H21" s="235">
        <f t="shared" si="8"/>
        <v>227759.09999999998</v>
      </c>
      <c r="I21" s="235">
        <f t="shared" si="8"/>
        <v>168448.3</v>
      </c>
      <c r="J21" s="235">
        <f t="shared" si="8"/>
        <v>177567</v>
      </c>
      <c r="K21" s="235">
        <f>SUM(K5:K10)</f>
        <v>399299.00977084745</v>
      </c>
      <c r="L21" s="235">
        <f t="shared" ref="L21:R21" si="9">SUM(L5:L10)</f>
        <v>496806.37599999999</v>
      </c>
      <c r="M21" s="235">
        <f t="shared" si="9"/>
        <v>507105.23699999996</v>
      </c>
      <c r="N21" s="235">
        <f t="shared" si="9"/>
        <v>149473.42494999999</v>
      </c>
      <c r="O21" s="235">
        <f t="shared" si="9"/>
        <v>189901.1</v>
      </c>
      <c r="P21" s="235">
        <f t="shared" si="9"/>
        <v>3744206.6387708476</v>
      </c>
      <c r="Q21" s="235">
        <f t="shared" si="9"/>
        <v>66883.389470690701</v>
      </c>
      <c r="R21" s="235">
        <f t="shared" si="9"/>
        <v>3811090.028241538</v>
      </c>
    </row>
    <row r="22" spans="1:22" ht="20.100000000000001" customHeight="1">
      <c r="A22" s="179" t="s">
        <v>59</v>
      </c>
      <c r="B22" s="238">
        <f>SUM(B11:B16)</f>
        <v>94268.747170000002</v>
      </c>
      <c r="C22" s="238">
        <f>SUM(C11:C16)</f>
        <v>346993.5</v>
      </c>
      <c r="D22" s="238">
        <f t="shared" ref="D22:J22" si="10">SUM(D11:D16)</f>
        <v>82163.300000000017</v>
      </c>
      <c r="E22" s="238">
        <f t="shared" si="10"/>
        <v>114250.30000000002</v>
      </c>
      <c r="F22" s="238">
        <f t="shared" si="10"/>
        <v>108651.7</v>
      </c>
      <c r="G22" s="238">
        <f t="shared" si="10"/>
        <v>328117.17</v>
      </c>
      <c r="H22" s="238">
        <f t="shared" si="10"/>
        <v>169863.6</v>
      </c>
      <c r="I22" s="238">
        <f t="shared" si="10"/>
        <v>129346.70000000001</v>
      </c>
      <c r="J22" s="238">
        <f t="shared" si="10"/>
        <v>128725.5</v>
      </c>
      <c r="K22" s="238">
        <f>SUM(K11:K16)</f>
        <v>279550.6818581454</v>
      </c>
      <c r="L22" s="238">
        <f t="shared" ref="L22:R22" si="11">SUM(L11:L16)</f>
        <v>405413.46400000004</v>
      </c>
      <c r="M22" s="238">
        <f t="shared" si="11"/>
        <v>480468.26799999998</v>
      </c>
      <c r="N22" s="238">
        <f t="shared" si="11"/>
        <v>109814.09421</v>
      </c>
      <c r="O22" s="238">
        <f t="shared" si="11"/>
        <v>138321.29999999999</v>
      </c>
      <c r="P22" s="238">
        <f t="shared" si="11"/>
        <v>2915948.325238145</v>
      </c>
      <c r="Q22" s="238">
        <f t="shared" si="11"/>
        <v>31568.110236548469</v>
      </c>
      <c r="R22" s="238">
        <f t="shared" si="11"/>
        <v>2947516.4354746938</v>
      </c>
    </row>
    <row r="23" spans="1:22" ht="20.100000000000001" customHeight="1">
      <c r="A23" s="216" t="s">
        <v>172</v>
      </c>
      <c r="B23" s="401">
        <f>SUM(B5:B16)</f>
        <v>226668.15021999998</v>
      </c>
      <c r="C23" s="401">
        <f>SUM(C5:C16)</f>
        <v>825598.8</v>
      </c>
      <c r="D23" s="401">
        <f t="shared" ref="D23:J23" si="12">SUM(D5:D16)</f>
        <v>182661.09999999998</v>
      </c>
      <c r="E23" s="401">
        <f t="shared" si="12"/>
        <v>269789.60000000003</v>
      </c>
      <c r="F23" s="401">
        <f t="shared" si="12"/>
        <v>257978.8</v>
      </c>
      <c r="G23" s="401">
        <f t="shared" si="12"/>
        <v>739595.35800000001</v>
      </c>
      <c r="H23" s="401">
        <f t="shared" si="12"/>
        <v>397622.69999999995</v>
      </c>
      <c r="I23" s="401">
        <f t="shared" si="12"/>
        <v>297795</v>
      </c>
      <c r="J23" s="401">
        <f t="shared" si="12"/>
        <v>306292.5</v>
      </c>
      <c r="K23" s="401">
        <f>SUM(K5:K16)</f>
        <v>678849.69162899279</v>
      </c>
      <c r="L23" s="401">
        <f t="shared" ref="L23:R23" si="13">SUM(L5:L16)</f>
        <v>902219.84</v>
      </c>
      <c r="M23" s="401">
        <f t="shared" si="13"/>
        <v>987573.50499999989</v>
      </c>
      <c r="N23" s="401">
        <f t="shared" si="13"/>
        <v>259287.51915999997</v>
      </c>
      <c r="O23" s="401">
        <f t="shared" si="13"/>
        <v>328222.40000000002</v>
      </c>
      <c r="P23" s="401">
        <f t="shared" si="13"/>
        <v>6660154.9640089935</v>
      </c>
      <c r="Q23" s="401">
        <f t="shared" si="13"/>
        <v>98451.499707239185</v>
      </c>
      <c r="R23" s="401">
        <f t="shared" si="13"/>
        <v>6758606.4637162313</v>
      </c>
    </row>
    <row r="25" spans="1:22" ht="12" customHeight="1">
      <c r="A25" s="60"/>
      <c r="B25" s="60"/>
      <c r="C25" s="60"/>
      <c r="H25" s="60"/>
      <c r="I25" s="60"/>
      <c r="J25" s="60"/>
      <c r="K25" s="60"/>
      <c r="O25" s="60"/>
      <c r="P25" s="60"/>
      <c r="Q25" s="60"/>
      <c r="R25" s="60"/>
    </row>
    <row r="26" spans="1:22" ht="12" customHeight="1">
      <c r="E26" s="63"/>
      <c r="F26" s="63"/>
      <c r="G26" s="63"/>
      <c r="H26" s="63"/>
      <c r="L26" s="63"/>
      <c r="M26" s="63"/>
      <c r="N26" s="63"/>
    </row>
    <row r="27" spans="1:22" ht="12" customHeight="1">
      <c r="E27" s="63"/>
      <c r="F27" s="63"/>
      <c r="G27" s="63"/>
      <c r="L27" s="63"/>
      <c r="M27" s="63"/>
      <c r="N27" s="63"/>
    </row>
    <row r="28" spans="1:22" ht="12" customHeight="1">
      <c r="E28" s="63"/>
      <c r="F28" s="63"/>
      <c r="G28" s="63"/>
      <c r="L28" s="63"/>
      <c r="M28" s="63"/>
      <c r="N28" s="63"/>
    </row>
    <row r="29" spans="1:22" ht="35.1" customHeight="1">
      <c r="A29" s="437" t="s">
        <v>194</v>
      </c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7"/>
    </row>
    <row r="30" spans="1:22" ht="84.95" customHeight="1">
      <c r="A30" s="218">
        <f>A4</f>
        <v>2023</v>
      </c>
      <c r="B30" s="370" t="s">
        <v>68</v>
      </c>
      <c r="C30" s="370" t="s">
        <v>69</v>
      </c>
      <c r="D30" s="370" t="s">
        <v>70</v>
      </c>
      <c r="E30" s="370" t="s">
        <v>91</v>
      </c>
      <c r="F30" s="370" t="s">
        <v>71</v>
      </c>
      <c r="G30" s="370" t="s">
        <v>72</v>
      </c>
      <c r="H30" s="370" t="s">
        <v>73</v>
      </c>
      <c r="I30" s="370" t="s">
        <v>74</v>
      </c>
      <c r="J30" s="370" t="s">
        <v>75</v>
      </c>
      <c r="K30" s="370" t="s">
        <v>76</v>
      </c>
      <c r="L30" s="370" t="s">
        <v>77</v>
      </c>
      <c r="M30" s="370" t="s">
        <v>78</v>
      </c>
      <c r="N30" s="370" t="s">
        <v>79</v>
      </c>
      <c r="O30" s="370" t="s">
        <v>80</v>
      </c>
      <c r="P30" s="370" t="s">
        <v>81</v>
      </c>
      <c r="Q30" s="370" t="s">
        <v>95</v>
      </c>
      <c r="R30" s="370" t="s">
        <v>82</v>
      </c>
    </row>
    <row r="31" spans="1:22" ht="20.100000000000001" customHeight="1">
      <c r="A31" s="176" t="s">
        <v>160</v>
      </c>
      <c r="B31" s="235">
        <v>342082.37362999999</v>
      </c>
      <c r="C31" s="235">
        <v>1325250.2110600001</v>
      </c>
      <c r="D31" s="236">
        <v>249092.99982999996</v>
      </c>
      <c r="E31" s="236">
        <v>406036.90437</v>
      </c>
      <c r="F31" s="236">
        <v>389031.01834000013</v>
      </c>
      <c r="G31" s="236">
        <v>993549.01579999994</v>
      </c>
      <c r="H31" s="236">
        <v>604961.31299000001</v>
      </c>
      <c r="I31" s="236">
        <v>429093.55025999999</v>
      </c>
      <c r="J31" s="236">
        <v>454573.99345999997</v>
      </c>
      <c r="K31" s="235">
        <v>1123199.00556</v>
      </c>
      <c r="L31" s="235">
        <v>1253933.2459799997</v>
      </c>
      <c r="M31" s="236">
        <v>1060984.26413</v>
      </c>
      <c r="N31" s="236">
        <v>395379.77189999993</v>
      </c>
      <c r="O31" s="236">
        <v>489565.96096</v>
      </c>
      <c r="P31" s="236">
        <v>9516733.6282700002</v>
      </c>
      <c r="Q31" s="236">
        <v>197829.66727999997</v>
      </c>
      <c r="R31" s="236">
        <v>9714563.2955499999</v>
      </c>
      <c r="S31" s="56"/>
      <c r="T31" s="57"/>
      <c r="U31" s="57"/>
      <c r="V31" s="57"/>
    </row>
    <row r="32" spans="1:22" ht="20.100000000000001" customHeight="1">
      <c r="A32" s="176" t="s">
        <v>161</v>
      </c>
      <c r="B32" s="235">
        <v>322292.52504000004</v>
      </c>
      <c r="C32" s="236">
        <v>1242631.3842999998</v>
      </c>
      <c r="D32" s="236">
        <v>235730.08976000003</v>
      </c>
      <c r="E32" s="236">
        <v>395748.6593</v>
      </c>
      <c r="F32" s="236">
        <v>373984.91698000004</v>
      </c>
      <c r="G32" s="236">
        <v>980756.02682999999</v>
      </c>
      <c r="H32" s="236">
        <v>568693.48241000006</v>
      </c>
      <c r="I32" s="236">
        <v>410236.84523999994</v>
      </c>
      <c r="J32" s="236">
        <v>435689.14918000001</v>
      </c>
      <c r="K32" s="235">
        <v>1060509.0729099999</v>
      </c>
      <c r="L32" s="236">
        <v>1151242.9951269999</v>
      </c>
      <c r="M32" s="236">
        <v>1114683.33161</v>
      </c>
      <c r="N32" s="236">
        <v>378285.47201999993</v>
      </c>
      <c r="O32" s="236">
        <v>477768.37594000006</v>
      </c>
      <c r="P32" s="236">
        <v>9148252.3266470004</v>
      </c>
      <c r="Q32" s="236">
        <v>193137.02434900001</v>
      </c>
      <c r="R32" s="236">
        <v>9341389.3509960007</v>
      </c>
      <c r="S32" s="58"/>
      <c r="T32" s="57"/>
      <c r="U32" s="57"/>
      <c r="V32" s="57"/>
    </row>
    <row r="33" spans="1:22" ht="20.100000000000001" customHeight="1">
      <c r="A33" s="179" t="s">
        <v>162</v>
      </c>
      <c r="B33" s="238">
        <v>286703.54693000001</v>
      </c>
      <c r="C33" s="239">
        <v>1064220.4136000001</v>
      </c>
      <c r="D33" s="239">
        <v>212983.22906000001</v>
      </c>
      <c r="E33" s="239">
        <v>347304.72019000002</v>
      </c>
      <c r="F33" s="239">
        <v>332717.10668000003</v>
      </c>
      <c r="G33" s="239">
        <v>849349.03387999989</v>
      </c>
      <c r="H33" s="239">
        <v>495356.79458000005</v>
      </c>
      <c r="I33" s="239">
        <v>362061.79564999999</v>
      </c>
      <c r="J33" s="239">
        <v>387008.15719</v>
      </c>
      <c r="K33" s="238">
        <v>916113.72104895429</v>
      </c>
      <c r="L33" s="239">
        <v>1114817.1192209998</v>
      </c>
      <c r="M33" s="239">
        <v>1030673.1590299999</v>
      </c>
      <c r="N33" s="239">
        <v>329213.30933999998</v>
      </c>
      <c r="O33" s="239">
        <v>425158.09473000001</v>
      </c>
      <c r="P33" s="239">
        <v>8153680.2011299534</v>
      </c>
      <c r="Q33" s="239">
        <v>186339.213552</v>
      </c>
      <c r="R33" s="239">
        <v>8340019.4146819534</v>
      </c>
      <c r="S33" s="59"/>
      <c r="T33" s="57"/>
      <c r="U33" s="57"/>
      <c r="V33" s="57"/>
    </row>
    <row r="34" spans="1:22" ht="20.100000000000001" customHeight="1">
      <c r="A34" s="176" t="s">
        <v>163</v>
      </c>
      <c r="B34" s="235">
        <v>239755.45045</v>
      </c>
      <c r="C34" s="236">
        <v>845423.80909999995</v>
      </c>
      <c r="D34" s="236">
        <v>174733.95210999998</v>
      </c>
      <c r="E34" s="236">
        <v>271164.48214999994</v>
      </c>
      <c r="F34" s="236">
        <v>259586.97500000003</v>
      </c>
      <c r="G34" s="236">
        <v>718801.64271000016</v>
      </c>
      <c r="H34" s="236">
        <v>396704.14453999995</v>
      </c>
      <c r="I34" s="236">
        <v>308552.05262999999</v>
      </c>
      <c r="J34" s="236">
        <v>315448.53175000002</v>
      </c>
      <c r="K34" s="235">
        <v>712579.62659095961</v>
      </c>
      <c r="L34" s="236">
        <v>936420.20528900018</v>
      </c>
      <c r="M34" s="236">
        <v>777106.9124309998</v>
      </c>
      <c r="N34" s="236">
        <v>262963.93136000005</v>
      </c>
      <c r="O34" s="236">
        <v>328415.35399999999</v>
      </c>
      <c r="P34" s="236">
        <v>6547657.070110959</v>
      </c>
      <c r="Q34" s="236">
        <v>67858.734327000042</v>
      </c>
      <c r="R34" s="236">
        <v>6615515.8044379586</v>
      </c>
      <c r="S34" s="58"/>
      <c r="T34" s="57"/>
      <c r="U34" s="57"/>
      <c r="V34" s="57"/>
    </row>
    <row r="35" spans="1:22" ht="20.100000000000001" customHeight="1">
      <c r="A35" s="176" t="s">
        <v>164</v>
      </c>
      <c r="B35" s="235">
        <v>143054.44702999998</v>
      </c>
      <c r="C35" s="236">
        <v>441082.93212000001</v>
      </c>
      <c r="D35" s="236">
        <v>116607.30124999997</v>
      </c>
      <c r="E35" s="236">
        <v>160437.61641999992</v>
      </c>
      <c r="F35" s="236">
        <v>158758.61791999999</v>
      </c>
      <c r="G35" s="236">
        <v>523563.95371000009</v>
      </c>
      <c r="H35" s="236">
        <v>239463.31960999995</v>
      </c>
      <c r="I35" s="236">
        <v>183247.01032999999</v>
      </c>
      <c r="J35" s="236">
        <v>194907.31607999996</v>
      </c>
      <c r="K35" s="235">
        <v>341444.84026691742</v>
      </c>
      <c r="L35" s="236">
        <v>534371.03752399993</v>
      </c>
      <c r="M35" s="236">
        <v>588279.57665500022</v>
      </c>
      <c r="N35" s="236">
        <v>154838.44375999999</v>
      </c>
      <c r="O35" s="236">
        <v>192612.06093000001</v>
      </c>
      <c r="P35" s="236">
        <v>3972668.4736059173</v>
      </c>
      <c r="Q35" s="236">
        <v>65703.314756999927</v>
      </c>
      <c r="R35" s="236">
        <v>4038371.788362917</v>
      </c>
      <c r="S35" s="58"/>
      <c r="T35" s="57"/>
      <c r="U35" s="57"/>
      <c r="V35" s="57"/>
    </row>
    <row r="36" spans="1:22" ht="20.100000000000001" customHeight="1">
      <c r="A36" s="179" t="s">
        <v>165</v>
      </c>
      <c r="B36" s="238">
        <v>110772.89489000001</v>
      </c>
      <c r="C36" s="239">
        <v>286673.37029000011</v>
      </c>
      <c r="D36" s="239">
        <v>104401.02447000002</v>
      </c>
      <c r="E36" s="239">
        <v>111160.62399000001</v>
      </c>
      <c r="F36" s="239">
        <v>110276.69091000002</v>
      </c>
      <c r="G36" s="239">
        <v>409845.81089000002</v>
      </c>
      <c r="H36" s="239">
        <v>172425.20081000001</v>
      </c>
      <c r="I36" s="239">
        <v>139413.99996999998</v>
      </c>
      <c r="J36" s="239">
        <v>144119.16976999998</v>
      </c>
      <c r="K36" s="238">
        <v>201678.87143487085</v>
      </c>
      <c r="L36" s="239">
        <v>414442.41787399992</v>
      </c>
      <c r="M36" s="239">
        <v>958762.53031299997</v>
      </c>
      <c r="N36" s="239">
        <v>105841.95027000002</v>
      </c>
      <c r="O36" s="239">
        <v>152186.79384</v>
      </c>
      <c r="P36" s="239">
        <v>3422001.3497218709</v>
      </c>
      <c r="Q36" s="239">
        <v>17012.563173999992</v>
      </c>
      <c r="R36" s="239">
        <v>3439013.9128958709</v>
      </c>
      <c r="S36" s="58"/>
      <c r="T36" s="57"/>
      <c r="U36" s="57"/>
      <c r="V36" s="57"/>
    </row>
    <row r="37" spans="1:22" ht="20.100000000000001" customHeight="1">
      <c r="A37" s="176" t="s">
        <v>166</v>
      </c>
      <c r="B37" s="235">
        <v>82162.377359999999</v>
      </c>
      <c r="C37" s="236">
        <v>257410.32520999998</v>
      </c>
      <c r="D37" s="236">
        <v>86734.737490000014</v>
      </c>
      <c r="E37" s="236">
        <v>86922.989559999987</v>
      </c>
      <c r="F37" s="236">
        <v>83577.256540000031</v>
      </c>
      <c r="G37" s="236">
        <v>368381.52848000004</v>
      </c>
      <c r="H37" s="236">
        <v>149535.44003</v>
      </c>
      <c r="I37" s="236">
        <v>141083.83490000005</v>
      </c>
      <c r="J37" s="236">
        <v>121132.76422</v>
      </c>
      <c r="K37" s="235">
        <v>193064.76025067197</v>
      </c>
      <c r="L37" s="236">
        <v>430304.96996799996</v>
      </c>
      <c r="M37" s="236">
        <v>854846.41429099988</v>
      </c>
      <c r="N37" s="236">
        <v>89881.508399999992</v>
      </c>
      <c r="O37" s="236">
        <v>120786.37697999996</v>
      </c>
      <c r="P37" s="236">
        <v>3065825.2836796725</v>
      </c>
      <c r="Q37" s="236">
        <v>15950.87557600002</v>
      </c>
      <c r="R37" s="236">
        <v>3081776.1592556727</v>
      </c>
      <c r="S37" s="58"/>
      <c r="T37" s="57"/>
      <c r="U37" s="57"/>
      <c r="V37" s="57"/>
    </row>
    <row r="38" spans="1:22" ht="20.100000000000001" customHeight="1">
      <c r="A38" s="176" t="s">
        <v>167</v>
      </c>
      <c r="B38" s="235">
        <v>94777.97064</v>
      </c>
      <c r="C38" s="236">
        <v>271596.23095</v>
      </c>
      <c r="D38" s="236">
        <v>91641.415549999991</v>
      </c>
      <c r="E38" s="236">
        <v>107515.93992999996</v>
      </c>
      <c r="F38" s="236">
        <v>98240.721310000023</v>
      </c>
      <c r="G38" s="236">
        <v>346778.98044000001</v>
      </c>
      <c r="H38" s="236">
        <v>162936.26285000003</v>
      </c>
      <c r="I38" s="236">
        <v>149030.84715000002</v>
      </c>
      <c r="J38" s="236">
        <v>132333.92552999995</v>
      </c>
      <c r="K38" s="235">
        <v>182223.08859500446</v>
      </c>
      <c r="L38" s="236">
        <v>475816.22693</v>
      </c>
      <c r="M38" s="236">
        <v>796778.19859300007</v>
      </c>
      <c r="N38" s="236">
        <v>107291.18212000001</v>
      </c>
      <c r="O38" s="236">
        <v>134395.66222000003</v>
      </c>
      <c r="P38" s="236">
        <v>3151356.6528080045</v>
      </c>
      <c r="Q38" s="236">
        <v>3610.3751630000002</v>
      </c>
      <c r="R38" s="236">
        <v>3154967.0279710046</v>
      </c>
      <c r="S38" s="58"/>
      <c r="T38" s="57"/>
      <c r="U38" s="57"/>
      <c r="V38" s="57"/>
    </row>
    <row r="39" spans="1:22" ht="20.100000000000001" customHeight="1">
      <c r="A39" s="179" t="s">
        <v>168</v>
      </c>
      <c r="B39" s="238">
        <v>96157.041189999989</v>
      </c>
      <c r="C39" s="239">
        <v>262479.95943999989</v>
      </c>
      <c r="D39" s="239">
        <v>83981.166910000014</v>
      </c>
      <c r="E39" s="239">
        <v>108024.43651999997</v>
      </c>
      <c r="F39" s="239">
        <v>101106.24248999999</v>
      </c>
      <c r="G39" s="239">
        <v>422679.74448999995</v>
      </c>
      <c r="H39" s="239">
        <v>164478.92584000004</v>
      </c>
      <c r="I39" s="239">
        <v>136494.63160999995</v>
      </c>
      <c r="J39" s="239">
        <v>144762.48605999997</v>
      </c>
      <c r="K39" s="238">
        <v>192399.44745999193</v>
      </c>
      <c r="L39" s="239">
        <v>506834.45169500011</v>
      </c>
      <c r="M39" s="239">
        <v>849469.07588499982</v>
      </c>
      <c r="N39" s="239">
        <v>103174.46094000002</v>
      </c>
      <c r="O39" s="239">
        <v>134446.67969000002</v>
      </c>
      <c r="P39" s="239">
        <v>3306488.7502199924</v>
      </c>
      <c r="Q39" s="239">
        <v>13857.521863000014</v>
      </c>
      <c r="R39" s="239">
        <v>3320346.2720829924</v>
      </c>
      <c r="S39" s="58"/>
      <c r="T39" s="57"/>
      <c r="U39" s="57"/>
      <c r="V39" s="57"/>
    </row>
    <row r="40" spans="1:22" ht="20.100000000000001" customHeight="1">
      <c r="A40" s="176" t="s">
        <v>169</v>
      </c>
      <c r="B40" s="235">
        <v>162672.27692</v>
      </c>
      <c r="C40" s="236">
        <v>585589.47594999999</v>
      </c>
      <c r="D40" s="236">
        <v>133908.65643000003</v>
      </c>
      <c r="E40" s="236">
        <v>206531.74196999994</v>
      </c>
      <c r="F40" s="236">
        <v>179398.04095999998</v>
      </c>
      <c r="G40" s="236">
        <v>584144.94889</v>
      </c>
      <c r="H40" s="236">
        <v>297359.37287000008</v>
      </c>
      <c r="I40" s="236">
        <v>204490.15160000001</v>
      </c>
      <c r="J40" s="236">
        <v>227717.47977000003</v>
      </c>
      <c r="K40" s="235">
        <v>439714.35609700228</v>
      </c>
      <c r="L40" s="236">
        <v>746435.66070200002</v>
      </c>
      <c r="M40" s="236">
        <v>876756.50799800002</v>
      </c>
      <c r="N40" s="236">
        <v>185924.09349999999</v>
      </c>
      <c r="O40" s="236">
        <v>217006.24740999998</v>
      </c>
      <c r="P40" s="236">
        <v>5047649.011067003</v>
      </c>
      <c r="Q40" s="236">
        <v>61000.470352599994</v>
      </c>
      <c r="R40" s="236">
        <v>5108649.4814196033</v>
      </c>
      <c r="S40" s="58"/>
      <c r="T40" s="57"/>
      <c r="U40" s="57"/>
      <c r="V40" s="57"/>
    </row>
    <row r="41" spans="1:22" ht="20.100000000000001" customHeight="1">
      <c r="A41" s="176" t="s">
        <v>170</v>
      </c>
      <c r="B41" s="235">
        <v>271961.88776000001</v>
      </c>
      <c r="C41" s="236">
        <v>1058592.3069500001</v>
      </c>
      <c r="D41" s="236">
        <v>248898.95426000006</v>
      </c>
      <c r="E41" s="236">
        <v>343349.31676000002</v>
      </c>
      <c r="F41" s="236">
        <v>327635.43009999994</v>
      </c>
      <c r="G41" s="236">
        <v>867061.31002000009</v>
      </c>
      <c r="H41" s="236">
        <v>495301.73489999992</v>
      </c>
      <c r="I41" s="236">
        <v>354005.92601000011</v>
      </c>
      <c r="J41" s="236">
        <v>367119.49892000004</v>
      </c>
      <c r="K41" s="235">
        <v>907560.87966304051</v>
      </c>
      <c r="L41" s="236">
        <v>1045775.8393610001</v>
      </c>
      <c r="M41" s="236">
        <v>871375.30516600015</v>
      </c>
      <c r="N41" s="236">
        <v>320546.90649000002</v>
      </c>
      <c r="O41" s="236">
        <v>405246.61994</v>
      </c>
      <c r="P41" s="236">
        <v>7884431.9163000416</v>
      </c>
      <c r="Q41" s="236">
        <v>107691.69618</v>
      </c>
      <c r="R41" s="236">
        <v>7992123.6124800416</v>
      </c>
      <c r="S41" s="58"/>
      <c r="T41" s="57"/>
      <c r="U41" s="57"/>
      <c r="V41" s="57"/>
    </row>
    <row r="42" spans="1:22" ht="20.100000000000001" customHeight="1">
      <c r="A42" s="179" t="s">
        <v>171</v>
      </c>
      <c r="B42" s="238">
        <v>324035.79143000004</v>
      </c>
      <c r="C42" s="239">
        <v>1359089.0841700002</v>
      </c>
      <c r="D42" s="239">
        <v>253780.38625000001</v>
      </c>
      <c r="E42" s="239">
        <v>397444.44873999996</v>
      </c>
      <c r="F42" s="239">
        <v>398455.44504999998</v>
      </c>
      <c r="G42" s="239">
        <v>999805.15044999996</v>
      </c>
      <c r="H42" s="239">
        <v>588580.80087000015</v>
      </c>
      <c r="I42" s="239">
        <v>430026.06396</v>
      </c>
      <c r="J42" s="239">
        <v>415325.24160999997</v>
      </c>
      <c r="K42" s="238">
        <v>1144989.6369110865</v>
      </c>
      <c r="L42" s="239">
        <v>1231444.2153660001</v>
      </c>
      <c r="M42" s="239">
        <v>1013782.5336140001</v>
      </c>
      <c r="N42" s="239">
        <v>394466.20084999996</v>
      </c>
      <c r="O42" s="239">
        <v>501120.25902999996</v>
      </c>
      <c r="P42" s="239">
        <v>9452345.2583010867</v>
      </c>
      <c r="Q42" s="239">
        <v>143715.3222621</v>
      </c>
      <c r="R42" s="239">
        <v>9596060.5805631876</v>
      </c>
      <c r="S42" s="58"/>
      <c r="T42" s="57"/>
      <c r="U42" s="57"/>
      <c r="V42" s="57"/>
    </row>
    <row r="43" spans="1:22" ht="20.100000000000001" customHeight="1">
      <c r="A43" s="176" t="s">
        <v>48</v>
      </c>
      <c r="B43" s="235">
        <f>SUM(B31:B33)</f>
        <v>951078.44559999998</v>
      </c>
      <c r="C43" s="235">
        <f>SUM(C31:C33)</f>
        <v>3632102.0089599998</v>
      </c>
      <c r="D43" s="235">
        <f t="shared" ref="D43:J43" si="14">SUM(D31:D33)</f>
        <v>697806.31865000003</v>
      </c>
      <c r="E43" s="235">
        <f t="shared" si="14"/>
        <v>1149090.2838600001</v>
      </c>
      <c r="F43" s="235">
        <f t="shared" si="14"/>
        <v>1095733.0420000001</v>
      </c>
      <c r="G43" s="235">
        <f t="shared" si="14"/>
        <v>2823654.07651</v>
      </c>
      <c r="H43" s="235">
        <f t="shared" si="14"/>
        <v>1669011.5899800002</v>
      </c>
      <c r="I43" s="235">
        <f t="shared" si="14"/>
        <v>1201392.1911499999</v>
      </c>
      <c r="J43" s="235">
        <f t="shared" si="14"/>
        <v>1277271.2998299999</v>
      </c>
      <c r="K43" s="235">
        <f>SUM(K31:K33)</f>
        <v>3099821.7995189545</v>
      </c>
      <c r="L43" s="235">
        <f t="shared" ref="L43:Q43" si="15">SUM(L31:L33)</f>
        <v>3519993.3603279991</v>
      </c>
      <c r="M43" s="235">
        <f t="shared" si="15"/>
        <v>3206340.7547699995</v>
      </c>
      <c r="N43" s="235">
        <f t="shared" si="15"/>
        <v>1102878.5532599997</v>
      </c>
      <c r="O43" s="235">
        <f t="shared" si="15"/>
        <v>1392492.43163</v>
      </c>
      <c r="P43" s="235">
        <f t="shared" si="15"/>
        <v>26818666.156046953</v>
      </c>
      <c r="Q43" s="235">
        <f t="shared" si="15"/>
        <v>577305.90518100001</v>
      </c>
      <c r="R43" s="235">
        <f>SUM(R31:R33)</f>
        <v>27395972.061227951</v>
      </c>
    </row>
    <row r="44" spans="1:22" ht="20.100000000000001" customHeight="1">
      <c r="A44" s="176" t="s">
        <v>56</v>
      </c>
      <c r="B44" s="235">
        <f>SUM(B34:B36)</f>
        <v>493582.79236999998</v>
      </c>
      <c r="C44" s="235">
        <f>SUM(C34:C36)</f>
        <v>1573180.1115100002</v>
      </c>
      <c r="D44" s="235">
        <f t="shared" ref="D44:J44" si="16">SUM(D34:D36)</f>
        <v>395742.27782999998</v>
      </c>
      <c r="E44" s="235">
        <f t="shared" si="16"/>
        <v>542762.72255999991</v>
      </c>
      <c r="F44" s="235">
        <f t="shared" si="16"/>
        <v>528622.28383000009</v>
      </c>
      <c r="G44" s="235">
        <f t="shared" si="16"/>
        <v>1652211.4073100004</v>
      </c>
      <c r="H44" s="235">
        <f t="shared" si="16"/>
        <v>808592.66495999997</v>
      </c>
      <c r="I44" s="235">
        <f t="shared" si="16"/>
        <v>631213.06293000001</v>
      </c>
      <c r="J44" s="235">
        <f t="shared" si="16"/>
        <v>654475.0175999999</v>
      </c>
      <c r="K44" s="235">
        <f>SUM(K34:K36)</f>
        <v>1255703.338292748</v>
      </c>
      <c r="L44" s="235">
        <f t="shared" ref="L44:Q44" si="17">SUM(L34:L36)</f>
        <v>1885233.660687</v>
      </c>
      <c r="M44" s="235">
        <f t="shared" si="17"/>
        <v>2324149.0193989999</v>
      </c>
      <c r="N44" s="235">
        <f t="shared" si="17"/>
        <v>523644.32539000007</v>
      </c>
      <c r="O44" s="235">
        <f t="shared" si="17"/>
        <v>673214.20876999991</v>
      </c>
      <c r="P44" s="235">
        <f t="shared" si="17"/>
        <v>13942326.893438747</v>
      </c>
      <c r="Q44" s="235">
        <f t="shared" si="17"/>
        <v>150574.61225799995</v>
      </c>
      <c r="R44" s="235">
        <f>SUM(R34:R36)</f>
        <v>14092901.505696747</v>
      </c>
    </row>
    <row r="45" spans="1:22" ht="20.100000000000001" customHeight="1">
      <c r="A45" s="176" t="s">
        <v>63</v>
      </c>
      <c r="B45" s="235">
        <f>SUM(B37:B39)</f>
        <v>273097.38919000002</v>
      </c>
      <c r="C45" s="235">
        <f>SUM(C37:C39)</f>
        <v>791486.51559999981</v>
      </c>
      <c r="D45" s="235">
        <f t="shared" ref="D45:J45" si="18">SUM(D37:D39)</f>
        <v>262357.31995000003</v>
      </c>
      <c r="E45" s="235">
        <f t="shared" si="18"/>
        <v>302463.36600999994</v>
      </c>
      <c r="F45" s="235">
        <f t="shared" si="18"/>
        <v>282924.22034000006</v>
      </c>
      <c r="G45" s="235">
        <f t="shared" si="18"/>
        <v>1137840.2534099999</v>
      </c>
      <c r="H45" s="235">
        <f t="shared" si="18"/>
        <v>476950.62872000004</v>
      </c>
      <c r="I45" s="235">
        <f t="shared" si="18"/>
        <v>426609.31365999999</v>
      </c>
      <c r="J45" s="235">
        <f t="shared" si="18"/>
        <v>398229.17580999993</v>
      </c>
      <c r="K45" s="235">
        <f>SUM(K37:K39)</f>
        <v>567687.29630566831</v>
      </c>
      <c r="L45" s="235">
        <f t="shared" ref="L45:R45" si="19">SUM(L37:L39)</f>
        <v>1412955.6485930001</v>
      </c>
      <c r="M45" s="235">
        <f t="shared" si="19"/>
        <v>2501093.6887689997</v>
      </c>
      <c r="N45" s="235">
        <f t="shared" si="19"/>
        <v>300347.15146000002</v>
      </c>
      <c r="O45" s="235">
        <f t="shared" si="19"/>
        <v>389628.71889000002</v>
      </c>
      <c r="P45" s="235">
        <f t="shared" si="19"/>
        <v>9523670.686707668</v>
      </c>
      <c r="Q45" s="235">
        <f t="shared" si="19"/>
        <v>33418.772602000034</v>
      </c>
      <c r="R45" s="235">
        <f t="shared" si="19"/>
        <v>9557089.4593096692</v>
      </c>
    </row>
    <row r="46" spans="1:22" ht="20.100000000000001" customHeight="1">
      <c r="A46" s="179" t="s">
        <v>57</v>
      </c>
      <c r="B46" s="238">
        <f>SUM(B40:B42)</f>
        <v>758669.95611000014</v>
      </c>
      <c r="C46" s="238">
        <f>SUM(C40:C42)</f>
        <v>3003270.8670700002</v>
      </c>
      <c r="D46" s="238">
        <f t="shared" ref="D46:J46" si="20">SUM(D40:D42)</f>
        <v>636587.9969400001</v>
      </c>
      <c r="E46" s="238">
        <f t="shared" si="20"/>
        <v>947325.50746999984</v>
      </c>
      <c r="F46" s="238">
        <f t="shared" si="20"/>
        <v>905488.91610999987</v>
      </c>
      <c r="G46" s="238">
        <f t="shared" si="20"/>
        <v>2451011.4093599999</v>
      </c>
      <c r="H46" s="238">
        <f t="shared" si="20"/>
        <v>1381241.90864</v>
      </c>
      <c r="I46" s="238">
        <f t="shared" si="20"/>
        <v>988522.14157000021</v>
      </c>
      <c r="J46" s="238">
        <f t="shared" si="20"/>
        <v>1010162.2202999999</v>
      </c>
      <c r="K46" s="238">
        <f>SUM(K40:K42)</f>
        <v>2492264.8726711292</v>
      </c>
      <c r="L46" s="238">
        <f t="shared" ref="L46:R46" si="21">SUM(L40:L42)</f>
        <v>3023655.7154290006</v>
      </c>
      <c r="M46" s="238">
        <f t="shared" si="21"/>
        <v>2761914.3467780002</v>
      </c>
      <c r="N46" s="238">
        <f t="shared" si="21"/>
        <v>900937.20084000006</v>
      </c>
      <c r="O46" s="238">
        <f t="shared" si="21"/>
        <v>1123373.1263799998</v>
      </c>
      <c r="P46" s="238">
        <f t="shared" si="21"/>
        <v>22384426.185668133</v>
      </c>
      <c r="Q46" s="238">
        <f t="shared" si="21"/>
        <v>312407.48879470001</v>
      </c>
      <c r="R46" s="238">
        <f t="shared" si="21"/>
        <v>22696833.674462833</v>
      </c>
    </row>
    <row r="47" spans="1:22" ht="20.100000000000001" customHeight="1">
      <c r="A47" s="176" t="s">
        <v>58</v>
      </c>
      <c r="B47" s="235">
        <f>SUM(B31:B36)</f>
        <v>1444661.2379700001</v>
      </c>
      <c r="C47" s="235">
        <f>SUM(C31:C36)</f>
        <v>5205282.1204699995</v>
      </c>
      <c r="D47" s="235">
        <f t="shared" ref="D47:J47" si="22">SUM(D31:D36)</f>
        <v>1093548.5964800001</v>
      </c>
      <c r="E47" s="235">
        <f t="shared" si="22"/>
        <v>1691853.0064199998</v>
      </c>
      <c r="F47" s="235">
        <f t="shared" si="22"/>
        <v>1624355.3258300002</v>
      </c>
      <c r="G47" s="235">
        <f t="shared" si="22"/>
        <v>4475865.4838200007</v>
      </c>
      <c r="H47" s="235">
        <f t="shared" si="22"/>
        <v>2477604.2549399999</v>
      </c>
      <c r="I47" s="235">
        <f t="shared" si="22"/>
        <v>1832605.2540799999</v>
      </c>
      <c r="J47" s="235">
        <f t="shared" si="22"/>
        <v>1931746.3174300001</v>
      </c>
      <c r="K47" s="235">
        <f>SUM(K31:K36)</f>
        <v>4355525.1378117027</v>
      </c>
      <c r="L47" s="235">
        <f t="shared" ref="L47:R47" si="23">SUM(L31:L36)</f>
        <v>5405227.0210149987</v>
      </c>
      <c r="M47" s="235">
        <f t="shared" si="23"/>
        <v>5530489.7741689999</v>
      </c>
      <c r="N47" s="235">
        <f t="shared" si="23"/>
        <v>1626522.8786499996</v>
      </c>
      <c r="O47" s="235">
        <f t="shared" si="23"/>
        <v>2065706.6403999999</v>
      </c>
      <c r="P47" s="235">
        <f t="shared" si="23"/>
        <v>40760993.049485698</v>
      </c>
      <c r="Q47" s="235">
        <f t="shared" si="23"/>
        <v>727880.51743900008</v>
      </c>
      <c r="R47" s="235">
        <f t="shared" si="23"/>
        <v>41488873.566924706</v>
      </c>
    </row>
    <row r="48" spans="1:22" ht="20.100000000000001" customHeight="1">
      <c r="A48" s="179" t="s">
        <v>59</v>
      </c>
      <c r="B48" s="238">
        <f>SUM(B37:B42)</f>
        <v>1031767.3452999999</v>
      </c>
      <c r="C48" s="238">
        <f>SUM(C37:C42)</f>
        <v>3794757.3826700002</v>
      </c>
      <c r="D48" s="238">
        <f t="shared" ref="D48:J48" si="24">SUM(D37:D42)</f>
        <v>898945.31689000013</v>
      </c>
      <c r="E48" s="238">
        <f t="shared" si="24"/>
        <v>1249788.8734799998</v>
      </c>
      <c r="F48" s="238">
        <f t="shared" si="24"/>
        <v>1188413.1364499999</v>
      </c>
      <c r="G48" s="238">
        <f t="shared" si="24"/>
        <v>3588851.6627700003</v>
      </c>
      <c r="H48" s="238">
        <f t="shared" si="24"/>
        <v>1858192.5373600002</v>
      </c>
      <c r="I48" s="238">
        <f t="shared" si="24"/>
        <v>1415131.45523</v>
      </c>
      <c r="J48" s="238">
        <f t="shared" si="24"/>
        <v>1408391.3961100001</v>
      </c>
      <c r="K48" s="238">
        <f>SUM(K37:K42)</f>
        <v>3059952.1689767977</v>
      </c>
      <c r="L48" s="238">
        <f t="shared" ref="L48:R48" si="25">SUM(L37:L42)</f>
        <v>4436611.3640220007</v>
      </c>
      <c r="M48" s="238">
        <f t="shared" si="25"/>
        <v>5263008.0355470004</v>
      </c>
      <c r="N48" s="238">
        <f t="shared" si="25"/>
        <v>1201284.3522999999</v>
      </c>
      <c r="O48" s="238">
        <f t="shared" si="25"/>
        <v>1513001.8452699999</v>
      </c>
      <c r="P48" s="238">
        <f t="shared" si="25"/>
        <v>31908096.872375801</v>
      </c>
      <c r="Q48" s="238">
        <f t="shared" si="25"/>
        <v>345826.26139670005</v>
      </c>
      <c r="R48" s="238">
        <f t="shared" si="25"/>
        <v>32253923.1337725</v>
      </c>
    </row>
    <row r="49" spans="1:18" ht="20.100000000000001" customHeight="1">
      <c r="A49" s="179" t="s">
        <v>172</v>
      </c>
      <c r="B49" s="238">
        <f>SUM(B31:B42)</f>
        <v>2476428.5832700003</v>
      </c>
      <c r="C49" s="238">
        <f>SUM(C31:C42)</f>
        <v>9000039.5031400006</v>
      </c>
      <c r="D49" s="238">
        <f t="shared" ref="D49:J49" si="26">SUM(D31:D42)</f>
        <v>1992493.91337</v>
      </c>
      <c r="E49" s="238">
        <f t="shared" si="26"/>
        <v>2941641.8798999991</v>
      </c>
      <c r="F49" s="238">
        <f t="shared" si="26"/>
        <v>2812768.4622799996</v>
      </c>
      <c r="G49" s="238">
        <f t="shared" si="26"/>
        <v>8064717.14659</v>
      </c>
      <c r="H49" s="238">
        <f t="shared" si="26"/>
        <v>4335796.7923000008</v>
      </c>
      <c r="I49" s="238">
        <f t="shared" si="26"/>
        <v>3247736.7093099998</v>
      </c>
      <c r="J49" s="238">
        <f t="shared" si="26"/>
        <v>3340137.7135400004</v>
      </c>
      <c r="K49" s="238">
        <f>SUM(K31:K42)</f>
        <v>7415477.3067885013</v>
      </c>
      <c r="L49" s="238">
        <f t="shared" ref="L49:R49" si="27">SUM(L31:L42)</f>
        <v>9841838.3850369994</v>
      </c>
      <c r="M49" s="238">
        <f t="shared" si="27"/>
        <v>10793497.809716001</v>
      </c>
      <c r="N49" s="238">
        <f t="shared" si="27"/>
        <v>2827807.2309499998</v>
      </c>
      <c r="O49" s="238">
        <f t="shared" si="27"/>
        <v>3578708.4856699998</v>
      </c>
      <c r="P49" s="238">
        <f t="shared" si="27"/>
        <v>72669089.9218615</v>
      </c>
      <c r="Q49" s="238">
        <f t="shared" si="27"/>
        <v>1073706.7788356999</v>
      </c>
      <c r="R49" s="238">
        <f t="shared" si="27"/>
        <v>73742796.700697213</v>
      </c>
    </row>
    <row r="50" spans="1:18" ht="12" customHeight="1">
      <c r="E50" s="63"/>
      <c r="F50" s="63"/>
      <c r="G50" s="63"/>
      <c r="L50" s="63"/>
      <c r="M50" s="63"/>
      <c r="N50" s="63"/>
    </row>
    <row r="51" spans="1:18" ht="12" customHeight="1">
      <c r="E51" s="63"/>
      <c r="F51" s="63"/>
      <c r="G51" s="63"/>
      <c r="L51" s="63"/>
      <c r="M51" s="63"/>
      <c r="N51" s="63"/>
    </row>
    <row r="52" spans="1:18" ht="12" customHeight="1">
      <c r="E52" s="63"/>
      <c r="F52" s="63"/>
      <c r="G52" s="63"/>
      <c r="L52" s="63"/>
      <c r="M52" s="63"/>
      <c r="N52" s="63"/>
    </row>
    <row r="53" spans="1:18" ht="12" customHeight="1">
      <c r="E53" s="63"/>
      <c r="F53" s="63"/>
      <c r="G53" s="63"/>
      <c r="L53" s="63"/>
      <c r="M53" s="63"/>
      <c r="N53" s="63"/>
    </row>
    <row r="54" spans="1:18" ht="12" customHeight="1"/>
    <row r="55" spans="1:18" ht="12" customHeight="1"/>
    <row r="56" spans="1:18" ht="12" customHeight="1"/>
    <row r="57" spans="1:18" ht="12" customHeight="1"/>
    <row r="58" spans="1:18" ht="12" customHeight="1"/>
  </sheetData>
  <mergeCells count="4">
    <mergeCell ref="A29:R29"/>
    <mergeCell ref="A1:R1"/>
    <mergeCell ref="A2:I2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8:R18 B44:Q44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6"/>
  <dimension ref="A1:U29"/>
  <sheetViews>
    <sheetView showGridLines="0" zoomScaleNormal="100" zoomScaleSheetLayoutView="100" workbookViewId="0">
      <selection activeCell="D1" sqref="D1"/>
    </sheetView>
  </sheetViews>
  <sheetFormatPr defaultColWidth="9.140625" defaultRowHeight="12.75"/>
  <cols>
    <col min="1" max="1" width="6.42578125" style="107" customWidth="1"/>
    <col min="2" max="6" width="4.7109375" style="107" customWidth="1"/>
    <col min="7" max="9" width="4.85546875" style="107" customWidth="1"/>
    <col min="10" max="14" width="4.7109375" style="107" customWidth="1"/>
    <col min="15" max="15" width="3.7109375" style="107" customWidth="1"/>
    <col min="16" max="19" width="4.7109375" style="107" customWidth="1"/>
    <col min="20" max="20" width="3.7109375" style="107" customWidth="1"/>
    <col min="21" max="21" width="5" style="107" customWidth="1"/>
    <col min="22" max="16384" width="9.140625" style="107"/>
  </cols>
  <sheetData>
    <row r="1" spans="1:20" ht="20.25">
      <c r="A1" s="117" t="s">
        <v>289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ht="15" customHeight="1">
      <c r="E2" s="108"/>
      <c r="F2" s="108"/>
    </row>
    <row r="3" spans="1:20" ht="15" customHeight="1">
      <c r="A3" s="523" t="s">
        <v>188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</row>
    <row r="4" spans="1:20" ht="15" customHeight="1">
      <c r="A4" s="72"/>
      <c r="C4" s="109"/>
      <c r="D4" s="109"/>
      <c r="E4" s="109"/>
      <c r="F4" s="109"/>
      <c r="G4" s="109"/>
      <c r="H4" s="61"/>
      <c r="I4" s="61"/>
    </row>
    <row r="5" spans="1:20" ht="15" customHeight="1">
      <c r="A5" s="72"/>
      <c r="C5" s="109"/>
      <c r="D5" s="109"/>
      <c r="E5" s="109"/>
      <c r="F5" s="109"/>
      <c r="G5" s="109"/>
      <c r="H5" s="61"/>
      <c r="I5" s="61"/>
    </row>
    <row r="6" spans="1:20" ht="15" customHeight="1">
      <c r="A6" s="72"/>
      <c r="B6" s="110"/>
      <c r="C6" s="110"/>
      <c r="D6" s="109"/>
      <c r="E6" s="109"/>
      <c r="F6" s="109"/>
      <c r="G6" s="110"/>
      <c r="H6" s="12"/>
      <c r="I6" s="61"/>
    </row>
    <row r="7" spans="1:20" ht="15" customHeight="1">
      <c r="A7" s="72"/>
      <c r="B7" s="110"/>
      <c r="C7" s="110"/>
      <c r="D7" s="109"/>
      <c r="E7" s="109"/>
      <c r="F7" s="109"/>
      <c r="G7" s="110"/>
      <c r="H7" s="12"/>
      <c r="I7" s="61"/>
    </row>
    <row r="8" spans="1:20" ht="15" customHeight="1">
      <c r="A8" s="72"/>
      <c r="B8" s="110"/>
      <c r="C8" s="110"/>
      <c r="D8" s="109"/>
      <c r="E8" s="109"/>
      <c r="F8" s="109"/>
      <c r="G8" s="110"/>
      <c r="H8" s="12"/>
      <c r="I8" s="61"/>
    </row>
    <row r="9" spans="1:20" ht="15" customHeight="1">
      <c r="A9" s="72"/>
      <c r="B9" s="109"/>
      <c r="C9" s="109"/>
      <c r="D9" s="109"/>
      <c r="E9" s="109"/>
      <c r="F9" s="109"/>
      <c r="G9" s="110"/>
      <c r="H9" s="12"/>
      <c r="I9" s="61"/>
    </row>
    <row r="10" spans="1:20" ht="15" customHeight="1">
      <c r="A10" s="72"/>
      <c r="B10" s="109"/>
      <c r="C10" s="109"/>
      <c r="D10" s="109"/>
      <c r="E10" s="109"/>
      <c r="F10" s="109"/>
      <c r="G10" s="109"/>
      <c r="H10" s="61"/>
      <c r="I10" s="61"/>
    </row>
    <row r="11" spans="1:20" ht="15" customHeight="1">
      <c r="A11" s="72"/>
      <c r="B11" s="109"/>
      <c r="C11" s="109"/>
      <c r="D11" s="109"/>
      <c r="E11" s="109"/>
      <c r="F11" s="109"/>
      <c r="G11" s="109"/>
      <c r="H11" s="61"/>
      <c r="I11" s="61"/>
    </row>
    <row r="12" spans="1:20" ht="15" customHeight="1">
      <c r="A12" s="72"/>
      <c r="B12" s="109"/>
      <c r="C12" s="109"/>
      <c r="D12" s="109"/>
      <c r="E12" s="109"/>
      <c r="F12" s="109"/>
      <c r="G12" s="109"/>
      <c r="H12" s="61"/>
      <c r="I12" s="61"/>
    </row>
    <row r="13" spans="1:20" ht="15" customHeight="1">
      <c r="A13" s="72"/>
      <c r="B13" s="109"/>
      <c r="C13" s="109"/>
      <c r="D13" s="109"/>
      <c r="E13" s="109"/>
      <c r="F13" s="109"/>
      <c r="G13" s="109"/>
      <c r="H13" s="61"/>
      <c r="I13" s="61"/>
    </row>
    <row r="14" spans="1:20" ht="15" customHeight="1">
      <c r="A14" s="72"/>
      <c r="B14" s="109"/>
      <c r="C14" s="109"/>
      <c r="D14" s="109"/>
      <c r="E14" s="109"/>
      <c r="F14" s="109"/>
      <c r="G14" s="109"/>
      <c r="H14" s="111"/>
      <c r="I14" s="111"/>
    </row>
    <row r="15" spans="1:20" ht="15" customHeight="1">
      <c r="A15" s="112"/>
      <c r="B15" s="112"/>
      <c r="C15" s="112"/>
      <c r="D15" s="112"/>
      <c r="E15" s="112"/>
      <c r="F15" s="112"/>
      <c r="G15" s="113"/>
      <c r="H15" s="114"/>
      <c r="I15" s="114"/>
    </row>
    <row r="16" spans="1:20" ht="15" customHeight="1">
      <c r="A16" s="112"/>
      <c r="B16" s="112"/>
      <c r="C16" s="112"/>
      <c r="D16" s="112"/>
      <c r="E16" s="112"/>
      <c r="F16" s="112"/>
    </row>
    <row r="17" spans="1:21" ht="15" customHeight="1">
      <c r="A17" s="112"/>
      <c r="B17" s="112"/>
      <c r="C17" s="112"/>
      <c r="D17" s="112"/>
      <c r="E17" s="112"/>
      <c r="F17" s="112"/>
    </row>
    <row r="18" spans="1:21" ht="15" customHeight="1">
      <c r="A18" s="112"/>
      <c r="B18" s="112"/>
      <c r="C18" s="112"/>
      <c r="D18" s="112"/>
      <c r="E18" s="112"/>
      <c r="F18" s="112"/>
    </row>
    <row r="19" spans="1:21" ht="15" customHeight="1">
      <c r="A19" s="112"/>
      <c r="B19" s="112"/>
      <c r="C19" s="112"/>
      <c r="D19" s="112"/>
      <c r="E19" s="112"/>
      <c r="F19" s="112"/>
    </row>
    <row r="20" spans="1:21" ht="15" customHeight="1">
      <c r="A20" s="112"/>
      <c r="B20" s="112"/>
      <c r="C20" s="112"/>
      <c r="D20" s="112"/>
      <c r="E20" s="112"/>
      <c r="F20" s="112"/>
    </row>
    <row r="21" spans="1:21" ht="12.95" customHeight="1">
      <c r="B21" s="115"/>
      <c r="C21" s="115"/>
      <c r="D21" s="115"/>
      <c r="E21" s="112"/>
      <c r="F21" s="113"/>
      <c r="G21" s="113"/>
      <c r="H21" s="113"/>
    </row>
    <row r="22" spans="1:21" ht="12.95" customHeight="1">
      <c r="B22" s="115"/>
      <c r="C22" s="115"/>
      <c r="D22" s="115"/>
      <c r="G22" s="524"/>
      <c r="H22" s="524"/>
      <c r="I22" s="524"/>
      <c r="K22" s="524"/>
      <c r="L22" s="524"/>
      <c r="M22" s="524"/>
      <c r="N22" s="524"/>
      <c r="P22" s="524"/>
      <c r="Q22" s="524"/>
      <c r="R22" s="524"/>
      <c r="S22" s="524"/>
      <c r="T22" s="524"/>
      <c r="U22" s="524"/>
    </row>
    <row r="23" spans="1:21" ht="12.95" customHeight="1">
      <c r="B23" s="115"/>
      <c r="C23" s="115"/>
      <c r="D23" s="115"/>
      <c r="G23" s="524"/>
      <c r="H23" s="524"/>
      <c r="I23" s="524"/>
      <c r="K23" s="525"/>
      <c r="L23" s="525"/>
      <c r="M23" s="525"/>
      <c r="N23" s="525"/>
      <c r="P23" s="524"/>
      <c r="Q23" s="524"/>
      <c r="R23" s="524"/>
      <c r="S23" s="524"/>
      <c r="T23" s="524"/>
      <c r="U23" s="524"/>
    </row>
    <row r="24" spans="1:21" ht="12.95" customHeight="1">
      <c r="B24" s="115"/>
      <c r="C24" s="115"/>
      <c r="D24" s="115"/>
      <c r="G24" s="524"/>
      <c r="H24" s="524"/>
      <c r="I24" s="524"/>
      <c r="K24" s="525"/>
      <c r="L24" s="525"/>
      <c r="M24" s="525"/>
      <c r="N24" s="525"/>
      <c r="P24" s="525"/>
      <c r="Q24" s="525"/>
      <c r="R24" s="525"/>
      <c r="S24" s="525"/>
      <c r="T24" s="525"/>
      <c r="U24" s="525"/>
    </row>
    <row r="25" spans="1:21" ht="12" customHeight="1">
      <c r="A25" s="112"/>
      <c r="B25" s="112"/>
      <c r="C25" s="112"/>
      <c r="D25" s="112"/>
      <c r="E25" s="112"/>
      <c r="F25" s="112"/>
      <c r="H25" s="116"/>
      <c r="I25" s="116"/>
      <c r="P25" s="525"/>
      <c r="Q25" s="525"/>
      <c r="R25" s="525"/>
      <c r="S25" s="525"/>
      <c r="T25" s="525"/>
      <c r="U25" s="525"/>
    </row>
    <row r="26" spans="1:21" ht="15" customHeight="1"/>
    <row r="27" spans="1:21" ht="15" customHeight="1"/>
    <row r="28" spans="1:21" ht="15" customHeight="1"/>
    <row r="29" spans="1:21" ht="15" customHeight="1"/>
  </sheetData>
  <mergeCells count="9"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CD3B-C327-4840-8DA5-C5AE8410C6E1}">
  <dimension ref="A25:F50"/>
  <sheetViews>
    <sheetView showGridLines="0" topLeftCell="A22" zoomScaleNormal="100" workbookViewId="0">
      <selection activeCell="D1" sqref="D1"/>
    </sheetView>
  </sheetViews>
  <sheetFormatPr defaultColWidth="9.140625" defaultRowHeight="12.75"/>
  <cols>
    <col min="1" max="1" width="9.140625" style="380"/>
    <col min="2" max="2" width="11.28515625" style="380" bestFit="1" customWidth="1"/>
    <col min="3" max="16384" width="9.140625" style="380"/>
  </cols>
  <sheetData>
    <row r="25" spans="6:6">
      <c r="F25" s="379"/>
    </row>
    <row r="26" spans="6:6">
      <c r="F26" s="379"/>
    </row>
    <row r="27" spans="6:6">
      <c r="F27" s="379"/>
    </row>
    <row r="28" spans="6:6">
      <c r="F28" s="379"/>
    </row>
    <row r="47" spans="1:3" ht="15">
      <c r="A47" s="381" t="s">
        <v>310</v>
      </c>
    </row>
    <row r="48" spans="1:3" ht="14.25">
      <c r="A48" s="382" t="s">
        <v>311</v>
      </c>
      <c r="B48" s="383"/>
      <c r="C48" s="383"/>
    </row>
    <row r="50" spans="1:2" ht="14.25">
      <c r="A50" s="384" t="s">
        <v>313</v>
      </c>
      <c r="B50" s="385">
        <f ca="1">TODAY()</f>
        <v>45328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topLeftCell="A16" zoomScaleNormal="100" zoomScaleSheetLayoutView="100" workbookViewId="0">
      <selection activeCell="D1" sqref="D1"/>
    </sheetView>
  </sheetViews>
  <sheetFormatPr defaultColWidth="9.140625" defaultRowHeight="14.25"/>
  <cols>
    <col min="1" max="1" width="20.28515625" style="1" customWidth="1"/>
    <col min="2" max="2" width="79" style="24" customWidth="1"/>
    <col min="3" max="3" width="6.5703125" style="22" customWidth="1"/>
    <col min="4" max="4" width="11.7109375" style="22" customWidth="1"/>
    <col min="5" max="6" width="9.140625" style="22"/>
    <col min="7" max="7" width="11.7109375" style="22" customWidth="1"/>
    <col min="8" max="16384" width="9.140625" style="22"/>
  </cols>
  <sheetData>
    <row r="1" spans="1:2" ht="20.25">
      <c r="A1" s="54" t="s">
        <v>284</v>
      </c>
      <c r="B1" s="21"/>
    </row>
    <row r="2" spans="1:2" ht="6" customHeight="1">
      <c r="B2" s="21"/>
    </row>
    <row r="3" spans="1:2" ht="39.950000000000003" customHeight="1">
      <c r="A3" s="13" t="s">
        <v>238</v>
      </c>
      <c r="B3" s="14" t="s">
        <v>314</v>
      </c>
    </row>
    <row r="4" spans="1:2" ht="24.95" customHeight="1">
      <c r="A4" s="15" t="s">
        <v>93</v>
      </c>
      <c r="B4" s="16" t="s">
        <v>98</v>
      </c>
    </row>
    <row r="5" spans="1:2" ht="24.95" customHeight="1">
      <c r="A5" s="15" t="s">
        <v>99</v>
      </c>
      <c r="B5" s="17" t="s">
        <v>100</v>
      </c>
    </row>
    <row r="6" spans="1:2" ht="24.95" customHeight="1">
      <c r="A6" s="15" t="s">
        <v>7</v>
      </c>
      <c r="B6" s="16" t="s">
        <v>101</v>
      </c>
    </row>
    <row r="7" spans="1:2" ht="24.95" customHeight="1">
      <c r="A7" s="15" t="s">
        <v>102</v>
      </c>
      <c r="B7" s="16" t="s">
        <v>103</v>
      </c>
    </row>
    <row r="8" spans="1:2" ht="24.95" customHeight="1">
      <c r="A8" s="15" t="s">
        <v>104</v>
      </c>
      <c r="B8" s="16" t="s">
        <v>105</v>
      </c>
    </row>
    <row r="9" spans="1:2" ht="24.95" customHeight="1">
      <c r="A9" s="15" t="s">
        <v>209</v>
      </c>
      <c r="B9" s="16" t="s">
        <v>208</v>
      </c>
    </row>
    <row r="10" spans="1:2" ht="24.95" customHeight="1">
      <c r="A10" s="15" t="s">
        <v>87</v>
      </c>
      <c r="B10" s="18" t="s">
        <v>202</v>
      </c>
    </row>
    <row r="11" spans="1:2" ht="24.95" customHeight="1">
      <c r="A11" s="15" t="s">
        <v>319</v>
      </c>
      <c r="B11" s="16" t="s">
        <v>320</v>
      </c>
    </row>
    <row r="12" spans="1:2" ht="24.95" customHeight="1">
      <c r="A12" s="15" t="s">
        <v>106</v>
      </c>
      <c r="B12" s="16" t="s">
        <v>107</v>
      </c>
    </row>
    <row r="13" spans="1:2" ht="24.95" customHeight="1">
      <c r="A13" s="15" t="s">
        <v>108</v>
      </c>
      <c r="B13" s="16" t="s">
        <v>109</v>
      </c>
    </row>
    <row r="14" spans="1:2" ht="24.95" customHeight="1">
      <c r="A14" s="15" t="s">
        <v>110</v>
      </c>
      <c r="B14" s="16" t="s">
        <v>111</v>
      </c>
    </row>
    <row r="15" spans="1:2" ht="24.95" customHeight="1">
      <c r="A15" s="15" t="s">
        <v>211</v>
      </c>
      <c r="B15" s="16" t="s">
        <v>212</v>
      </c>
    </row>
    <row r="16" spans="1:2" ht="24.95" customHeight="1">
      <c r="A16" s="15" t="s">
        <v>6</v>
      </c>
      <c r="B16" s="16" t="s">
        <v>112</v>
      </c>
    </row>
    <row r="17" spans="1:2" ht="24.95" customHeight="1">
      <c r="A17" s="15" t="s">
        <v>65</v>
      </c>
      <c r="B17" s="16" t="s">
        <v>203</v>
      </c>
    </row>
    <row r="18" spans="1:2" ht="24.95" customHeight="1">
      <c r="A18" s="15" t="s">
        <v>113</v>
      </c>
      <c r="B18" s="16" t="s">
        <v>204</v>
      </c>
    </row>
    <row r="19" spans="1:2" ht="24.95" customHeight="1">
      <c r="A19" s="15" t="s">
        <v>114</v>
      </c>
      <c r="B19" s="19" t="s">
        <v>115</v>
      </c>
    </row>
    <row r="20" spans="1:2" ht="24.95" customHeight="1">
      <c r="A20" s="13" t="s">
        <v>116</v>
      </c>
      <c r="B20" s="19" t="s">
        <v>117</v>
      </c>
    </row>
    <row r="21" spans="1:2" ht="39.950000000000003" customHeight="1">
      <c r="A21" s="15" t="s">
        <v>118</v>
      </c>
      <c r="B21" s="19" t="s">
        <v>119</v>
      </c>
    </row>
    <row r="22" spans="1:2" ht="24.95" customHeight="1">
      <c r="A22" s="15" t="s">
        <v>32</v>
      </c>
      <c r="B22" s="20" t="s">
        <v>120</v>
      </c>
    </row>
    <row r="23" spans="1:2" ht="24.95" customHeight="1">
      <c r="A23" s="15" t="s">
        <v>121</v>
      </c>
      <c r="B23" s="19" t="s">
        <v>122</v>
      </c>
    </row>
    <row r="24" spans="1:2" ht="24.95" customHeight="1">
      <c r="A24" s="15" t="s">
        <v>123</v>
      </c>
      <c r="B24" s="16" t="s">
        <v>124</v>
      </c>
    </row>
    <row r="25" spans="1:2" ht="24.95" customHeight="1">
      <c r="A25" s="15" t="s">
        <v>151</v>
      </c>
      <c r="B25" s="16" t="s">
        <v>152</v>
      </c>
    </row>
    <row r="26" spans="1:2" ht="24.95" customHeight="1">
      <c r="A26" s="15" t="s">
        <v>125</v>
      </c>
      <c r="B26" s="16" t="s">
        <v>126</v>
      </c>
    </row>
    <row r="27" spans="1:2" ht="39.950000000000003" customHeight="1">
      <c r="A27" s="15" t="s">
        <v>20</v>
      </c>
      <c r="B27" s="16" t="s">
        <v>205</v>
      </c>
    </row>
    <row r="28" spans="1:2" ht="24.95" customHeight="1">
      <c r="A28" s="15" t="s">
        <v>127</v>
      </c>
      <c r="B28" s="16" t="s">
        <v>128</v>
      </c>
    </row>
    <row r="29" spans="1:2" ht="24.95" customHeight="1">
      <c r="A29" s="15" t="s">
        <v>129</v>
      </c>
      <c r="B29" s="16" t="s">
        <v>130</v>
      </c>
    </row>
    <row r="30" spans="1:2" ht="24.95" customHeight="1">
      <c r="A30" s="15" t="s">
        <v>131</v>
      </c>
      <c r="B30" s="16" t="s">
        <v>132</v>
      </c>
    </row>
    <row r="31" spans="1:2" ht="39.950000000000003" customHeight="1">
      <c r="A31" s="15" t="s">
        <v>133</v>
      </c>
      <c r="B31" s="19" t="s">
        <v>149</v>
      </c>
    </row>
    <row r="32" spans="1:2" ht="24.95" customHeight="1">
      <c r="A32" s="15" t="s">
        <v>134</v>
      </c>
      <c r="B32" s="16" t="s">
        <v>135</v>
      </c>
    </row>
    <row r="33" spans="1:2" ht="24.95" customHeight="1">
      <c r="A33" s="15" t="s">
        <v>136</v>
      </c>
      <c r="B33" s="16" t="s">
        <v>137</v>
      </c>
    </row>
    <row r="34" spans="1:2" ht="24.95" customHeight="1">
      <c r="A34" s="15" t="s">
        <v>138</v>
      </c>
      <c r="B34" s="19" t="s">
        <v>139</v>
      </c>
    </row>
    <row r="35" spans="1:2" ht="24.95" customHeight="1">
      <c r="A35" s="15" t="s">
        <v>5</v>
      </c>
      <c r="B35" s="16" t="s">
        <v>140</v>
      </c>
    </row>
    <row r="36" spans="1:2" ht="24.95" customHeight="1">
      <c r="A36" s="15" t="s">
        <v>4</v>
      </c>
      <c r="B36" s="16" t="s">
        <v>141</v>
      </c>
    </row>
    <row r="37" spans="1:2" ht="24.95" customHeight="1">
      <c r="A37" s="15" t="s">
        <v>142</v>
      </c>
      <c r="B37" s="16" t="s">
        <v>143</v>
      </c>
    </row>
    <row r="38" spans="1:2" ht="24.95" customHeight="1">
      <c r="A38" s="15" t="s">
        <v>31</v>
      </c>
      <c r="B38" s="16" t="s">
        <v>144</v>
      </c>
    </row>
    <row r="39" spans="1:2" ht="24.95" customHeight="1">
      <c r="A39" s="15" t="s">
        <v>145</v>
      </c>
      <c r="B39" s="19" t="s">
        <v>146</v>
      </c>
    </row>
    <row r="40" spans="1:2" ht="24.95" customHeight="1">
      <c r="A40" s="15" t="s">
        <v>147</v>
      </c>
      <c r="B40" s="16" t="s">
        <v>148</v>
      </c>
    </row>
    <row r="41" spans="1:2" ht="24.95" customHeight="1">
      <c r="A41" s="23"/>
      <c r="B41" s="19"/>
    </row>
    <row r="42" spans="1:2" ht="24.95" customHeight="1">
      <c r="A42" s="23"/>
      <c r="B42" s="16"/>
    </row>
  </sheetData>
  <sortState ref="A4:B40">
    <sortCondition ref="A40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A9F4-9809-412C-812A-5ED8778E106C}">
  <sheetPr codeName="List5"/>
  <dimension ref="A1:J61"/>
  <sheetViews>
    <sheetView showGridLines="0" view="pageBreakPreview" topLeftCell="A13" zoomScaleNormal="100" zoomScaleSheetLayoutView="100" workbookViewId="0">
      <selection activeCell="D1" sqref="D1"/>
    </sheetView>
  </sheetViews>
  <sheetFormatPr defaultColWidth="9.140625" defaultRowHeight="14.25"/>
  <cols>
    <col min="1" max="1" width="14.7109375" style="25" customWidth="1"/>
    <col min="2" max="3" width="10.7109375" style="25" customWidth="1"/>
    <col min="4" max="4" width="31.5703125" style="25" customWidth="1"/>
    <col min="5" max="5" width="8" style="25" customWidth="1"/>
    <col min="6" max="6" width="7.28515625" style="25" customWidth="1"/>
    <col min="7" max="7" width="1.7109375" style="25" customWidth="1"/>
    <col min="8" max="8" width="9" style="25" customWidth="1"/>
    <col min="9" max="9" width="5.7109375" style="25" customWidth="1"/>
    <col min="10" max="10" width="9.140625" style="25" customWidth="1"/>
    <col min="11" max="16384" width="9.140625" style="25"/>
  </cols>
  <sheetData>
    <row r="1" spans="1:10" ht="20.25">
      <c r="A1" s="45" t="str">
        <f>"2 STRUČNÝ PŘEHLED ZA "&amp;UPPER('3.1'!G5)&amp;" "&amp;'3.1'!A4</f>
        <v>2 STRUČNÝ PŘEHLED ZA IV. ČTVRTLETÍ 2023</v>
      </c>
      <c r="C1" s="26"/>
      <c r="D1" s="26"/>
    </row>
    <row r="2" spans="1:10" s="28" customFormat="1" ht="6" customHeight="1">
      <c r="A2" s="27"/>
      <c r="B2" s="27"/>
      <c r="C2" s="27"/>
      <c r="D2" s="27"/>
    </row>
    <row r="3" spans="1:10" ht="15" customHeight="1">
      <c r="A3" s="416" t="s">
        <v>213</v>
      </c>
      <c r="B3" s="416"/>
      <c r="C3" s="416"/>
      <c r="D3" s="416"/>
      <c r="E3" s="416"/>
      <c r="F3" s="416"/>
      <c r="G3" s="416"/>
      <c r="H3" s="416"/>
      <c r="I3" s="416"/>
    </row>
    <row r="4" spans="1:10" ht="15" customHeight="1">
      <c r="A4" s="416"/>
      <c r="B4" s="416"/>
      <c r="C4" s="416"/>
      <c r="D4" s="416"/>
      <c r="E4" s="416"/>
      <c r="F4" s="416"/>
      <c r="G4" s="416"/>
      <c r="H4" s="416"/>
      <c r="I4" s="416"/>
    </row>
    <row r="5" spans="1:10" ht="15" customHeight="1">
      <c r="A5" s="416"/>
      <c r="B5" s="416"/>
      <c r="C5" s="416"/>
      <c r="D5" s="416"/>
      <c r="E5" s="416"/>
      <c r="F5" s="416"/>
      <c r="G5" s="416"/>
      <c r="H5" s="416"/>
      <c r="I5" s="416"/>
    </row>
    <row r="6" spans="1:10" ht="15" customHeight="1">
      <c r="A6" s="416"/>
      <c r="B6" s="416"/>
      <c r="C6" s="416"/>
      <c r="D6" s="416"/>
      <c r="E6" s="416"/>
      <c r="F6" s="416"/>
      <c r="G6" s="416"/>
      <c r="H6" s="416"/>
      <c r="I6" s="416"/>
    </row>
    <row r="7" spans="1:10" ht="30" customHeight="1">
      <c r="A7" s="417" t="s">
        <v>249</v>
      </c>
      <c r="B7" s="417"/>
      <c r="C7" s="417"/>
      <c r="D7" s="417"/>
      <c r="E7" s="417"/>
      <c r="F7" s="417"/>
      <c r="G7" s="417"/>
      <c r="H7" s="417"/>
      <c r="I7" s="417"/>
      <c r="J7" s="29"/>
    </row>
    <row r="8" spans="1:10" ht="9.9499999999999993" customHeight="1">
      <c r="A8" s="29"/>
      <c r="B8" s="29"/>
      <c r="C8" s="30"/>
      <c r="D8" s="30"/>
    </row>
    <row r="9" spans="1:10" ht="15.95" customHeight="1">
      <c r="A9" s="413" t="s">
        <v>214</v>
      </c>
      <c r="B9" s="413"/>
      <c r="C9" s="413"/>
      <c r="D9" s="413"/>
      <c r="E9" s="31">
        <f>'3.1'!G8/1000</f>
        <v>1886.3789002202955</v>
      </c>
      <c r="F9" s="32" t="s">
        <v>256</v>
      </c>
      <c r="G9" s="32" t="s">
        <v>215</v>
      </c>
      <c r="H9" s="31">
        <f>'3.1'!K8/1000</f>
        <v>20601.263100557</v>
      </c>
      <c r="I9" s="32" t="s">
        <v>216</v>
      </c>
    </row>
    <row r="10" spans="1:10" ht="15.95" customHeight="1">
      <c r="A10" s="414" t="s">
        <v>217</v>
      </c>
      <c r="B10" s="414"/>
      <c r="C10" s="414"/>
      <c r="D10" s="414"/>
      <c r="E10" s="31">
        <f>'3.1'!G11/1000</f>
        <v>102.09993839478885</v>
      </c>
      <c r="F10" s="32" t="s">
        <v>256</v>
      </c>
      <c r="G10" s="32" t="s">
        <v>215</v>
      </c>
      <c r="H10" s="31">
        <f>'3.1'!K11/1000</f>
        <v>1114.6986175036</v>
      </c>
      <c r="I10" s="32" t="s">
        <v>216</v>
      </c>
    </row>
    <row r="11" spans="1:10" ht="9.9499999999999993" customHeight="1">
      <c r="A11" s="33"/>
      <c r="B11" s="33"/>
      <c r="C11" s="34"/>
      <c r="D11" s="34"/>
      <c r="E11" s="35"/>
    </row>
    <row r="12" spans="1:10" ht="15.95" customHeight="1">
      <c r="A12" s="414" t="s">
        <v>218</v>
      </c>
      <c r="B12" s="414"/>
      <c r="C12" s="414"/>
      <c r="D12" s="414"/>
      <c r="E12" s="31">
        <f>'3.1'!G18/1000</f>
        <v>436.16112900000002</v>
      </c>
      <c r="F12" s="32" t="s">
        <v>256</v>
      </c>
      <c r="G12" s="32" t="s">
        <v>215</v>
      </c>
      <c r="H12" s="31">
        <f>'3.1'!K18/1000</f>
        <v>4762.8611700000001</v>
      </c>
      <c r="I12" s="32" t="s">
        <v>216</v>
      </c>
    </row>
    <row r="13" spans="1:10" ht="15.95" customHeight="1">
      <c r="A13" s="414" t="s">
        <v>219</v>
      </c>
      <c r="B13" s="414"/>
      <c r="C13" s="414"/>
      <c r="D13" s="414"/>
      <c r="E13" s="31">
        <f>'3.1'!G22/1000</f>
        <v>165.92556274999998</v>
      </c>
      <c r="F13" s="32" t="s">
        <v>256</v>
      </c>
      <c r="G13" s="32" t="s">
        <v>215</v>
      </c>
      <c r="H13" s="31">
        <f>'3.1'!K22/1000</f>
        <v>1820.7368976480002</v>
      </c>
      <c r="I13" s="32" t="s">
        <v>216</v>
      </c>
    </row>
    <row r="14" spans="1:10" ht="15.95" customHeight="1">
      <c r="A14" s="414" t="s">
        <v>220</v>
      </c>
      <c r="B14" s="414"/>
      <c r="C14" s="414"/>
      <c r="D14" s="414"/>
      <c r="E14" s="31">
        <f>'3.1'!G27/1000</f>
        <v>3062.640548732491</v>
      </c>
      <c r="F14" s="32" t="s">
        <v>256</v>
      </c>
      <c r="G14" s="32" t="s">
        <v>215</v>
      </c>
      <c r="H14" s="31">
        <f>'3.1'!K27/1000</f>
        <v>33293.27567302659</v>
      </c>
      <c r="I14" s="32" t="s">
        <v>216</v>
      </c>
    </row>
    <row r="15" spans="1:10" ht="9.9499999999999993" customHeight="1">
      <c r="A15" s="33"/>
      <c r="B15" s="33"/>
      <c r="C15" s="34"/>
      <c r="D15" s="34"/>
      <c r="E15" s="35"/>
    </row>
    <row r="16" spans="1:10" ht="15.95" customHeight="1">
      <c r="A16" s="414" t="s">
        <v>221</v>
      </c>
      <c r="B16" s="414"/>
      <c r="C16" s="414"/>
      <c r="D16" s="414"/>
      <c r="E16" s="31">
        <f>'3.1'!G36/1000</f>
        <v>15.409751</v>
      </c>
      <c r="F16" s="32" t="s">
        <v>256</v>
      </c>
      <c r="G16" s="32" t="s">
        <v>215</v>
      </c>
      <c r="H16" s="31">
        <f>'3.1'!K36/1000</f>
        <v>166.94068124380289</v>
      </c>
      <c r="I16" s="32" t="s">
        <v>216</v>
      </c>
    </row>
    <row r="17" spans="1:9" ht="30" customHeight="1">
      <c r="A17" s="417" t="s">
        <v>250</v>
      </c>
      <c r="B17" s="417"/>
      <c r="C17" s="417"/>
      <c r="D17" s="417"/>
      <c r="E17" s="417"/>
      <c r="F17" s="417"/>
      <c r="G17" s="417"/>
      <c r="H17" s="417"/>
      <c r="I17" s="417"/>
    </row>
    <row r="18" spans="1:9" ht="9.9499999999999993" customHeight="1">
      <c r="A18" s="29"/>
      <c r="B18" s="29"/>
      <c r="C18" s="30"/>
      <c r="D18" s="30"/>
    </row>
    <row r="19" spans="1:9" ht="15.95" customHeight="1">
      <c r="A19" s="413" t="s">
        <v>222</v>
      </c>
      <c r="B19" s="413"/>
      <c r="C19" s="413"/>
      <c r="D19" s="413"/>
      <c r="E19" s="31">
        <f>'4.1'!B22</f>
        <v>2076.4584143840939</v>
      </c>
      <c r="F19" s="32" t="s">
        <v>256</v>
      </c>
      <c r="G19" s="32" t="s">
        <v>215</v>
      </c>
      <c r="H19" s="31">
        <f>'4.1'!I22</f>
        <v>22696.83366968</v>
      </c>
      <c r="I19" s="32" t="s">
        <v>216</v>
      </c>
    </row>
    <row r="20" spans="1:9" ht="15.95" customHeight="1">
      <c r="A20" s="414" t="s">
        <v>223</v>
      </c>
      <c r="B20" s="414"/>
      <c r="C20" s="414"/>
      <c r="D20" s="414"/>
      <c r="E20" s="36">
        <f>'4.1'!D22*100</f>
        <v>-6.3281984170058907</v>
      </c>
      <c r="F20" s="32" t="s">
        <v>224</v>
      </c>
      <c r="G20" s="32"/>
      <c r="H20" s="31"/>
      <c r="I20" s="32"/>
    </row>
    <row r="21" spans="1:9" ht="9.9499999999999993" customHeight="1">
      <c r="A21" s="37"/>
      <c r="B21" s="37"/>
      <c r="C21" s="37"/>
      <c r="D21" s="37"/>
      <c r="E21" s="36"/>
      <c r="F21" s="32"/>
      <c r="G21" s="32"/>
      <c r="H21" s="31"/>
      <c r="I21" s="32"/>
    </row>
    <row r="22" spans="1:9" ht="15.95" customHeight="1">
      <c r="A22" s="414" t="s">
        <v>225</v>
      </c>
      <c r="B22" s="414"/>
      <c r="C22" s="414"/>
      <c r="D22" s="414"/>
      <c r="E22" s="31">
        <f>'4.1'!E22</f>
        <v>2271.1872218488247</v>
      </c>
      <c r="F22" s="32" t="s">
        <v>256</v>
      </c>
      <c r="G22" s="32" t="s">
        <v>215</v>
      </c>
      <c r="H22" s="31">
        <f>'4.1'!K22</f>
        <v>24826.842517951638</v>
      </c>
      <c r="I22" s="32" t="s">
        <v>216</v>
      </c>
    </row>
    <row r="23" spans="1:9" ht="15.95" customHeight="1">
      <c r="A23" s="414" t="s">
        <v>226</v>
      </c>
      <c r="B23" s="414"/>
      <c r="C23" s="414"/>
      <c r="D23" s="414"/>
      <c r="E23" s="36">
        <f>'4.1'!G22*100</f>
        <v>-2.9568133461408865</v>
      </c>
      <c r="F23" s="32" t="s">
        <v>224</v>
      </c>
    </row>
    <row r="24" spans="1:9" ht="9.9499999999999993" customHeight="1">
      <c r="A24" s="37"/>
      <c r="B24" s="37"/>
      <c r="C24" s="37"/>
      <c r="D24" s="37"/>
      <c r="E24" s="36"/>
      <c r="F24" s="32"/>
      <c r="G24" s="32"/>
      <c r="H24" s="31"/>
      <c r="I24" s="32"/>
    </row>
    <row r="25" spans="1:9" ht="15.95" customHeight="1">
      <c r="A25" s="414" t="s">
        <v>227</v>
      </c>
      <c r="B25" s="414"/>
      <c r="C25" s="414"/>
      <c r="D25" s="414"/>
      <c r="E25" s="36">
        <f>'4.1'!N22</f>
        <v>5.9277777777777771</v>
      </c>
      <c r="F25" s="32" t="s">
        <v>228</v>
      </c>
      <c r="G25" s="32"/>
      <c r="H25" s="31"/>
      <c r="I25" s="32"/>
    </row>
    <row r="26" spans="1:9" ht="15.95" customHeight="1">
      <c r="A26" s="414" t="s">
        <v>229</v>
      </c>
      <c r="B26" s="414"/>
      <c r="C26" s="414"/>
      <c r="D26" s="414"/>
      <c r="E26" s="36">
        <f>'4.1'!Q22</f>
        <v>3.83921146953405</v>
      </c>
      <c r="F26" s="32" t="s">
        <v>228</v>
      </c>
      <c r="G26" s="32"/>
      <c r="H26" s="31"/>
      <c r="I26" s="32"/>
    </row>
    <row r="27" spans="1:9" ht="15.95" customHeight="1">
      <c r="A27" s="414" t="s">
        <v>230</v>
      </c>
      <c r="B27" s="414"/>
      <c r="C27" s="414"/>
      <c r="D27" s="414"/>
      <c r="E27" s="36">
        <f>'4.1'!R22</f>
        <v>2.0885663082437271</v>
      </c>
      <c r="F27" s="32" t="s">
        <v>228</v>
      </c>
      <c r="G27" s="32"/>
      <c r="H27" s="31"/>
      <c r="I27" s="32"/>
    </row>
    <row r="28" spans="1:9" ht="9.9499999999999993" customHeight="1">
      <c r="A28" s="37"/>
      <c r="B28" s="37"/>
      <c r="C28" s="37"/>
      <c r="D28" s="37"/>
      <c r="E28" s="31"/>
      <c r="F28" s="32"/>
      <c r="G28" s="32"/>
      <c r="H28" s="31"/>
      <c r="I28" s="32"/>
    </row>
    <row r="29" spans="1:9" ht="15.95" customHeight="1">
      <c r="A29" s="414" t="s">
        <v>231</v>
      </c>
      <c r="B29" s="414"/>
      <c r="C29" s="414"/>
      <c r="D29" s="414"/>
      <c r="E29" s="38">
        <f>MAX('4.3'!B38,'4.3'!E38,'4.3'!H38)/1000</f>
        <v>39.884228110855915</v>
      </c>
      <c r="F29" s="32" t="s">
        <v>256</v>
      </c>
      <c r="G29" s="32" t="s">
        <v>215</v>
      </c>
      <c r="H29" s="38">
        <f>MAX('4.3'!C38,'4.3'!F38,'4.3'!I38)/1000</f>
        <v>434.98268282141936</v>
      </c>
      <c r="I29" s="32" t="s">
        <v>216</v>
      </c>
    </row>
    <row r="30" spans="1:9" ht="15.95" customHeight="1">
      <c r="A30" s="414" t="s">
        <v>232</v>
      </c>
      <c r="B30" s="414"/>
      <c r="C30" s="414"/>
      <c r="D30" s="414"/>
      <c r="E30" s="38">
        <f>MIN('4.3'!B39,'4.3'!E39,'4.3'!H39)/1000</f>
        <v>8.929855073545145</v>
      </c>
      <c r="F30" s="32" t="s">
        <v>256</v>
      </c>
      <c r="G30" s="32" t="s">
        <v>215</v>
      </c>
      <c r="H30" s="38">
        <f>MIN('4.3'!C39,'4.3'!F39,'4.3'!I39)/1000</f>
        <v>97.993689745677415</v>
      </c>
      <c r="I30" s="32" t="s">
        <v>216</v>
      </c>
    </row>
    <row r="31" spans="1:9" ht="30" customHeight="1">
      <c r="A31" s="412" t="s">
        <v>251</v>
      </c>
      <c r="B31" s="412"/>
      <c r="C31" s="412"/>
      <c r="D31" s="412"/>
      <c r="E31" s="412"/>
      <c r="F31" s="412"/>
      <c r="G31" s="412"/>
      <c r="H31" s="412"/>
      <c r="I31" s="412"/>
    </row>
    <row r="32" spans="1:9" ht="9.9499999999999993" customHeight="1"/>
    <row r="33" spans="1:9" ht="15.95" customHeight="1">
      <c r="A33" s="413" t="s">
        <v>233</v>
      </c>
      <c r="B33" s="413"/>
      <c r="C33" s="413"/>
      <c r="D33" s="413"/>
      <c r="E33" s="38">
        <f>'5.9'!E7*100</f>
        <v>11.180374426984489</v>
      </c>
      <c r="F33" s="32" t="s">
        <v>224</v>
      </c>
      <c r="H33" s="38">
        <f>'5.9'!F7*100</f>
        <v>-5.6300043303988954</v>
      </c>
      <c r="I33" s="32" t="s">
        <v>224</v>
      </c>
    </row>
    <row r="34" spans="1:9" ht="15.95" customHeight="1">
      <c r="A34" s="414" t="s">
        <v>234</v>
      </c>
      <c r="B34" s="414"/>
      <c r="C34" s="414"/>
      <c r="D34" s="414"/>
      <c r="E34" s="38">
        <f>'5.9'!E8*100</f>
        <v>81.698497996955126</v>
      </c>
      <c r="F34" s="32" t="s">
        <v>224</v>
      </c>
      <c r="H34" s="38">
        <f>'5.9'!F8*100</f>
        <v>-4.2316855428305296</v>
      </c>
      <c r="I34" s="32" t="s">
        <v>224</v>
      </c>
    </row>
    <row r="35" spans="1:9" ht="15.95" customHeight="1">
      <c r="A35" s="414" t="s">
        <v>235</v>
      </c>
      <c r="B35" s="414"/>
      <c r="C35" s="414"/>
      <c r="D35" s="414"/>
      <c r="E35" s="38">
        <f>'5.9'!E9*100</f>
        <v>3.8945127542241909</v>
      </c>
      <c r="F35" s="32" t="s">
        <v>224</v>
      </c>
      <c r="H35" s="38">
        <f>'5.9'!F9*100</f>
        <v>-7.1477048962019953</v>
      </c>
      <c r="I35" s="32" t="s">
        <v>224</v>
      </c>
    </row>
    <row r="36" spans="1:9" ht="15.95" customHeight="1">
      <c r="A36" s="414" t="s">
        <v>236</v>
      </c>
      <c r="B36" s="414"/>
      <c r="C36" s="414"/>
      <c r="D36" s="414"/>
      <c r="E36" s="38">
        <f>'5.9'!E10*100</f>
        <v>3.2266148218361761</v>
      </c>
      <c r="F36" s="32" t="s">
        <v>224</v>
      </c>
      <c r="H36" s="38">
        <f>'5.9'!F10*100</f>
        <v>-40.309033982477182</v>
      </c>
      <c r="I36" s="32" t="s">
        <v>224</v>
      </c>
    </row>
    <row r="37" spans="1:9" ht="15" customHeight="1">
      <c r="A37" s="37"/>
      <c r="B37" s="37"/>
      <c r="C37" s="37"/>
      <c r="D37" s="37"/>
      <c r="E37" s="38"/>
      <c r="F37" s="32"/>
      <c r="H37" s="38"/>
      <c r="I37" s="32"/>
    </row>
    <row r="38" spans="1:9" ht="15.95" customHeight="1">
      <c r="A38" s="414" t="s">
        <v>237</v>
      </c>
      <c r="B38" s="414"/>
      <c r="C38" s="414"/>
      <c r="D38" s="414"/>
      <c r="E38" s="411">
        <f>'5.1'!D35</f>
        <v>2752466</v>
      </c>
      <c r="F38" s="411"/>
      <c r="H38" s="38"/>
      <c r="I38" s="32"/>
    </row>
    <row r="39" spans="1:9" ht="30" customHeight="1">
      <c r="A39" s="415"/>
      <c r="B39" s="415"/>
      <c r="C39" s="415"/>
      <c r="D39" s="415"/>
      <c r="E39" s="415"/>
      <c r="F39" s="415"/>
      <c r="G39" s="415"/>
      <c r="H39" s="415"/>
      <c r="I39" s="415"/>
    </row>
    <row r="40" spans="1:9" ht="15.95" customHeight="1">
      <c r="A40" s="29"/>
      <c r="B40" s="29"/>
    </row>
    <row r="41" spans="1:9" ht="15.95" customHeight="1">
      <c r="A41" s="410"/>
      <c r="B41" s="410"/>
      <c r="C41" s="410"/>
      <c r="D41" s="410"/>
      <c r="E41" s="410"/>
      <c r="F41" s="410"/>
      <c r="G41" s="410"/>
      <c r="H41" s="410"/>
      <c r="I41" s="410"/>
    </row>
    <row r="42" spans="1:9" ht="15.95" customHeight="1">
      <c r="A42" s="410"/>
      <c r="B42" s="410"/>
      <c r="C42" s="410"/>
      <c r="D42" s="410"/>
      <c r="E42" s="410"/>
      <c r="F42" s="410"/>
      <c r="G42" s="410"/>
      <c r="H42" s="410"/>
      <c r="I42" s="410"/>
    </row>
    <row r="43" spans="1:9" ht="15.95" customHeight="1">
      <c r="A43" s="410"/>
      <c r="B43" s="410"/>
      <c r="C43" s="410"/>
      <c r="D43" s="410"/>
      <c r="E43" s="410"/>
      <c r="F43" s="410"/>
      <c r="G43" s="410"/>
      <c r="H43" s="410"/>
      <c r="I43" s="410"/>
    </row>
    <row r="44" spans="1:9" ht="15.95" customHeight="1">
      <c r="A44" s="410"/>
      <c r="B44" s="410"/>
      <c r="C44" s="410"/>
      <c r="D44" s="410"/>
      <c r="E44" s="410"/>
      <c r="F44" s="410"/>
      <c r="G44" s="410"/>
      <c r="H44" s="410"/>
      <c r="I44" s="410"/>
    </row>
    <row r="45" spans="1:9" ht="15.95" customHeight="1">
      <c r="A45" s="410"/>
      <c r="B45" s="410"/>
      <c r="C45" s="410"/>
      <c r="D45" s="410"/>
      <c r="E45" s="410"/>
      <c r="F45" s="410"/>
      <c r="G45" s="410"/>
      <c r="H45" s="410"/>
      <c r="I45" s="410"/>
    </row>
    <row r="46" spans="1:9" ht="15.95" customHeight="1">
      <c r="A46" s="410"/>
      <c r="B46" s="410"/>
      <c r="C46" s="410"/>
      <c r="D46" s="410"/>
      <c r="E46" s="410"/>
      <c r="F46" s="410"/>
      <c r="G46" s="410"/>
      <c r="H46" s="410"/>
      <c r="I46" s="410"/>
    </row>
    <row r="47" spans="1:9" ht="15.95" customHeight="1">
      <c r="A47" s="410"/>
      <c r="B47" s="410"/>
      <c r="C47" s="410"/>
      <c r="D47" s="410"/>
      <c r="E47" s="410"/>
      <c r="F47" s="410"/>
      <c r="G47" s="410"/>
      <c r="H47" s="410"/>
      <c r="I47" s="410"/>
    </row>
    <row r="48" spans="1:9" ht="15" customHeight="1">
      <c r="A48" s="410"/>
      <c r="B48" s="410"/>
      <c r="C48" s="410"/>
      <c r="D48" s="410"/>
      <c r="E48" s="410"/>
      <c r="F48" s="410"/>
      <c r="G48" s="410"/>
      <c r="H48" s="410"/>
      <c r="I48" s="410"/>
    </row>
    <row r="49" spans="1:9" ht="15" customHeight="1">
      <c r="A49" s="410"/>
      <c r="B49" s="410"/>
      <c r="C49" s="410"/>
      <c r="D49" s="410"/>
      <c r="E49" s="410"/>
      <c r="F49" s="410"/>
      <c r="G49" s="410"/>
      <c r="H49" s="410"/>
      <c r="I49" s="410"/>
    </row>
    <row r="50" spans="1:9" ht="15" customHeight="1">
      <c r="A50" s="29"/>
      <c r="B50" s="29"/>
      <c r="C50" s="29"/>
      <c r="D50" s="29"/>
      <c r="E50" s="29"/>
      <c r="F50" s="29"/>
      <c r="G50" s="29"/>
      <c r="H50" s="29"/>
      <c r="I50" s="29"/>
    </row>
    <row r="51" spans="1:9" ht="15.95" customHeight="1">
      <c r="A51" s="29"/>
      <c r="B51" s="29"/>
      <c r="C51" s="29"/>
      <c r="D51" s="29"/>
      <c r="E51" s="29"/>
      <c r="F51" s="29"/>
      <c r="G51" s="29"/>
      <c r="H51" s="29"/>
      <c r="I51" s="29"/>
    </row>
    <row r="52" spans="1:9" ht="15.95" customHeight="1">
      <c r="A52" s="29"/>
      <c r="B52" s="29"/>
    </row>
    <row r="53" spans="1:9" ht="15.95" customHeight="1">
      <c r="A53" s="29"/>
      <c r="B53" s="29"/>
    </row>
    <row r="54" spans="1:9" ht="15.95" customHeight="1">
      <c r="A54" s="29"/>
      <c r="B54" s="29"/>
    </row>
    <row r="55" spans="1:9" ht="15" customHeight="1">
      <c r="A55" s="29"/>
      <c r="B55" s="29"/>
    </row>
    <row r="56" spans="1:9" ht="15" customHeight="1">
      <c r="A56" s="29"/>
      <c r="B56" s="29"/>
    </row>
    <row r="57" spans="1:9" ht="15" customHeight="1">
      <c r="A57" s="29"/>
      <c r="B57" s="29"/>
    </row>
    <row r="58" spans="1:9" ht="15" customHeight="1">
      <c r="A58" s="29"/>
      <c r="B58" s="29"/>
    </row>
    <row r="59" spans="1:9" ht="15" customHeight="1">
      <c r="A59" s="29"/>
      <c r="B59" s="29"/>
    </row>
    <row r="60" spans="1:9" ht="11.45" customHeight="1">
      <c r="A60" s="29"/>
      <c r="B60" s="29"/>
    </row>
    <row r="61" spans="1:9" ht="10.9" customHeight="1"/>
  </sheetData>
  <mergeCells count="27">
    <mergeCell ref="A22:D22"/>
    <mergeCell ref="A23:D23"/>
    <mergeCell ref="A14:D14"/>
    <mergeCell ref="A16:D16"/>
    <mergeCell ref="A17:I17"/>
    <mergeCell ref="A19:D19"/>
    <mergeCell ref="A20:D20"/>
    <mergeCell ref="A13:D13"/>
    <mergeCell ref="A3:I6"/>
    <mergeCell ref="A7:I7"/>
    <mergeCell ref="A9:D9"/>
    <mergeCell ref="A10:D10"/>
    <mergeCell ref="A12:D12"/>
    <mergeCell ref="A25:D25"/>
    <mergeCell ref="A26:D26"/>
    <mergeCell ref="A27:D27"/>
    <mergeCell ref="A29:D29"/>
    <mergeCell ref="A38:D38"/>
    <mergeCell ref="A30:D30"/>
    <mergeCell ref="A41:I49"/>
    <mergeCell ref="E38:F38"/>
    <mergeCell ref="A31:I31"/>
    <mergeCell ref="A33:D33"/>
    <mergeCell ref="A34:D34"/>
    <mergeCell ref="A35:D35"/>
    <mergeCell ref="A36:D36"/>
    <mergeCell ref="A39:I3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R56"/>
  <sheetViews>
    <sheetView showGridLines="0" topLeftCell="A16" zoomScaleNormal="100" zoomScaleSheetLayoutView="100" workbookViewId="0">
      <selection activeCell="D1" sqref="D1"/>
    </sheetView>
  </sheetViews>
  <sheetFormatPr defaultColWidth="9.140625" defaultRowHeight="11.25"/>
  <cols>
    <col min="1" max="1" width="6.85546875" style="39" customWidth="1"/>
    <col min="2" max="2" width="8.42578125" style="39" customWidth="1"/>
    <col min="3" max="3" width="13.140625" style="39" customWidth="1"/>
    <col min="4" max="6" width="8.28515625" style="39" customWidth="1"/>
    <col min="7" max="7" width="9.7109375" style="39" customWidth="1"/>
    <col min="8" max="10" width="8.7109375" style="39" customWidth="1"/>
    <col min="11" max="11" width="9.7109375" style="39" customWidth="1"/>
    <col min="12" max="16384" width="9.140625" style="39"/>
  </cols>
  <sheetData>
    <row r="1" spans="1:18" ht="20.25">
      <c r="A1" s="55" t="s">
        <v>285</v>
      </c>
    </row>
    <row r="2" spans="1:18" ht="18">
      <c r="A2" s="427" t="s">
        <v>290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</row>
    <row r="3" spans="1:18" ht="6" customHeight="1">
      <c r="A3" s="229"/>
      <c r="B3" s="229"/>
      <c r="C3" s="230"/>
      <c r="D3" s="428"/>
      <c r="E3" s="429"/>
      <c r="F3" s="429"/>
      <c r="G3" s="429"/>
      <c r="H3" s="429"/>
      <c r="I3" s="429"/>
      <c r="J3" s="429"/>
      <c r="K3" s="429"/>
    </row>
    <row r="4" spans="1:18" s="40" customFormat="1" ht="20.100000000000001" customHeight="1">
      <c r="A4" s="377">
        <v>2023</v>
      </c>
      <c r="B4" s="150"/>
      <c r="C4" s="198"/>
      <c r="D4" s="430" t="s">
        <v>259</v>
      </c>
      <c r="E4" s="431"/>
      <c r="F4" s="431"/>
      <c r="G4" s="432"/>
      <c r="H4" s="430" t="s">
        <v>260</v>
      </c>
      <c r="I4" s="431"/>
      <c r="J4" s="431"/>
      <c r="K4" s="431"/>
    </row>
    <row r="5" spans="1:18" ht="20.100000000000001" customHeight="1">
      <c r="A5" s="153"/>
      <c r="B5" s="153"/>
      <c r="C5" s="199"/>
      <c r="D5" s="200" t="s">
        <v>169</v>
      </c>
      <c r="E5" s="201" t="s">
        <v>170</v>
      </c>
      <c r="F5" s="201" t="s">
        <v>171</v>
      </c>
      <c r="G5" s="202" t="s">
        <v>57</v>
      </c>
      <c r="H5" s="200" t="str">
        <f>D5</f>
        <v>Říjen</v>
      </c>
      <c r="I5" s="201" t="str">
        <f>E5</f>
        <v>Listopad</v>
      </c>
      <c r="J5" s="201" t="str">
        <f>F5</f>
        <v>Prosinec</v>
      </c>
      <c r="K5" s="203" t="str">
        <f>G5</f>
        <v>IV. čtvrtletí</v>
      </c>
    </row>
    <row r="6" spans="1:18" ht="15" customHeight="1">
      <c r="A6" s="420" t="s">
        <v>49</v>
      </c>
      <c r="B6" s="433" t="s">
        <v>21</v>
      </c>
      <c r="C6" s="154" t="s">
        <v>23</v>
      </c>
      <c r="D6" s="155">
        <v>588972.28200000001</v>
      </c>
      <c r="E6" s="156">
        <v>596449.06200000003</v>
      </c>
      <c r="F6" s="156">
        <v>700534.19400000002</v>
      </c>
      <c r="G6" s="157">
        <f>SUM(D6:F6)</f>
        <v>1885955.5380000002</v>
      </c>
      <c r="H6" s="155">
        <v>6455649.5180000002</v>
      </c>
      <c r="I6" s="156">
        <v>6506072.8389999997</v>
      </c>
      <c r="J6" s="156">
        <v>7634646.4649999999</v>
      </c>
      <c r="K6" s="158">
        <f>SUM(H6:J6)</f>
        <v>20596368.822000001</v>
      </c>
      <c r="L6" s="42"/>
      <c r="M6" s="42"/>
      <c r="N6" s="42"/>
      <c r="O6" s="42"/>
      <c r="P6" s="42"/>
      <c r="Q6" s="42"/>
      <c r="R6" s="42"/>
    </row>
    <row r="7" spans="1:18" ht="15" customHeight="1">
      <c r="A7" s="420"/>
      <c r="B7" s="433"/>
      <c r="C7" s="154" t="s">
        <v>24</v>
      </c>
      <c r="D7" s="155">
        <v>86.468871860742283</v>
      </c>
      <c r="E7" s="156">
        <v>152.86775597294817</v>
      </c>
      <c r="F7" s="156">
        <v>184.02559246181804</v>
      </c>
      <c r="G7" s="157">
        <f>SUM(D7:F7)</f>
        <v>423.36222029550845</v>
      </c>
      <c r="H7" s="155">
        <v>999.43941800000005</v>
      </c>
      <c r="I7" s="156">
        <v>1771.0464820000002</v>
      </c>
      <c r="J7" s="156">
        <v>2123.7926569999995</v>
      </c>
      <c r="K7" s="158">
        <f t="shared" ref="K7:K47" si="0">SUM(H7:J7)</f>
        <v>4894.2785569999996</v>
      </c>
      <c r="L7" s="42"/>
      <c r="M7" s="42"/>
      <c r="N7" s="42"/>
      <c r="O7" s="42"/>
      <c r="P7" s="42"/>
      <c r="Q7" s="42"/>
    </row>
    <row r="8" spans="1:18" ht="15" customHeight="1">
      <c r="A8" s="420"/>
      <c r="B8" s="434"/>
      <c r="C8" s="159" t="s">
        <v>25</v>
      </c>
      <c r="D8" s="160">
        <v>589058.75087186077</v>
      </c>
      <c r="E8" s="161">
        <v>596601.92975597293</v>
      </c>
      <c r="F8" s="161">
        <v>700718.21959246183</v>
      </c>
      <c r="G8" s="162">
        <f t="shared" ref="G8" si="1">SUM(D8:F8)</f>
        <v>1886378.9002202954</v>
      </c>
      <c r="H8" s="160">
        <v>6456648.9574180003</v>
      </c>
      <c r="I8" s="161">
        <v>6507843.8854819993</v>
      </c>
      <c r="J8" s="161">
        <v>7636770.2576569999</v>
      </c>
      <c r="K8" s="163">
        <f t="shared" si="0"/>
        <v>20601263.100556999</v>
      </c>
      <c r="L8" s="42"/>
      <c r="M8" s="42"/>
      <c r="N8" s="42"/>
      <c r="O8" s="42"/>
      <c r="P8" s="42"/>
      <c r="Q8" s="42"/>
    </row>
    <row r="9" spans="1:18" ht="15" customHeight="1">
      <c r="A9" s="420"/>
      <c r="B9" s="435" t="s">
        <v>22</v>
      </c>
      <c r="C9" s="164" t="s">
        <v>23</v>
      </c>
      <c r="D9" s="165">
        <v>17985.710999999999</v>
      </c>
      <c r="E9" s="166">
        <v>52239.46</v>
      </c>
      <c r="F9" s="166">
        <v>31776.732</v>
      </c>
      <c r="G9" s="167">
        <f>SUM(D9:F9)</f>
        <v>102001.90300000001</v>
      </c>
      <c r="H9" s="165">
        <v>196852.28</v>
      </c>
      <c r="I9" s="166">
        <v>570631.19499999995</v>
      </c>
      <c r="J9" s="166">
        <v>346143.88899999997</v>
      </c>
      <c r="K9" s="168">
        <f t="shared" si="0"/>
        <v>1113627.3640000001</v>
      </c>
      <c r="L9" s="42"/>
      <c r="M9" s="42"/>
      <c r="N9" s="42"/>
      <c r="O9" s="42"/>
      <c r="P9" s="42"/>
      <c r="Q9" s="42"/>
    </row>
    <row r="10" spans="1:18" ht="15" customHeight="1">
      <c r="A10" s="420"/>
      <c r="B10" s="433"/>
      <c r="C10" s="154" t="s">
        <v>24</v>
      </c>
      <c r="D10" s="155">
        <v>18.571551777657806</v>
      </c>
      <c r="E10" s="156">
        <v>35.097670883788268</v>
      </c>
      <c r="F10" s="156">
        <v>44.366172127413591</v>
      </c>
      <c r="G10" s="157">
        <f>SUM(D10:F10)</f>
        <v>98.035394788859662</v>
      </c>
      <c r="H10" s="155">
        <v>203.781519</v>
      </c>
      <c r="I10" s="156">
        <v>383.6375559</v>
      </c>
      <c r="J10" s="156">
        <v>483.83442869999999</v>
      </c>
      <c r="K10" s="158">
        <f t="shared" si="0"/>
        <v>1071.2535035999999</v>
      </c>
      <c r="L10" s="42"/>
      <c r="M10" s="42"/>
      <c r="N10" s="42"/>
      <c r="O10" s="42"/>
      <c r="P10" s="42"/>
      <c r="Q10" s="42"/>
    </row>
    <row r="11" spans="1:18" ht="15" customHeight="1">
      <c r="A11" s="420"/>
      <c r="B11" s="434"/>
      <c r="C11" s="159" t="s">
        <v>25</v>
      </c>
      <c r="D11" s="160">
        <v>18004.282551777658</v>
      </c>
      <c r="E11" s="161">
        <v>52274.557670883791</v>
      </c>
      <c r="F11" s="161">
        <v>31821.098172127415</v>
      </c>
      <c r="G11" s="162">
        <f t="shared" ref="G11" si="2">SUM(D11:F11)</f>
        <v>102099.93839478886</v>
      </c>
      <c r="H11" s="160">
        <v>197056.06151900001</v>
      </c>
      <c r="I11" s="161">
        <v>571014.83255589998</v>
      </c>
      <c r="J11" s="161">
        <v>346627.72342869994</v>
      </c>
      <c r="K11" s="163">
        <f t="shared" si="0"/>
        <v>1114698.6175036</v>
      </c>
      <c r="L11" s="42"/>
      <c r="M11" s="42"/>
      <c r="N11" s="42"/>
      <c r="O11" s="42"/>
      <c r="P11" s="42"/>
      <c r="Q11" s="42"/>
    </row>
    <row r="12" spans="1:18" ht="15" customHeight="1">
      <c r="A12" s="420"/>
      <c r="B12" s="423" t="s">
        <v>51</v>
      </c>
      <c r="C12" s="154" t="s">
        <v>23</v>
      </c>
      <c r="D12" s="155">
        <v>570986.571</v>
      </c>
      <c r="E12" s="156">
        <v>544209.60200000007</v>
      </c>
      <c r="F12" s="156">
        <v>668757.46200000006</v>
      </c>
      <c r="G12" s="157">
        <f>SUM(D12:F12)</f>
        <v>1783953.635</v>
      </c>
      <c r="H12" s="155">
        <v>6258797.2379999999</v>
      </c>
      <c r="I12" s="156">
        <v>5935441.6439999994</v>
      </c>
      <c r="J12" s="156">
        <v>7288502.5759999994</v>
      </c>
      <c r="K12" s="158">
        <f t="shared" si="0"/>
        <v>19482741.457999997</v>
      </c>
      <c r="L12" s="42"/>
      <c r="M12" s="42"/>
      <c r="N12" s="42"/>
      <c r="O12" s="42"/>
      <c r="P12" s="42"/>
      <c r="Q12" s="42"/>
    </row>
    <row r="13" spans="1:18" ht="15" customHeight="1">
      <c r="A13" s="420"/>
      <c r="B13" s="433"/>
      <c r="C13" s="154" t="s">
        <v>24</v>
      </c>
      <c r="D13" s="155">
        <v>67.89732008308448</v>
      </c>
      <c r="E13" s="156">
        <v>117.77008508915991</v>
      </c>
      <c r="F13" s="156">
        <v>139.65942033440444</v>
      </c>
      <c r="G13" s="157">
        <f>SUM(D13:F13)</f>
        <v>325.32682550664885</v>
      </c>
      <c r="H13" s="155">
        <v>795.65789900000004</v>
      </c>
      <c r="I13" s="156">
        <v>1387.4089261000001</v>
      </c>
      <c r="J13" s="156">
        <v>1639.9582282999995</v>
      </c>
      <c r="K13" s="158">
        <f t="shared" si="0"/>
        <v>3823.0250533999997</v>
      </c>
      <c r="L13" s="42"/>
      <c r="M13" s="42"/>
      <c r="N13" s="42"/>
      <c r="O13" s="42"/>
      <c r="P13" s="42"/>
      <c r="Q13" s="42"/>
    </row>
    <row r="14" spans="1:18" ht="15" customHeight="1">
      <c r="A14" s="421"/>
      <c r="B14" s="434"/>
      <c r="C14" s="159" t="s">
        <v>25</v>
      </c>
      <c r="D14" s="160">
        <v>571054.46832008311</v>
      </c>
      <c r="E14" s="161">
        <v>544327.37208508921</v>
      </c>
      <c r="F14" s="161">
        <v>668897.12142033444</v>
      </c>
      <c r="G14" s="162">
        <f t="shared" ref="G14:G51" si="3">SUM(D14:F14)</f>
        <v>1784278.9618255068</v>
      </c>
      <c r="H14" s="160">
        <v>6259592.8958989996</v>
      </c>
      <c r="I14" s="161">
        <v>5936829.0529260989</v>
      </c>
      <c r="J14" s="161">
        <v>7290142.5342282997</v>
      </c>
      <c r="K14" s="163">
        <f t="shared" si="0"/>
        <v>19486564.483053397</v>
      </c>
      <c r="L14" s="42"/>
      <c r="M14" s="42"/>
      <c r="N14" s="42"/>
      <c r="O14" s="42"/>
      <c r="P14" s="42"/>
      <c r="Q14" s="42"/>
    </row>
    <row r="15" spans="1:18" ht="15" customHeight="1">
      <c r="A15" s="419" t="s">
        <v>150</v>
      </c>
      <c r="B15" s="435" t="s">
        <v>26</v>
      </c>
      <c r="C15" s="164" t="s">
        <v>319</v>
      </c>
      <c r="D15" s="165">
        <v>3448.5949999999998</v>
      </c>
      <c r="E15" s="166">
        <v>118506.193</v>
      </c>
      <c r="F15" s="166">
        <v>162329.81700000001</v>
      </c>
      <c r="G15" s="167">
        <f t="shared" si="3"/>
        <v>284284.60499999998</v>
      </c>
      <c r="H15" s="165">
        <v>37907.925999999999</v>
      </c>
      <c r="I15" s="166">
        <v>1294542.0630000001</v>
      </c>
      <c r="J15" s="166">
        <v>1767597.1370000001</v>
      </c>
      <c r="K15" s="168">
        <f t="shared" si="0"/>
        <v>3100047.1260000002</v>
      </c>
      <c r="L15" s="42"/>
      <c r="M15" s="42"/>
      <c r="N15" s="42"/>
      <c r="O15" s="42"/>
      <c r="P15" s="42"/>
      <c r="Q15" s="42"/>
    </row>
    <row r="16" spans="1:18" ht="15" customHeight="1">
      <c r="A16" s="420"/>
      <c r="B16" s="433"/>
      <c r="C16" s="154" t="s">
        <v>211</v>
      </c>
      <c r="D16" s="155">
        <v>111.122</v>
      </c>
      <c r="E16" s="156">
        <v>42754.438000000002</v>
      </c>
      <c r="F16" s="156">
        <v>34602.217999999993</v>
      </c>
      <c r="G16" s="157">
        <f>SUM(D16:F16)</f>
        <v>77467.777999999991</v>
      </c>
      <c r="H16" s="155">
        <v>1223.2142750000003</v>
      </c>
      <c r="I16" s="156">
        <v>468285.63110589999</v>
      </c>
      <c r="J16" s="156">
        <v>378656.14823039999</v>
      </c>
      <c r="K16" s="158">
        <f t="shared" si="0"/>
        <v>848164.9936112999</v>
      </c>
      <c r="L16" s="42"/>
      <c r="M16" s="42"/>
      <c r="N16" s="42"/>
      <c r="O16" s="42"/>
      <c r="P16" s="42"/>
      <c r="Q16" s="42"/>
    </row>
    <row r="17" spans="1:17" ht="15" customHeight="1">
      <c r="A17" s="420"/>
      <c r="B17" s="433"/>
      <c r="C17" s="154" t="s">
        <v>65</v>
      </c>
      <c r="D17" s="155">
        <v>5923.9369999999999</v>
      </c>
      <c r="E17" s="156">
        <v>36393.300999999999</v>
      </c>
      <c r="F17" s="156">
        <v>32091.508000000002</v>
      </c>
      <c r="G17" s="157">
        <f>SUM(D17:F17)</f>
        <v>74408.745999999999</v>
      </c>
      <c r="H17" s="155">
        <v>65171.631725000007</v>
      </c>
      <c r="I17" s="156">
        <v>398225.02389410004</v>
      </c>
      <c r="J17" s="156">
        <v>351252.39476959995</v>
      </c>
      <c r="K17" s="158">
        <f t="shared" si="0"/>
        <v>814649.05038869998</v>
      </c>
      <c r="L17" s="42"/>
      <c r="M17" s="42"/>
      <c r="N17" s="42"/>
      <c r="O17" s="42"/>
      <c r="P17" s="42"/>
      <c r="Q17" s="42"/>
    </row>
    <row r="18" spans="1:17" ht="15" customHeight="1">
      <c r="A18" s="420"/>
      <c r="B18" s="434"/>
      <c r="C18" s="159" t="s">
        <v>25</v>
      </c>
      <c r="D18" s="160">
        <v>9483.6539999999986</v>
      </c>
      <c r="E18" s="161">
        <v>197653.932</v>
      </c>
      <c r="F18" s="161">
        <v>229023.54300000001</v>
      </c>
      <c r="G18" s="162">
        <f>SUM(D18:F18)</f>
        <v>436161.12900000002</v>
      </c>
      <c r="H18" s="160">
        <v>104302.772</v>
      </c>
      <c r="I18" s="161">
        <v>2161052.7180000003</v>
      </c>
      <c r="J18" s="161">
        <v>2497505.6800000002</v>
      </c>
      <c r="K18" s="163">
        <f>SUM(H18:J18)</f>
        <v>4762861.17</v>
      </c>
      <c r="L18" s="42"/>
      <c r="M18" s="42"/>
      <c r="N18" s="42"/>
      <c r="O18" s="42"/>
      <c r="P18" s="42"/>
      <c r="Q18" s="42"/>
    </row>
    <row r="19" spans="1:17" ht="15" customHeight="1">
      <c r="A19" s="420"/>
      <c r="B19" s="435" t="s">
        <v>27</v>
      </c>
      <c r="C19" s="164" t="s">
        <v>319</v>
      </c>
      <c r="D19" s="165">
        <v>83596.962999999989</v>
      </c>
      <c r="E19" s="166">
        <v>8725.1899999999987</v>
      </c>
      <c r="F19" s="166">
        <v>2730.4927499999999</v>
      </c>
      <c r="G19" s="167">
        <f t="shared" si="3"/>
        <v>95052.645749999996</v>
      </c>
      <c r="H19" s="165">
        <v>919356.71368799999</v>
      </c>
      <c r="I19" s="166">
        <v>95745.865657000002</v>
      </c>
      <c r="J19" s="166">
        <v>29717.567303</v>
      </c>
      <c r="K19" s="168">
        <f t="shared" si="0"/>
        <v>1044820.146648</v>
      </c>
      <c r="L19" s="42"/>
      <c r="M19" s="42"/>
      <c r="N19" s="42"/>
      <c r="O19" s="42"/>
      <c r="P19" s="42"/>
      <c r="Q19" s="42"/>
    </row>
    <row r="20" spans="1:17" ht="15" customHeight="1">
      <c r="A20" s="420"/>
      <c r="B20" s="433"/>
      <c r="C20" s="154" t="s">
        <v>211</v>
      </c>
      <c r="D20" s="155">
        <v>17618.692999999996</v>
      </c>
      <c r="E20" s="156">
        <v>2211.4209999999998</v>
      </c>
      <c r="F20" s="156">
        <v>20958.889000000003</v>
      </c>
      <c r="G20" s="157">
        <f t="shared" si="3"/>
        <v>40789.002999999997</v>
      </c>
      <c r="H20" s="155">
        <v>193567.49876400005</v>
      </c>
      <c r="I20" s="156">
        <v>24097.547399100007</v>
      </c>
      <c r="J20" s="156">
        <v>228531.57585469997</v>
      </c>
      <c r="K20" s="158">
        <f t="shared" si="0"/>
        <v>446196.62201779999</v>
      </c>
      <c r="L20" s="42"/>
      <c r="M20" s="42"/>
      <c r="N20" s="42"/>
      <c r="O20" s="42"/>
      <c r="P20" s="42"/>
      <c r="Q20" s="42"/>
    </row>
    <row r="21" spans="1:17" ht="15" customHeight="1">
      <c r="A21" s="420"/>
      <c r="B21" s="433"/>
      <c r="C21" s="154" t="s">
        <v>65</v>
      </c>
      <c r="D21" s="155">
        <v>23094.451000000005</v>
      </c>
      <c r="E21" s="156">
        <v>5381.5370000000003</v>
      </c>
      <c r="F21" s="156">
        <v>1607.9259999999958</v>
      </c>
      <c r="G21" s="157">
        <f t="shared" si="3"/>
        <v>30083.914000000001</v>
      </c>
      <c r="H21" s="155">
        <v>253622.64823599995</v>
      </c>
      <c r="I21" s="156">
        <v>58616.712600899991</v>
      </c>
      <c r="J21" s="156">
        <v>17480.76814530004</v>
      </c>
      <c r="K21" s="158">
        <f t="shared" si="0"/>
        <v>329720.1289822</v>
      </c>
      <c r="L21" s="42"/>
      <c r="M21" s="42"/>
      <c r="N21" s="42"/>
      <c r="O21" s="42"/>
      <c r="P21" s="42"/>
      <c r="Q21" s="42"/>
    </row>
    <row r="22" spans="1:17" ht="15" customHeight="1">
      <c r="A22" s="420"/>
      <c r="B22" s="434"/>
      <c r="C22" s="159" t="s">
        <v>25</v>
      </c>
      <c r="D22" s="160">
        <v>124310.10699999999</v>
      </c>
      <c r="E22" s="161">
        <v>16318.147999999999</v>
      </c>
      <c r="F22" s="161">
        <v>25297.30775</v>
      </c>
      <c r="G22" s="162">
        <f t="shared" si="3"/>
        <v>165925.56274999998</v>
      </c>
      <c r="H22" s="160">
        <v>1366546.860688</v>
      </c>
      <c r="I22" s="161">
        <v>178460.125657</v>
      </c>
      <c r="J22" s="161">
        <v>275729.911303</v>
      </c>
      <c r="K22" s="163">
        <f t="shared" si="0"/>
        <v>1820736.8976480002</v>
      </c>
      <c r="L22" s="42"/>
      <c r="M22" s="42"/>
      <c r="N22" s="42"/>
      <c r="O22" s="42"/>
      <c r="P22" s="42"/>
      <c r="Q22" s="42"/>
    </row>
    <row r="23" spans="1:17" ht="15" customHeight="1">
      <c r="A23" s="420"/>
      <c r="B23" s="423" t="s">
        <v>52</v>
      </c>
      <c r="C23" s="154" t="s">
        <v>319</v>
      </c>
      <c r="D23" s="155">
        <v>-80148.367999999988</v>
      </c>
      <c r="E23" s="156">
        <v>109781.003</v>
      </c>
      <c r="F23" s="156">
        <v>159599.32425000001</v>
      </c>
      <c r="G23" s="157">
        <f t="shared" si="3"/>
        <v>189231.95925000001</v>
      </c>
      <c r="H23" s="155">
        <v>-881448.78768800001</v>
      </c>
      <c r="I23" s="156">
        <v>1198796.197343</v>
      </c>
      <c r="J23" s="156">
        <v>1737879.5696970001</v>
      </c>
      <c r="K23" s="158">
        <f t="shared" si="0"/>
        <v>2055226.9793520002</v>
      </c>
      <c r="L23" s="42"/>
      <c r="M23" s="42"/>
      <c r="N23" s="42"/>
      <c r="O23" s="42"/>
      <c r="P23" s="42"/>
      <c r="Q23" s="42"/>
    </row>
    <row r="24" spans="1:17" ht="15" customHeight="1">
      <c r="A24" s="420"/>
      <c r="B24" s="433"/>
      <c r="C24" s="154" t="s">
        <v>211</v>
      </c>
      <c r="D24" s="155">
        <v>-17507.570999999996</v>
      </c>
      <c r="E24" s="156">
        <v>40543.017</v>
      </c>
      <c r="F24" s="156">
        <v>13643.328999999991</v>
      </c>
      <c r="G24" s="157">
        <f t="shared" si="3"/>
        <v>36678.774999999994</v>
      </c>
      <c r="H24" s="155">
        <v>-192344.28448900004</v>
      </c>
      <c r="I24" s="156">
        <v>444188.08370679995</v>
      </c>
      <c r="J24" s="156">
        <v>150124.57237570002</v>
      </c>
      <c r="K24" s="158">
        <f t="shared" si="0"/>
        <v>401968.37159349991</v>
      </c>
      <c r="L24" s="42"/>
      <c r="M24" s="42"/>
      <c r="N24" s="42"/>
      <c r="O24" s="42"/>
      <c r="P24" s="42"/>
      <c r="Q24" s="42"/>
    </row>
    <row r="25" spans="1:17" ht="15" customHeight="1">
      <c r="A25" s="420"/>
      <c r="B25" s="433"/>
      <c r="C25" s="154" t="s">
        <v>65</v>
      </c>
      <c r="D25" s="155">
        <v>-17170.514000000003</v>
      </c>
      <c r="E25" s="156">
        <v>31011.763999999999</v>
      </c>
      <c r="F25" s="156">
        <v>30483.582000000006</v>
      </c>
      <c r="G25" s="157">
        <f t="shared" si="3"/>
        <v>44324.832000000002</v>
      </c>
      <c r="H25" s="155">
        <v>-188451.01651099994</v>
      </c>
      <c r="I25" s="156">
        <v>339608.31129320007</v>
      </c>
      <c r="J25" s="156">
        <v>333771.62662429991</v>
      </c>
      <c r="K25" s="158">
        <f t="shared" si="0"/>
        <v>484928.92140650004</v>
      </c>
      <c r="L25" s="42"/>
      <c r="M25" s="42"/>
      <c r="N25" s="42"/>
      <c r="O25" s="42"/>
      <c r="P25" s="42"/>
      <c r="Q25" s="42"/>
    </row>
    <row r="26" spans="1:17" ht="15" customHeight="1">
      <c r="A26" s="420"/>
      <c r="B26" s="434"/>
      <c r="C26" s="159" t="s">
        <v>25</v>
      </c>
      <c r="D26" s="160">
        <v>-114826.45299999998</v>
      </c>
      <c r="E26" s="161">
        <v>181335.78399999999</v>
      </c>
      <c r="F26" s="161">
        <v>203726.23525</v>
      </c>
      <c r="G26" s="162">
        <f t="shared" si="3"/>
        <v>270235.56625000003</v>
      </c>
      <c r="H26" s="160">
        <v>-1262244.0886880001</v>
      </c>
      <c r="I26" s="161">
        <v>1982592.592343</v>
      </c>
      <c r="J26" s="161">
        <v>2221775.7686970001</v>
      </c>
      <c r="K26" s="163">
        <f t="shared" si="0"/>
        <v>2942124.2723519998</v>
      </c>
      <c r="L26" s="42"/>
      <c r="M26" s="42"/>
      <c r="N26" s="42"/>
      <c r="O26" s="42"/>
      <c r="P26" s="42"/>
      <c r="Q26" s="42"/>
    </row>
    <row r="27" spans="1:17" ht="15" customHeight="1">
      <c r="A27" s="421"/>
      <c r="B27" s="418" t="s">
        <v>54</v>
      </c>
      <c r="C27" s="418"/>
      <c r="D27" s="160">
        <v>3449286.8367324905</v>
      </c>
      <c r="E27" s="161">
        <v>3267239.2057324904</v>
      </c>
      <c r="F27" s="161">
        <v>3062640.5487324907</v>
      </c>
      <c r="G27" s="162">
        <f>F27</f>
        <v>3062640.5487324907</v>
      </c>
      <c r="H27" s="160">
        <v>37515060.842291594</v>
      </c>
      <c r="I27" s="161">
        <v>35524642.268830299</v>
      </c>
      <c r="J27" s="161">
        <v>33293275.673026592</v>
      </c>
      <c r="K27" s="163">
        <f>J27</f>
        <v>33293275.673026592</v>
      </c>
      <c r="L27" s="42"/>
      <c r="M27" s="42"/>
      <c r="N27" s="42"/>
      <c r="O27" s="42"/>
      <c r="P27" s="42"/>
      <c r="Q27" s="42"/>
    </row>
    <row r="28" spans="1:17" ht="15" customHeight="1">
      <c r="A28" s="419" t="s">
        <v>50</v>
      </c>
      <c r="B28" s="422" t="s">
        <v>195</v>
      </c>
      <c r="C28" s="164" t="s">
        <v>28</v>
      </c>
      <c r="D28" s="165">
        <v>3284.9650000000001</v>
      </c>
      <c r="E28" s="166">
        <v>3479.4519999999984</v>
      </c>
      <c r="F28" s="166">
        <v>5299.219000000001</v>
      </c>
      <c r="G28" s="167">
        <f t="shared" si="3"/>
        <v>12063.635999999999</v>
      </c>
      <c r="H28" s="165">
        <v>35750.927473600008</v>
      </c>
      <c r="I28" s="166">
        <v>37833.40426464648</v>
      </c>
      <c r="J28" s="166">
        <v>57630.339232556405</v>
      </c>
      <c r="K28" s="168">
        <f t="shared" si="0"/>
        <v>131214.67097080289</v>
      </c>
      <c r="L28" s="42"/>
      <c r="M28" s="42"/>
      <c r="N28" s="42"/>
      <c r="O28" s="42"/>
      <c r="P28" s="42"/>
      <c r="Q28" s="42"/>
    </row>
    <row r="29" spans="1:17" ht="15" customHeight="1">
      <c r="A29" s="420"/>
      <c r="B29" s="423"/>
      <c r="C29" s="154" t="s">
        <v>31</v>
      </c>
      <c r="D29" s="155">
        <v>99.135999999999711</v>
      </c>
      <c r="E29" s="156">
        <v>121.42300000000043</v>
      </c>
      <c r="F29" s="156">
        <v>173.41900000000078</v>
      </c>
      <c r="G29" s="157">
        <f t="shared" si="3"/>
        <v>393.97800000000092</v>
      </c>
      <c r="H29" s="155">
        <v>1211.6102729999916</v>
      </c>
      <c r="I29" s="156">
        <v>1406.0360000000023</v>
      </c>
      <c r="J29" s="156">
        <v>2100.2560000000085</v>
      </c>
      <c r="K29" s="158">
        <f t="shared" si="0"/>
        <v>4717.9022730000024</v>
      </c>
      <c r="L29" s="42"/>
      <c r="M29" s="42"/>
      <c r="N29" s="42"/>
      <c r="O29" s="42"/>
      <c r="P29" s="42"/>
      <c r="Q29" s="42"/>
    </row>
    <row r="30" spans="1:17" ht="15" customHeight="1">
      <c r="A30" s="420"/>
      <c r="B30" s="424"/>
      <c r="C30" s="159" t="s">
        <v>25</v>
      </c>
      <c r="D30" s="160">
        <v>3384.1009999999997</v>
      </c>
      <c r="E30" s="161">
        <v>3600.8749999999986</v>
      </c>
      <c r="F30" s="161">
        <v>5472.6380000000017</v>
      </c>
      <c r="G30" s="162">
        <f t="shared" si="3"/>
        <v>12457.614000000001</v>
      </c>
      <c r="H30" s="160">
        <v>36962.537746599999</v>
      </c>
      <c r="I30" s="161">
        <v>39239.440264646481</v>
      </c>
      <c r="J30" s="161">
        <v>59730.595232556414</v>
      </c>
      <c r="K30" s="163">
        <f t="shared" si="0"/>
        <v>135932.57324380288</v>
      </c>
      <c r="L30" s="42"/>
      <c r="M30" s="42"/>
      <c r="N30" s="42"/>
      <c r="O30" s="42"/>
      <c r="P30" s="42"/>
      <c r="Q30" s="42"/>
    </row>
    <row r="31" spans="1:17" ht="15" customHeight="1">
      <c r="A31" s="420"/>
      <c r="B31" s="423" t="s">
        <v>196</v>
      </c>
      <c r="C31" s="154" t="s">
        <v>28</v>
      </c>
      <c r="D31" s="155">
        <v>797.41899999999998</v>
      </c>
      <c r="E31" s="156">
        <v>1048.7280000000001</v>
      </c>
      <c r="F31" s="156">
        <v>1092.2090000000001</v>
      </c>
      <c r="G31" s="157">
        <f t="shared" si="3"/>
        <v>2938.3559999999998</v>
      </c>
      <c r="H31" s="155">
        <v>8379.6025000000009</v>
      </c>
      <c r="I31" s="156">
        <v>11013.286499999998</v>
      </c>
      <c r="J31" s="156">
        <v>11469.375999999998</v>
      </c>
      <c r="K31" s="158">
        <f t="shared" si="0"/>
        <v>30862.264999999999</v>
      </c>
      <c r="L31" s="42"/>
      <c r="M31" s="42"/>
      <c r="N31" s="42"/>
      <c r="O31" s="42"/>
      <c r="P31" s="42"/>
      <c r="Q31" s="42"/>
    </row>
    <row r="32" spans="1:17" ht="15" customHeight="1">
      <c r="A32" s="420"/>
      <c r="B32" s="423"/>
      <c r="C32" s="154" t="s">
        <v>31</v>
      </c>
      <c r="D32" s="155">
        <v>0</v>
      </c>
      <c r="E32" s="156">
        <v>0</v>
      </c>
      <c r="F32" s="156">
        <v>13.781000000000001</v>
      </c>
      <c r="G32" s="157">
        <f t="shared" si="3"/>
        <v>13.781000000000001</v>
      </c>
      <c r="H32" s="155">
        <v>0</v>
      </c>
      <c r="I32" s="156">
        <v>0</v>
      </c>
      <c r="J32" s="156">
        <v>145.84299999999999</v>
      </c>
      <c r="K32" s="158">
        <f t="shared" si="0"/>
        <v>145.84299999999999</v>
      </c>
      <c r="L32" s="42"/>
      <c r="M32" s="42"/>
      <c r="N32" s="42"/>
      <c r="O32" s="42"/>
      <c r="P32" s="42"/>
      <c r="Q32" s="42"/>
    </row>
    <row r="33" spans="1:17" ht="15" customHeight="1">
      <c r="A33" s="420"/>
      <c r="B33" s="424"/>
      <c r="C33" s="159" t="s">
        <v>25</v>
      </c>
      <c r="D33" s="160">
        <v>797.41899999999998</v>
      </c>
      <c r="E33" s="161">
        <v>1048.7280000000001</v>
      </c>
      <c r="F33" s="161">
        <v>1105.99</v>
      </c>
      <c r="G33" s="162">
        <f t="shared" si="3"/>
        <v>2952.1369999999997</v>
      </c>
      <c r="H33" s="160">
        <v>8379.6025000000009</v>
      </c>
      <c r="I33" s="161">
        <v>11013.286499999998</v>
      </c>
      <c r="J33" s="161">
        <v>11615.218999999999</v>
      </c>
      <c r="K33" s="163">
        <f t="shared" si="0"/>
        <v>31008.108</v>
      </c>
      <c r="L33" s="42"/>
      <c r="M33" s="42"/>
      <c r="N33" s="42"/>
      <c r="O33" s="42"/>
      <c r="P33" s="42"/>
      <c r="Q33" s="42"/>
    </row>
    <row r="34" spans="1:17" ht="15" customHeight="1">
      <c r="A34" s="420"/>
      <c r="B34" s="423" t="s">
        <v>25</v>
      </c>
      <c r="C34" s="154" t="s">
        <v>28</v>
      </c>
      <c r="D34" s="155">
        <v>4082.384</v>
      </c>
      <c r="E34" s="156">
        <v>4528.1799999999985</v>
      </c>
      <c r="F34" s="156">
        <v>6391.4280000000008</v>
      </c>
      <c r="G34" s="157">
        <f t="shared" si="3"/>
        <v>15001.991999999998</v>
      </c>
      <c r="H34" s="155">
        <v>44130.529973600009</v>
      </c>
      <c r="I34" s="156">
        <v>48846.690764646482</v>
      </c>
      <c r="J34" s="156">
        <v>69099.715232556409</v>
      </c>
      <c r="K34" s="158">
        <f t="shared" si="0"/>
        <v>162076.93597080291</v>
      </c>
      <c r="L34" s="42"/>
      <c r="M34" s="42"/>
      <c r="N34" s="42"/>
      <c r="O34" s="42"/>
      <c r="P34" s="42"/>
      <c r="Q34" s="42"/>
    </row>
    <row r="35" spans="1:17" ht="15" customHeight="1">
      <c r="A35" s="420"/>
      <c r="B35" s="423"/>
      <c r="C35" s="154" t="s">
        <v>31</v>
      </c>
      <c r="D35" s="155">
        <v>99.135999999999711</v>
      </c>
      <c r="E35" s="156">
        <v>121.42300000000043</v>
      </c>
      <c r="F35" s="156">
        <v>187.20000000000078</v>
      </c>
      <c r="G35" s="157">
        <f t="shared" si="3"/>
        <v>407.75900000000092</v>
      </c>
      <c r="H35" s="155">
        <v>1211.6102729999916</v>
      </c>
      <c r="I35" s="156">
        <v>1406.0360000000023</v>
      </c>
      <c r="J35" s="156">
        <v>2246.0990000000083</v>
      </c>
      <c r="K35" s="158">
        <f t="shared" si="0"/>
        <v>4863.7452730000023</v>
      </c>
      <c r="L35" s="42"/>
      <c r="M35" s="42"/>
      <c r="N35" s="42"/>
      <c r="O35" s="42"/>
      <c r="P35" s="42"/>
      <c r="Q35" s="42"/>
    </row>
    <row r="36" spans="1:17" ht="15" customHeight="1">
      <c r="A36" s="421"/>
      <c r="B36" s="424"/>
      <c r="C36" s="159" t="s">
        <v>25</v>
      </c>
      <c r="D36" s="160">
        <v>4181.5199999999995</v>
      </c>
      <c r="E36" s="161">
        <v>4649.6029999999992</v>
      </c>
      <c r="F36" s="161">
        <v>6578.6280000000015</v>
      </c>
      <c r="G36" s="162">
        <f t="shared" si="3"/>
        <v>15409.751</v>
      </c>
      <c r="H36" s="160">
        <v>45342.1402466</v>
      </c>
      <c r="I36" s="161">
        <v>50252.726764646482</v>
      </c>
      <c r="J36" s="161">
        <v>71345.814232556411</v>
      </c>
      <c r="K36" s="163">
        <f t="shared" si="0"/>
        <v>166940.68124380289</v>
      </c>
      <c r="L36" s="42"/>
      <c r="M36" s="42"/>
      <c r="N36" s="42"/>
      <c r="O36" s="42"/>
      <c r="P36" s="42"/>
      <c r="Q36" s="42"/>
    </row>
    <row r="37" spans="1:17" ht="15" customHeight="1">
      <c r="A37" s="419" t="s">
        <v>64</v>
      </c>
      <c r="B37" s="422" t="s">
        <v>53</v>
      </c>
      <c r="C37" s="164" t="s">
        <v>67</v>
      </c>
      <c r="D37" s="165">
        <v>431856.17660749331</v>
      </c>
      <c r="E37" s="166">
        <v>706603.66184286762</v>
      </c>
      <c r="F37" s="166">
        <v>843235.84893294692</v>
      </c>
      <c r="G37" s="167">
        <f t="shared" si="3"/>
        <v>1981695.6873833081</v>
      </c>
      <c r="H37" s="165">
        <v>4739169.6835670033</v>
      </c>
      <c r="I37" s="166">
        <v>7724702.3667930411</v>
      </c>
      <c r="J37" s="166">
        <v>9197091.7136110868</v>
      </c>
      <c r="K37" s="168">
        <f t="shared" si="0"/>
        <v>21660963.763971131</v>
      </c>
      <c r="L37" s="42"/>
      <c r="M37" s="42"/>
      <c r="N37" s="42"/>
      <c r="O37" s="42"/>
      <c r="P37" s="42"/>
      <c r="Q37" s="42"/>
    </row>
    <row r="38" spans="1:17" ht="15" customHeight="1">
      <c r="A38" s="420"/>
      <c r="B38" s="423"/>
      <c r="C38" s="154" t="s">
        <v>29</v>
      </c>
      <c r="D38" s="155">
        <v>5178.9634619377475</v>
      </c>
      <c r="E38" s="156">
        <v>9680.0452431659487</v>
      </c>
      <c r="F38" s="156">
        <v>12904.467577814621</v>
      </c>
      <c r="G38" s="157">
        <f t="shared" si="3"/>
        <v>27763.476282918316</v>
      </c>
      <c r="H38" s="155">
        <v>56841.080736600008</v>
      </c>
      <c r="I38" s="156">
        <v>105830.03657999999</v>
      </c>
      <c r="J38" s="156">
        <v>140749.71079810002</v>
      </c>
      <c r="K38" s="158">
        <f t="shared" si="0"/>
        <v>303420.82811470004</v>
      </c>
      <c r="L38" s="42"/>
      <c r="M38" s="42"/>
      <c r="N38" s="42"/>
      <c r="O38" s="42"/>
      <c r="P38" s="42"/>
      <c r="Q38" s="42"/>
    </row>
    <row r="39" spans="1:17" ht="15" customHeight="1">
      <c r="A39" s="420"/>
      <c r="B39" s="424"/>
      <c r="C39" s="159" t="s">
        <v>25</v>
      </c>
      <c r="D39" s="160">
        <v>437035.14006943104</v>
      </c>
      <c r="E39" s="161">
        <v>716283.70708603354</v>
      </c>
      <c r="F39" s="161">
        <v>856140.31651076151</v>
      </c>
      <c r="G39" s="162">
        <f t="shared" si="3"/>
        <v>2009459.163666226</v>
      </c>
      <c r="H39" s="160">
        <v>4796010.7643036032</v>
      </c>
      <c r="I39" s="161">
        <v>7830532.4033730412</v>
      </c>
      <c r="J39" s="161">
        <v>9337841.4244091865</v>
      </c>
      <c r="K39" s="163">
        <f t="shared" si="0"/>
        <v>21964384.592085831</v>
      </c>
      <c r="L39" s="42"/>
      <c r="M39" s="42"/>
      <c r="N39" s="42"/>
      <c r="O39" s="42"/>
      <c r="P39" s="42"/>
      <c r="Q39" s="42"/>
    </row>
    <row r="40" spans="1:17" ht="15" customHeight="1">
      <c r="A40" s="420"/>
      <c r="B40" s="422" t="s">
        <v>312</v>
      </c>
      <c r="C40" s="164" t="s">
        <v>67</v>
      </c>
      <c r="D40" s="165">
        <v>797.41899999999998</v>
      </c>
      <c r="E40" s="166">
        <v>1048.7279999999998</v>
      </c>
      <c r="F40" s="166">
        <v>1092.2089999999998</v>
      </c>
      <c r="G40" s="167">
        <f t="shared" si="3"/>
        <v>2938.3559999999998</v>
      </c>
      <c r="H40" s="165">
        <v>8379.6024999999991</v>
      </c>
      <c r="I40" s="166">
        <v>11013.286500000002</v>
      </c>
      <c r="J40" s="166">
        <v>11469.376</v>
      </c>
      <c r="K40" s="168">
        <f t="shared" si="0"/>
        <v>30862.265000000003</v>
      </c>
      <c r="L40" s="42"/>
      <c r="M40" s="42"/>
      <c r="N40" s="42"/>
      <c r="O40" s="42"/>
      <c r="P40" s="42"/>
      <c r="Q40" s="42"/>
    </row>
    <row r="41" spans="1:17" ht="15" customHeight="1">
      <c r="A41" s="420"/>
      <c r="B41" s="423"/>
      <c r="C41" s="154" t="s">
        <v>29</v>
      </c>
      <c r="D41" s="155">
        <v>0</v>
      </c>
      <c r="E41" s="156">
        <v>0</v>
      </c>
      <c r="F41" s="156">
        <v>13.781000000000001</v>
      </c>
      <c r="G41" s="157">
        <f t="shared" si="3"/>
        <v>13.781000000000001</v>
      </c>
      <c r="H41" s="155">
        <v>0</v>
      </c>
      <c r="I41" s="156">
        <v>0</v>
      </c>
      <c r="J41" s="156">
        <v>145.84299999999999</v>
      </c>
      <c r="K41" s="158">
        <f t="shared" si="0"/>
        <v>145.84299999999999</v>
      </c>
      <c r="L41" s="42"/>
      <c r="M41" s="42"/>
      <c r="N41" s="42"/>
      <c r="O41" s="42"/>
      <c r="P41" s="42"/>
      <c r="Q41" s="42"/>
    </row>
    <row r="42" spans="1:17" ht="15" customHeight="1">
      <c r="A42" s="420"/>
      <c r="B42" s="424"/>
      <c r="C42" s="159" t="s">
        <v>25</v>
      </c>
      <c r="D42" s="160">
        <v>797.41899999999998</v>
      </c>
      <c r="E42" s="161">
        <v>1048.7279999999998</v>
      </c>
      <c r="F42" s="161">
        <v>1105.9899999999998</v>
      </c>
      <c r="G42" s="162">
        <f t="shared" si="3"/>
        <v>2952.1369999999997</v>
      </c>
      <c r="H42" s="160">
        <v>8379.6024999999991</v>
      </c>
      <c r="I42" s="161">
        <v>11013.286500000002</v>
      </c>
      <c r="J42" s="161">
        <v>11615.219000000001</v>
      </c>
      <c r="K42" s="163">
        <f t="shared" si="0"/>
        <v>31008.108000000004</v>
      </c>
      <c r="L42" s="42"/>
      <c r="M42" s="42"/>
      <c r="N42" s="42"/>
      <c r="O42" s="42"/>
      <c r="P42" s="42"/>
      <c r="Q42" s="42"/>
    </row>
    <row r="43" spans="1:17" ht="15" customHeight="1">
      <c r="A43" s="420"/>
      <c r="B43" s="425" t="s">
        <v>86</v>
      </c>
      <c r="C43" s="425"/>
      <c r="D43" s="169">
        <v>99.135999999999711</v>
      </c>
      <c r="E43" s="170">
        <v>121.42300000000043</v>
      </c>
      <c r="F43" s="170">
        <v>173.41900000000078</v>
      </c>
      <c r="G43" s="171">
        <f t="shared" si="3"/>
        <v>393.97800000000092</v>
      </c>
      <c r="H43" s="169">
        <v>1211.6102729999916</v>
      </c>
      <c r="I43" s="170">
        <v>1406.0360000000023</v>
      </c>
      <c r="J43" s="170">
        <v>2100.2560000000085</v>
      </c>
      <c r="K43" s="172">
        <f t="shared" si="0"/>
        <v>4717.9022730000024</v>
      </c>
      <c r="L43" s="42"/>
      <c r="M43" s="42"/>
      <c r="N43" s="42"/>
      <c r="O43" s="42"/>
      <c r="P43" s="42"/>
      <c r="Q43" s="42"/>
    </row>
    <row r="44" spans="1:17" ht="15" customHeight="1">
      <c r="A44" s="420"/>
      <c r="B44" s="425" t="s">
        <v>85</v>
      </c>
      <c r="C44" s="425"/>
      <c r="D44" s="169">
        <v>27341.043000000001</v>
      </c>
      <c r="E44" s="170">
        <v>13618.773000000001</v>
      </c>
      <c r="F44" s="170">
        <v>22317.055999999997</v>
      </c>
      <c r="G44" s="171">
        <f t="shared" si="3"/>
        <v>63276.872000000003</v>
      </c>
      <c r="H44" s="169">
        <v>300099.72499999998</v>
      </c>
      <c r="I44" s="170">
        <v>148716.263007</v>
      </c>
      <c r="J44" s="170">
        <v>243784.16869000002</v>
      </c>
      <c r="K44" s="172">
        <f t="shared" si="0"/>
        <v>692600.15669699991</v>
      </c>
      <c r="L44" s="42"/>
      <c r="M44" s="42"/>
      <c r="N44" s="42"/>
      <c r="O44" s="42"/>
      <c r="P44" s="42"/>
      <c r="Q44" s="42"/>
    </row>
    <row r="45" spans="1:17" ht="15" customHeight="1">
      <c r="A45" s="420"/>
      <c r="B45" s="423" t="s">
        <v>30</v>
      </c>
      <c r="C45" s="154" t="s">
        <v>67</v>
      </c>
      <c r="D45" s="155">
        <v>459994.63860749331</v>
      </c>
      <c r="E45" s="156">
        <v>721271.16284286766</v>
      </c>
      <c r="F45" s="156">
        <v>866645.11393294693</v>
      </c>
      <c r="G45" s="157">
        <f t="shared" si="3"/>
        <v>2047910.915383308</v>
      </c>
      <c r="H45" s="155">
        <v>5047649.011067003</v>
      </c>
      <c r="I45" s="156">
        <v>7884431.9163000416</v>
      </c>
      <c r="J45" s="156">
        <v>9452345.2583010867</v>
      </c>
      <c r="K45" s="158">
        <f t="shared" si="0"/>
        <v>22384426.185668133</v>
      </c>
      <c r="L45" s="42"/>
      <c r="M45" s="42"/>
      <c r="N45" s="42"/>
      <c r="O45" s="42"/>
      <c r="P45" s="42"/>
      <c r="Q45" s="42"/>
    </row>
    <row r="46" spans="1:17" ht="15" customHeight="1">
      <c r="A46" s="420"/>
      <c r="B46" s="423"/>
      <c r="C46" s="154" t="s">
        <v>94</v>
      </c>
      <c r="D46" s="155">
        <v>5546.8543719377467</v>
      </c>
      <c r="E46" s="156">
        <v>9843.1043431659491</v>
      </c>
      <c r="F46" s="156">
        <v>13157.606677814623</v>
      </c>
      <c r="G46" s="157">
        <f t="shared" si="3"/>
        <v>28547.565392918317</v>
      </c>
      <c r="H46" s="155">
        <v>61000.470352600001</v>
      </c>
      <c r="I46" s="156">
        <v>107691.69618</v>
      </c>
      <c r="J46" s="156">
        <v>143715.3222621</v>
      </c>
      <c r="K46" s="158">
        <f t="shared" si="0"/>
        <v>312407.48879470001</v>
      </c>
      <c r="L46" s="42"/>
      <c r="M46" s="42"/>
      <c r="N46" s="42"/>
      <c r="O46" s="42"/>
      <c r="P46" s="42"/>
      <c r="Q46" s="42"/>
    </row>
    <row r="47" spans="1:17" ht="15" customHeight="1">
      <c r="A47" s="421"/>
      <c r="B47" s="424"/>
      <c r="C47" s="159" t="s">
        <v>25</v>
      </c>
      <c r="D47" s="160">
        <v>465541.49297943106</v>
      </c>
      <c r="E47" s="161">
        <v>731114.26718603366</v>
      </c>
      <c r="F47" s="161">
        <v>879802.72061076155</v>
      </c>
      <c r="G47" s="162">
        <f>SUM(D47:F47)</f>
        <v>2076458.4807762261</v>
      </c>
      <c r="H47" s="160">
        <v>5108649.4814196033</v>
      </c>
      <c r="I47" s="161">
        <v>7992123.6124800416</v>
      </c>
      <c r="J47" s="161">
        <v>9596060.5805631876</v>
      </c>
      <c r="K47" s="163">
        <f t="shared" si="0"/>
        <v>22696833.674462833</v>
      </c>
      <c r="L47" s="42"/>
      <c r="M47" s="42"/>
      <c r="N47" s="42"/>
      <c r="O47" s="42"/>
      <c r="P47" s="42"/>
      <c r="Q47" s="42"/>
    </row>
    <row r="48" spans="1:17" ht="0.95" customHeight="1">
      <c r="A48" s="151"/>
      <c r="B48" s="152"/>
      <c r="C48" s="173"/>
      <c r="D48" s="155"/>
      <c r="E48" s="156"/>
      <c r="F48" s="156"/>
      <c r="G48" s="157"/>
      <c r="H48" s="155"/>
      <c r="I48" s="156"/>
      <c r="J48" s="156"/>
      <c r="K48" s="158"/>
      <c r="L48" s="42"/>
      <c r="M48" s="42"/>
      <c r="N48" s="42"/>
      <c r="O48" s="42"/>
      <c r="P48" s="42"/>
      <c r="Q48" s="42"/>
    </row>
    <row r="49" spans="1:17" ht="0.95" customHeight="1">
      <c r="A49" s="151"/>
      <c r="B49" s="152"/>
      <c r="C49" s="173"/>
      <c r="D49" s="155"/>
      <c r="E49" s="156"/>
      <c r="F49" s="156"/>
      <c r="G49" s="157"/>
      <c r="H49" s="155"/>
      <c r="I49" s="156"/>
      <c r="J49" s="156"/>
      <c r="K49" s="158"/>
      <c r="L49" s="42"/>
      <c r="M49" s="42"/>
      <c r="N49" s="42"/>
      <c r="O49" s="42"/>
      <c r="P49" s="42"/>
      <c r="Q49" s="42"/>
    </row>
    <row r="50" spans="1:17" ht="0.95" customHeight="1">
      <c r="A50" s="151"/>
      <c r="B50" s="152"/>
      <c r="C50" s="173"/>
      <c r="D50" s="155"/>
      <c r="E50" s="156"/>
      <c r="F50" s="156"/>
      <c r="G50" s="157"/>
      <c r="H50" s="155"/>
      <c r="I50" s="156"/>
      <c r="J50" s="156"/>
      <c r="K50" s="158"/>
      <c r="L50" s="42"/>
      <c r="M50" s="42"/>
      <c r="N50" s="42"/>
      <c r="O50" s="42"/>
      <c r="P50" s="42"/>
      <c r="Q50" s="42"/>
    </row>
    <row r="51" spans="1:17" ht="15" customHeight="1">
      <c r="A51" s="418" t="s">
        <v>97</v>
      </c>
      <c r="B51" s="418"/>
      <c r="C51" s="418"/>
      <c r="D51" s="160">
        <v>5131.9576593479142</v>
      </c>
      <c r="E51" s="161">
        <v>801.5081009445712</v>
      </c>
      <c r="F51" s="161">
        <v>600.73594042717014</v>
      </c>
      <c r="G51" s="162">
        <f t="shared" si="3"/>
        <v>6534.2017007196555</v>
      </c>
      <c r="H51" s="160">
        <v>65958.533962002955</v>
      </c>
      <c r="I51" s="161">
        <v>22449.240446295589</v>
      </c>
      <c r="J51" s="161">
        <v>12796.463405331597</v>
      </c>
      <c r="K51" s="163">
        <f>SUM(H51:J51)</f>
        <v>101204.23781363014</v>
      </c>
      <c r="L51" s="42"/>
      <c r="M51" s="42"/>
      <c r="N51" s="42"/>
      <c r="O51" s="42"/>
      <c r="P51" s="42"/>
      <c r="Q51" s="42"/>
    </row>
    <row r="52" spans="1:17" ht="5.0999999999999996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M52" s="42"/>
    </row>
    <row r="53" spans="1:17">
      <c r="A53" s="426" t="s">
        <v>315</v>
      </c>
      <c r="B53" s="426"/>
      <c r="C53" s="426"/>
      <c r="D53" s="426"/>
      <c r="E53" s="426"/>
      <c r="F53" s="426"/>
      <c r="G53" s="426"/>
      <c r="H53" s="426"/>
      <c r="I53" s="426"/>
      <c r="J53" s="426"/>
      <c r="K53" s="426"/>
    </row>
    <row r="54" spans="1:17">
      <c r="A54" s="426"/>
      <c r="B54" s="426"/>
      <c r="C54" s="426"/>
      <c r="D54" s="426"/>
      <c r="E54" s="426"/>
      <c r="F54" s="426"/>
      <c r="G54" s="426"/>
      <c r="H54" s="426"/>
      <c r="I54" s="426"/>
      <c r="J54" s="426"/>
      <c r="K54" s="426"/>
    </row>
    <row r="55" spans="1:17">
      <c r="A55" s="426"/>
      <c r="B55" s="426"/>
      <c r="C55" s="426"/>
      <c r="D55" s="426"/>
      <c r="E55" s="426"/>
      <c r="F55" s="426"/>
      <c r="G55" s="426"/>
      <c r="H55" s="426"/>
      <c r="I55" s="426"/>
      <c r="J55" s="426"/>
      <c r="K55" s="426"/>
    </row>
    <row r="56" spans="1:17">
      <c r="A56" s="426"/>
      <c r="B56" s="426"/>
      <c r="C56" s="426"/>
      <c r="D56" s="426"/>
      <c r="E56" s="426"/>
      <c r="F56" s="426"/>
      <c r="G56" s="426"/>
      <c r="H56" s="426"/>
      <c r="I56" s="426"/>
      <c r="J56" s="426"/>
      <c r="K56" s="426"/>
    </row>
  </sheetData>
  <mergeCells count="25">
    <mergeCell ref="A53:K56"/>
    <mergeCell ref="A2:K2"/>
    <mergeCell ref="D3:K3"/>
    <mergeCell ref="D4:G4"/>
    <mergeCell ref="H4:K4"/>
    <mergeCell ref="B6:B8"/>
    <mergeCell ref="B9:B11"/>
    <mergeCell ref="B12:B14"/>
    <mergeCell ref="A6:A14"/>
    <mergeCell ref="B15:B18"/>
    <mergeCell ref="B19:B22"/>
    <mergeCell ref="B23:B26"/>
    <mergeCell ref="A15:A27"/>
    <mergeCell ref="B27:C27"/>
    <mergeCell ref="B45:B47"/>
    <mergeCell ref="A37:A47"/>
    <mergeCell ref="A51:C51"/>
    <mergeCell ref="A28:A36"/>
    <mergeCell ref="B28:B30"/>
    <mergeCell ref="B31:B33"/>
    <mergeCell ref="B34:B36"/>
    <mergeCell ref="B37:B39"/>
    <mergeCell ref="B40:B42"/>
    <mergeCell ref="B43:C43"/>
    <mergeCell ref="B44:C4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3"/>
  <sheetViews>
    <sheetView showGridLines="0" zoomScaleNormal="100" zoomScaleSheetLayoutView="100" workbookViewId="0">
      <selection activeCell="D1" sqref="D1"/>
    </sheetView>
  </sheetViews>
  <sheetFormatPr defaultRowHeight="11.25"/>
  <cols>
    <col min="1" max="1" width="8.28515625" style="12" customWidth="1"/>
    <col min="2" max="7" width="7.28515625" style="12" customWidth="1"/>
    <col min="8" max="8" width="6.7109375" style="12" customWidth="1"/>
    <col min="9" max="10" width="8.28515625" style="12" customWidth="1"/>
    <col min="11" max="11" width="8" style="12" customWidth="1"/>
    <col min="12" max="12" width="7.7109375" style="12" customWidth="1"/>
    <col min="13" max="16" width="7.42578125" style="12" customWidth="1"/>
    <col min="17" max="17" width="6.7109375" style="12" customWidth="1"/>
    <col min="18" max="18" width="8.28515625" style="12" customWidth="1"/>
    <col min="19" max="19" width="8.140625" style="12" customWidth="1"/>
    <col min="20" max="20" width="9.28515625" style="12" bestFit="1" customWidth="1"/>
    <col min="21" max="21" width="11.42578125" style="12" bestFit="1" customWidth="1"/>
    <col min="22" max="260" width="9.140625" style="12"/>
    <col min="261" max="273" width="10.7109375" style="12" customWidth="1"/>
    <col min="274" max="516" width="9.140625" style="12"/>
    <col min="517" max="529" width="10.7109375" style="12" customWidth="1"/>
    <col min="530" max="772" width="9.140625" style="12"/>
    <col min="773" max="785" width="10.7109375" style="12" customWidth="1"/>
    <col min="786" max="1028" width="9.140625" style="12"/>
    <col min="1029" max="1041" width="10.7109375" style="12" customWidth="1"/>
    <col min="1042" max="1284" width="9.140625" style="12"/>
    <col min="1285" max="1297" width="10.7109375" style="12" customWidth="1"/>
    <col min="1298" max="1540" width="9.140625" style="12"/>
    <col min="1541" max="1553" width="10.7109375" style="12" customWidth="1"/>
    <col min="1554" max="1796" width="9.140625" style="12"/>
    <col min="1797" max="1809" width="10.7109375" style="12" customWidth="1"/>
    <col min="1810" max="2052" width="9.140625" style="12"/>
    <col min="2053" max="2065" width="10.7109375" style="12" customWidth="1"/>
    <col min="2066" max="2308" width="9.140625" style="12"/>
    <col min="2309" max="2321" width="10.7109375" style="12" customWidth="1"/>
    <col min="2322" max="2564" width="9.140625" style="12"/>
    <col min="2565" max="2577" width="10.7109375" style="12" customWidth="1"/>
    <col min="2578" max="2820" width="9.140625" style="12"/>
    <col min="2821" max="2833" width="10.7109375" style="12" customWidth="1"/>
    <col min="2834" max="3076" width="9.140625" style="12"/>
    <col min="3077" max="3089" width="10.7109375" style="12" customWidth="1"/>
    <col min="3090" max="3332" width="9.140625" style="12"/>
    <col min="3333" max="3345" width="10.7109375" style="12" customWidth="1"/>
    <col min="3346" max="3588" width="9.140625" style="12"/>
    <col min="3589" max="3601" width="10.7109375" style="12" customWidth="1"/>
    <col min="3602" max="3844" width="9.140625" style="12"/>
    <col min="3845" max="3857" width="10.7109375" style="12" customWidth="1"/>
    <col min="3858" max="4100" width="9.140625" style="12"/>
    <col min="4101" max="4113" width="10.7109375" style="12" customWidth="1"/>
    <col min="4114" max="4356" width="9.140625" style="12"/>
    <col min="4357" max="4369" width="10.7109375" style="12" customWidth="1"/>
    <col min="4370" max="4612" width="9.140625" style="12"/>
    <col min="4613" max="4625" width="10.7109375" style="12" customWidth="1"/>
    <col min="4626" max="4868" width="9.140625" style="12"/>
    <col min="4869" max="4881" width="10.7109375" style="12" customWidth="1"/>
    <col min="4882" max="5124" width="9.140625" style="12"/>
    <col min="5125" max="5137" width="10.7109375" style="12" customWidth="1"/>
    <col min="5138" max="5380" width="9.140625" style="12"/>
    <col min="5381" max="5393" width="10.7109375" style="12" customWidth="1"/>
    <col min="5394" max="5636" width="9.140625" style="12"/>
    <col min="5637" max="5649" width="10.7109375" style="12" customWidth="1"/>
    <col min="5650" max="5892" width="9.140625" style="12"/>
    <col min="5893" max="5905" width="10.7109375" style="12" customWidth="1"/>
    <col min="5906" max="6148" width="9.140625" style="12"/>
    <col min="6149" max="6161" width="10.7109375" style="12" customWidth="1"/>
    <col min="6162" max="6404" width="9.140625" style="12"/>
    <col min="6405" max="6417" width="10.7109375" style="12" customWidth="1"/>
    <col min="6418" max="6660" width="9.140625" style="12"/>
    <col min="6661" max="6673" width="10.7109375" style="12" customWidth="1"/>
    <col min="6674" max="6916" width="9.140625" style="12"/>
    <col min="6917" max="6929" width="10.7109375" style="12" customWidth="1"/>
    <col min="6930" max="7172" width="9.140625" style="12"/>
    <col min="7173" max="7185" width="10.7109375" style="12" customWidth="1"/>
    <col min="7186" max="7428" width="9.140625" style="12"/>
    <col min="7429" max="7441" width="10.7109375" style="12" customWidth="1"/>
    <col min="7442" max="7684" width="9.140625" style="12"/>
    <col min="7685" max="7697" width="10.7109375" style="12" customWidth="1"/>
    <col min="7698" max="7940" width="9.140625" style="12"/>
    <col min="7941" max="7953" width="10.7109375" style="12" customWidth="1"/>
    <col min="7954" max="8196" width="9.140625" style="12"/>
    <col min="8197" max="8209" width="10.7109375" style="12" customWidth="1"/>
    <col min="8210" max="8452" width="9.140625" style="12"/>
    <col min="8453" max="8465" width="10.7109375" style="12" customWidth="1"/>
    <col min="8466" max="8708" width="9.140625" style="12"/>
    <col min="8709" max="8721" width="10.7109375" style="12" customWidth="1"/>
    <col min="8722" max="8964" width="9.140625" style="12"/>
    <col min="8965" max="8977" width="10.7109375" style="12" customWidth="1"/>
    <col min="8978" max="9220" width="9.140625" style="12"/>
    <col min="9221" max="9233" width="10.7109375" style="12" customWidth="1"/>
    <col min="9234" max="9476" width="9.140625" style="12"/>
    <col min="9477" max="9489" width="10.7109375" style="12" customWidth="1"/>
    <col min="9490" max="9732" width="9.140625" style="12"/>
    <col min="9733" max="9745" width="10.7109375" style="12" customWidth="1"/>
    <col min="9746" max="9988" width="9.140625" style="12"/>
    <col min="9989" max="10001" width="10.7109375" style="12" customWidth="1"/>
    <col min="10002" max="10244" width="9.140625" style="12"/>
    <col min="10245" max="10257" width="10.7109375" style="12" customWidth="1"/>
    <col min="10258" max="10500" width="9.140625" style="12"/>
    <col min="10501" max="10513" width="10.7109375" style="12" customWidth="1"/>
    <col min="10514" max="10756" width="9.140625" style="12"/>
    <col min="10757" max="10769" width="10.7109375" style="12" customWidth="1"/>
    <col min="10770" max="11012" width="9.140625" style="12"/>
    <col min="11013" max="11025" width="10.7109375" style="12" customWidth="1"/>
    <col min="11026" max="11268" width="9.140625" style="12"/>
    <col min="11269" max="11281" width="10.7109375" style="12" customWidth="1"/>
    <col min="11282" max="11524" width="9.140625" style="12"/>
    <col min="11525" max="11537" width="10.7109375" style="12" customWidth="1"/>
    <col min="11538" max="11780" width="9.140625" style="12"/>
    <col min="11781" max="11793" width="10.7109375" style="12" customWidth="1"/>
    <col min="11794" max="12036" width="9.140625" style="12"/>
    <col min="12037" max="12049" width="10.7109375" style="12" customWidth="1"/>
    <col min="12050" max="12292" width="9.140625" style="12"/>
    <col min="12293" max="12305" width="10.7109375" style="12" customWidth="1"/>
    <col min="12306" max="12548" width="9.140625" style="12"/>
    <col min="12549" max="12561" width="10.7109375" style="12" customWidth="1"/>
    <col min="12562" max="12804" width="9.140625" style="12"/>
    <col min="12805" max="12817" width="10.7109375" style="12" customWidth="1"/>
    <col min="12818" max="13060" width="9.140625" style="12"/>
    <col min="13061" max="13073" width="10.7109375" style="12" customWidth="1"/>
    <col min="13074" max="13316" width="9.140625" style="12"/>
    <col min="13317" max="13329" width="10.7109375" style="12" customWidth="1"/>
    <col min="13330" max="13572" width="9.140625" style="12"/>
    <col min="13573" max="13585" width="10.7109375" style="12" customWidth="1"/>
    <col min="13586" max="13828" width="9.140625" style="12"/>
    <col min="13829" max="13841" width="10.7109375" style="12" customWidth="1"/>
    <col min="13842" max="14084" width="9.140625" style="12"/>
    <col min="14085" max="14097" width="10.7109375" style="12" customWidth="1"/>
    <col min="14098" max="14340" width="9.140625" style="12"/>
    <col min="14341" max="14353" width="10.7109375" style="12" customWidth="1"/>
    <col min="14354" max="14596" width="9.140625" style="12"/>
    <col min="14597" max="14609" width="10.7109375" style="12" customWidth="1"/>
    <col min="14610" max="14852" width="9.140625" style="12"/>
    <col min="14853" max="14865" width="10.7109375" style="12" customWidth="1"/>
    <col min="14866" max="15108" width="9.140625" style="12"/>
    <col min="15109" max="15121" width="10.7109375" style="12" customWidth="1"/>
    <col min="15122" max="15364" width="9.140625" style="12"/>
    <col min="15365" max="15377" width="10.7109375" style="12" customWidth="1"/>
    <col min="15378" max="15620" width="9.140625" style="12"/>
    <col min="15621" max="15633" width="10.7109375" style="12" customWidth="1"/>
    <col min="15634" max="15876" width="9.140625" style="12"/>
    <col min="15877" max="15889" width="10.7109375" style="12" customWidth="1"/>
    <col min="15890" max="16132" width="9.140625" style="12"/>
    <col min="16133" max="16145" width="10.7109375" style="12" customWidth="1"/>
    <col min="16146" max="16384" width="9.140625" style="12"/>
  </cols>
  <sheetData>
    <row r="1" spans="1:23" ht="18">
      <c r="A1" s="441" t="s">
        <v>291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</row>
    <row r="2" spans="1:23" ht="6" customHeight="1">
      <c r="A2" s="175"/>
      <c r="B2" s="439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</row>
    <row r="3" spans="1:23" ht="15.95" customHeight="1">
      <c r="A3" s="205">
        <f>'3.1'!A4</f>
        <v>2023</v>
      </c>
      <c r="B3" s="447" t="s">
        <v>258</v>
      </c>
      <c r="C3" s="448"/>
      <c r="D3" s="448"/>
      <c r="E3" s="448"/>
      <c r="F3" s="448"/>
      <c r="G3" s="448"/>
      <c r="H3" s="448"/>
      <c r="I3" s="448"/>
      <c r="J3" s="449"/>
      <c r="K3" s="448" t="s">
        <v>216</v>
      </c>
      <c r="L3" s="448"/>
      <c r="M3" s="448"/>
      <c r="N3" s="448"/>
      <c r="O3" s="448"/>
      <c r="P3" s="448"/>
      <c r="Q3" s="448"/>
      <c r="R3" s="448"/>
      <c r="S3" s="448"/>
    </row>
    <row r="4" spans="1:23" ht="34.5" customHeight="1">
      <c r="A4" s="191"/>
      <c r="B4" s="436" t="s">
        <v>192</v>
      </c>
      <c r="C4" s="437"/>
      <c r="D4" s="437"/>
      <c r="E4" s="436" t="s">
        <v>193</v>
      </c>
      <c r="F4" s="437"/>
      <c r="G4" s="442"/>
      <c r="H4" s="443" t="s">
        <v>245</v>
      </c>
      <c r="I4" s="443" t="s">
        <v>189</v>
      </c>
      <c r="J4" s="445" t="s">
        <v>64</v>
      </c>
      <c r="K4" s="436" t="s">
        <v>192</v>
      </c>
      <c r="L4" s="437"/>
      <c r="M4" s="437"/>
      <c r="N4" s="436" t="s">
        <v>193</v>
      </c>
      <c r="O4" s="437"/>
      <c r="P4" s="442"/>
      <c r="Q4" s="443" t="s">
        <v>245</v>
      </c>
      <c r="R4" s="443" t="s">
        <v>189</v>
      </c>
      <c r="S4" s="443" t="s">
        <v>64</v>
      </c>
    </row>
    <row r="5" spans="1:23" ht="33.75">
      <c r="A5" s="192"/>
      <c r="B5" s="193" t="s">
        <v>21</v>
      </c>
      <c r="C5" s="194" t="s">
        <v>22</v>
      </c>
      <c r="D5" s="194" t="s">
        <v>191</v>
      </c>
      <c r="E5" s="193" t="s">
        <v>26</v>
      </c>
      <c r="F5" s="194" t="s">
        <v>27</v>
      </c>
      <c r="G5" s="195" t="s">
        <v>190</v>
      </c>
      <c r="H5" s="444"/>
      <c r="I5" s="444"/>
      <c r="J5" s="446"/>
      <c r="K5" s="194" t="s">
        <v>21</v>
      </c>
      <c r="L5" s="194" t="s">
        <v>22</v>
      </c>
      <c r="M5" s="194" t="s">
        <v>191</v>
      </c>
      <c r="N5" s="193" t="s">
        <v>26</v>
      </c>
      <c r="O5" s="194" t="s">
        <v>27</v>
      </c>
      <c r="P5" s="195" t="s">
        <v>190</v>
      </c>
      <c r="Q5" s="444"/>
      <c r="R5" s="444"/>
      <c r="S5" s="444"/>
    </row>
    <row r="6" spans="1:23" ht="12" customHeight="1">
      <c r="A6" s="176" t="s">
        <v>160</v>
      </c>
      <c r="B6" s="183">
        <v>611.86680951218455</v>
      </c>
      <c r="C6" s="177">
        <v>171.69380494119213</v>
      </c>
      <c r="D6" s="178">
        <v>440.17300457099242</v>
      </c>
      <c r="E6" s="189">
        <v>484.49456099999998</v>
      </c>
      <c r="F6" s="178">
        <v>50.764979000000004</v>
      </c>
      <c r="G6" s="185">
        <v>433.72958199999999</v>
      </c>
      <c r="H6" s="178">
        <v>11.429833030000001</v>
      </c>
      <c r="I6" s="178">
        <v>6.4471909485906362</v>
      </c>
      <c r="J6" s="185">
        <v>891.77961054958303</v>
      </c>
      <c r="K6" s="177">
        <v>6703.0347359069992</v>
      </c>
      <c r="L6" s="177">
        <v>1877.7108948210991</v>
      </c>
      <c r="M6" s="178">
        <v>4825.3238410859003</v>
      </c>
      <c r="N6" s="189">
        <v>5235.5694960000001</v>
      </c>
      <c r="O6" s="178">
        <v>556.08799066200004</v>
      </c>
      <c r="P6" s="185">
        <v>4679.4815053379998</v>
      </c>
      <c r="Q6" s="178">
        <v>124.53157613861373</v>
      </c>
      <c r="R6" s="178">
        <v>85.226372987484552</v>
      </c>
      <c r="S6" s="178">
        <v>9714.5632955500005</v>
      </c>
      <c r="T6" s="56"/>
      <c r="U6" s="57"/>
      <c r="V6" s="57"/>
      <c r="W6" s="57"/>
    </row>
    <row r="7" spans="1:23" ht="12" customHeight="1">
      <c r="A7" s="176" t="s">
        <v>161</v>
      </c>
      <c r="B7" s="183">
        <v>541.66979960431695</v>
      </c>
      <c r="C7" s="178">
        <v>191.63640082004457</v>
      </c>
      <c r="D7" s="178">
        <v>350.03339878427238</v>
      </c>
      <c r="E7" s="189">
        <v>502.731177</v>
      </c>
      <c r="F7" s="178">
        <v>0.45966299999999999</v>
      </c>
      <c r="G7" s="185">
        <v>502.27151400000002</v>
      </c>
      <c r="H7" s="178">
        <v>9.5859170000000002</v>
      </c>
      <c r="I7" s="178">
        <v>-1.1235212093694136</v>
      </c>
      <c r="J7" s="185">
        <v>860.76730857490304</v>
      </c>
      <c r="K7" s="177">
        <v>5941.867697744</v>
      </c>
      <c r="L7" s="178">
        <v>2104.3301660154002</v>
      </c>
      <c r="M7" s="178">
        <v>3837.5375317285998</v>
      </c>
      <c r="N7" s="189">
        <v>5409.0646379999998</v>
      </c>
      <c r="O7" s="178">
        <v>4.9343472260000008</v>
      </c>
      <c r="P7" s="185">
        <v>5404.1302907740001</v>
      </c>
      <c r="Q7" s="178">
        <v>104.29196078706303</v>
      </c>
      <c r="R7" s="178">
        <v>-4.5704322936646644</v>
      </c>
      <c r="S7" s="178">
        <v>9341.389350995998</v>
      </c>
      <c r="T7" s="58"/>
      <c r="U7" s="57"/>
      <c r="V7" s="57"/>
      <c r="W7" s="57"/>
    </row>
    <row r="8" spans="1:23" ht="12" customHeight="1">
      <c r="A8" s="179" t="s">
        <v>162</v>
      </c>
      <c r="B8" s="184">
        <v>558.67411079116368</v>
      </c>
      <c r="C8" s="181">
        <v>85.842169319862464</v>
      </c>
      <c r="D8" s="181">
        <v>472.83194147130121</v>
      </c>
      <c r="E8" s="190">
        <v>315.244956</v>
      </c>
      <c r="F8" s="181">
        <v>29.267647000000004</v>
      </c>
      <c r="G8" s="186">
        <v>285.97730899999999</v>
      </c>
      <c r="H8" s="181">
        <v>10.388249999999998</v>
      </c>
      <c r="I8" s="181">
        <v>7.0540718943811948E-2</v>
      </c>
      <c r="J8" s="186">
        <v>769.26804119024496</v>
      </c>
      <c r="K8" s="180">
        <v>6090.274693938999</v>
      </c>
      <c r="L8" s="181">
        <v>938.80963298649999</v>
      </c>
      <c r="M8" s="181">
        <v>5151.4650609524988</v>
      </c>
      <c r="N8" s="190">
        <v>3382.9934250000001</v>
      </c>
      <c r="O8" s="181">
        <v>319.51087461499998</v>
      </c>
      <c r="P8" s="186">
        <v>3063.4825503850002</v>
      </c>
      <c r="Q8" s="181">
        <v>113.01811002280003</v>
      </c>
      <c r="R8" s="181">
        <v>12.053693321652711</v>
      </c>
      <c r="S8" s="181">
        <v>8340.019414681954</v>
      </c>
      <c r="T8" s="59"/>
      <c r="U8" s="57"/>
      <c r="V8" s="57"/>
      <c r="W8" s="57"/>
    </row>
    <row r="9" spans="1:23" ht="12" customHeight="1">
      <c r="A9" s="176" t="s">
        <v>163</v>
      </c>
      <c r="B9" s="183">
        <v>678.89586636549586</v>
      </c>
      <c r="C9" s="178">
        <v>59.800538558553114</v>
      </c>
      <c r="D9" s="178">
        <v>619.09532780694281</v>
      </c>
      <c r="E9" s="189">
        <v>79.391479000000004</v>
      </c>
      <c r="F9" s="178">
        <v>102.569807</v>
      </c>
      <c r="G9" s="185">
        <v>-23.178327999999993</v>
      </c>
      <c r="H9" s="178">
        <v>8.0882229999999975</v>
      </c>
      <c r="I9" s="178">
        <v>2.4626851154144389</v>
      </c>
      <c r="J9" s="185">
        <v>606.4679079223572</v>
      </c>
      <c r="K9" s="177">
        <v>7418.138626072001</v>
      </c>
      <c r="L9" s="178">
        <v>650.37435719929999</v>
      </c>
      <c r="M9" s="178">
        <v>6767.764268872701</v>
      </c>
      <c r="N9" s="189">
        <v>854.34278900000015</v>
      </c>
      <c r="O9" s="178">
        <v>1121.3457927510001</v>
      </c>
      <c r="P9" s="185">
        <v>-267.00300375099994</v>
      </c>
      <c r="Q9" s="178">
        <v>87.648378846299977</v>
      </c>
      <c r="R9" s="178">
        <v>27.10616046995856</v>
      </c>
      <c r="S9" s="178">
        <v>6615.5158044379586</v>
      </c>
      <c r="T9" s="58"/>
      <c r="U9" s="57"/>
      <c r="V9" s="57"/>
      <c r="W9" s="57"/>
    </row>
    <row r="10" spans="1:23" ht="12" customHeight="1">
      <c r="A10" s="176" t="s">
        <v>164</v>
      </c>
      <c r="B10" s="183">
        <v>1032.1800539226767</v>
      </c>
      <c r="C10" s="178">
        <v>66.096829012414332</v>
      </c>
      <c r="D10" s="178">
        <v>966.0832249102624</v>
      </c>
      <c r="E10" s="189">
        <v>2.5809000000000002E-2</v>
      </c>
      <c r="F10" s="178">
        <v>612.77381700000001</v>
      </c>
      <c r="G10" s="185">
        <v>-612.74800800000003</v>
      </c>
      <c r="H10" s="178">
        <v>8.9483610000000002</v>
      </c>
      <c r="I10" s="178">
        <v>6.5704304657205359</v>
      </c>
      <c r="J10" s="185">
        <v>368.85400837598286</v>
      </c>
      <c r="K10" s="177">
        <v>11281.423186431</v>
      </c>
      <c r="L10" s="178">
        <v>720.7850049635</v>
      </c>
      <c r="M10" s="178">
        <v>10560.638181467501</v>
      </c>
      <c r="N10" s="189">
        <v>0.28195600000000004</v>
      </c>
      <c r="O10" s="178">
        <v>6700.8311898170004</v>
      </c>
      <c r="P10" s="185">
        <v>-6700.5492338170006</v>
      </c>
      <c r="Q10" s="178">
        <v>97.352468173100021</v>
      </c>
      <c r="R10" s="178">
        <v>80.930372539317702</v>
      </c>
      <c r="S10" s="178">
        <v>4038.3717883629174</v>
      </c>
      <c r="T10" s="58"/>
      <c r="U10" s="57"/>
      <c r="V10" s="57"/>
      <c r="W10" s="57"/>
    </row>
    <row r="11" spans="1:23" ht="12" customHeight="1">
      <c r="A11" s="179" t="s">
        <v>165</v>
      </c>
      <c r="B11" s="184">
        <v>889.48322247170688</v>
      </c>
      <c r="C11" s="181">
        <v>25.522451097333597</v>
      </c>
      <c r="D11" s="181">
        <v>863.96077137437328</v>
      </c>
      <c r="E11" s="190">
        <v>0.235014</v>
      </c>
      <c r="F11" s="181">
        <v>558.38072299999999</v>
      </c>
      <c r="G11" s="186">
        <v>-558.14570900000001</v>
      </c>
      <c r="H11" s="181">
        <v>7.7560479999999998</v>
      </c>
      <c r="I11" s="181">
        <v>0.38204125409340484</v>
      </c>
      <c r="J11" s="186">
        <v>313.95315162846674</v>
      </c>
      <c r="K11" s="180">
        <v>9718.507424292</v>
      </c>
      <c r="L11" s="181">
        <v>278.17757378269999</v>
      </c>
      <c r="M11" s="181">
        <v>9440.3298505093007</v>
      </c>
      <c r="N11" s="190">
        <v>2.5450689999999998</v>
      </c>
      <c r="O11" s="181">
        <v>6106.3090592620001</v>
      </c>
      <c r="P11" s="186">
        <v>-6103.7639902620003</v>
      </c>
      <c r="Q11" s="181">
        <v>84.586691749199986</v>
      </c>
      <c r="R11" s="181">
        <v>17.861360899369696</v>
      </c>
      <c r="S11" s="181">
        <v>3439.0139128958708</v>
      </c>
      <c r="T11" s="58"/>
      <c r="U11" s="57"/>
      <c r="V11" s="57"/>
      <c r="W11" s="57"/>
    </row>
    <row r="12" spans="1:23" ht="12" customHeight="1">
      <c r="A12" s="176" t="s">
        <v>166</v>
      </c>
      <c r="B12" s="183">
        <v>572.47818055688651</v>
      </c>
      <c r="C12" s="178">
        <v>78.775960216320897</v>
      </c>
      <c r="D12" s="178">
        <v>493.70222034056565</v>
      </c>
      <c r="E12" s="189">
        <v>0</v>
      </c>
      <c r="F12" s="178">
        <v>219.44287299999996</v>
      </c>
      <c r="G12" s="185">
        <v>-219.44287299999996</v>
      </c>
      <c r="H12" s="178">
        <v>7.7206640000000002</v>
      </c>
      <c r="I12" s="178">
        <v>-0.81237878575664946</v>
      </c>
      <c r="J12" s="185">
        <v>281.16763255480896</v>
      </c>
      <c r="K12" s="177">
        <v>6272.974601123</v>
      </c>
      <c r="L12" s="178">
        <v>862.08577483599993</v>
      </c>
      <c r="M12" s="178">
        <v>5410.8888262870005</v>
      </c>
      <c r="N12" s="189">
        <v>0</v>
      </c>
      <c r="O12" s="178">
        <v>2402.7875924980003</v>
      </c>
      <c r="P12" s="185">
        <v>-2402.7875924980003</v>
      </c>
      <c r="Q12" s="178">
        <v>84.400077689700012</v>
      </c>
      <c r="R12" s="178">
        <v>-10.725152223026379</v>
      </c>
      <c r="S12" s="178">
        <v>3081.7761592556726</v>
      </c>
      <c r="T12" s="58"/>
      <c r="U12" s="57"/>
      <c r="V12" s="57"/>
      <c r="W12" s="57"/>
    </row>
    <row r="13" spans="1:23" ht="12" customHeight="1">
      <c r="A13" s="176" t="s">
        <v>167</v>
      </c>
      <c r="B13" s="183">
        <v>587.09390599999995</v>
      </c>
      <c r="C13" s="178">
        <v>145.15843159277571</v>
      </c>
      <c r="D13" s="178">
        <v>441.93547440722421</v>
      </c>
      <c r="E13" s="189">
        <v>14.451610000000001</v>
      </c>
      <c r="F13" s="178">
        <v>178.688884</v>
      </c>
      <c r="G13" s="185">
        <v>-164.23727400000001</v>
      </c>
      <c r="H13" s="178">
        <v>5.3400699999999999</v>
      </c>
      <c r="I13" s="178">
        <v>4.5832235702865294</v>
      </c>
      <c r="J13" s="185">
        <v>287.6214939775108</v>
      </c>
      <c r="K13" s="177">
        <v>6431.5696970050003</v>
      </c>
      <c r="L13" s="178">
        <v>1590.9347816451002</v>
      </c>
      <c r="M13" s="178">
        <v>4840.6349153599003</v>
      </c>
      <c r="N13" s="189">
        <v>158.482348</v>
      </c>
      <c r="O13" s="178">
        <v>1960.5216587129999</v>
      </c>
      <c r="P13" s="185">
        <v>-1802.0393107129998</v>
      </c>
      <c r="Q13" s="178">
        <v>58.226272986084702</v>
      </c>
      <c r="R13" s="178">
        <v>58.145150338019711</v>
      </c>
      <c r="S13" s="178">
        <v>3154.967027971004</v>
      </c>
      <c r="T13" s="58"/>
      <c r="U13" s="57"/>
      <c r="V13" s="57"/>
      <c r="W13" s="57"/>
    </row>
    <row r="14" spans="1:23" ht="12" customHeight="1">
      <c r="A14" s="179" t="s">
        <v>168</v>
      </c>
      <c r="B14" s="184">
        <v>473.93132066397732</v>
      </c>
      <c r="C14" s="181">
        <v>97.757947407399001</v>
      </c>
      <c r="D14" s="181">
        <v>376.17337325657832</v>
      </c>
      <c r="E14" s="190">
        <v>30.350071000000003</v>
      </c>
      <c r="F14" s="181">
        <v>106.41528300000002</v>
      </c>
      <c r="G14" s="186">
        <v>-76.065212000000017</v>
      </c>
      <c r="H14" s="181">
        <v>3.6460300000000005</v>
      </c>
      <c r="I14" s="181">
        <v>-1.4853630904303281</v>
      </c>
      <c r="J14" s="186">
        <v>302.26882816614801</v>
      </c>
      <c r="K14" s="180">
        <v>5203.6259294689999</v>
      </c>
      <c r="L14" s="181">
        <v>1069.3913182386</v>
      </c>
      <c r="M14" s="181">
        <v>4134.2346112304003</v>
      </c>
      <c r="N14" s="190">
        <v>332.47124099999996</v>
      </c>
      <c r="O14" s="181">
        <v>1166.8701728409999</v>
      </c>
      <c r="P14" s="186">
        <v>-834.39893184099992</v>
      </c>
      <c r="Q14" s="181">
        <v>39.452957978314295</v>
      </c>
      <c r="R14" s="181">
        <v>-18.942365284721834</v>
      </c>
      <c r="S14" s="181">
        <v>3320.3462720829925</v>
      </c>
      <c r="T14" s="58"/>
      <c r="U14" s="57"/>
      <c r="V14" s="57"/>
      <c r="W14" s="57"/>
    </row>
    <row r="15" spans="1:23" ht="12" customHeight="1">
      <c r="A15" s="176" t="s">
        <v>169</v>
      </c>
      <c r="B15" s="183">
        <v>589.05875087186075</v>
      </c>
      <c r="C15" s="178">
        <v>18.00428255177766</v>
      </c>
      <c r="D15" s="178">
        <v>571.05446832008306</v>
      </c>
      <c r="E15" s="189">
        <v>9.4836539999999978</v>
      </c>
      <c r="F15" s="178">
        <v>124.31010699999999</v>
      </c>
      <c r="G15" s="185">
        <v>-114.82645299999999</v>
      </c>
      <c r="H15" s="178">
        <v>4.1815199999999999</v>
      </c>
      <c r="I15" s="178">
        <v>5.1319576593479139</v>
      </c>
      <c r="J15" s="185">
        <v>465.54149297943104</v>
      </c>
      <c r="K15" s="177">
        <v>6456.6489574180005</v>
      </c>
      <c r="L15" s="178">
        <v>197.056061519</v>
      </c>
      <c r="M15" s="178">
        <v>6259.5928958990007</v>
      </c>
      <c r="N15" s="189">
        <v>104.30277199999999</v>
      </c>
      <c r="O15" s="178">
        <v>1366.5468606879999</v>
      </c>
      <c r="P15" s="185">
        <v>-1262.2440886879999</v>
      </c>
      <c r="Q15" s="178">
        <v>45.342140246600003</v>
      </c>
      <c r="R15" s="178">
        <v>65.95853396200296</v>
      </c>
      <c r="S15" s="178">
        <v>5108.649481419603</v>
      </c>
      <c r="T15" s="58"/>
      <c r="U15" s="57"/>
      <c r="V15" s="57"/>
      <c r="W15" s="57"/>
    </row>
    <row r="16" spans="1:23" ht="12" customHeight="1">
      <c r="A16" s="176" t="s">
        <v>170</v>
      </c>
      <c r="B16" s="183">
        <v>596.60192975597295</v>
      </c>
      <c r="C16" s="178">
        <v>52.274557670883787</v>
      </c>
      <c r="D16" s="178">
        <v>544.32737208508911</v>
      </c>
      <c r="E16" s="189">
        <v>197.653932</v>
      </c>
      <c r="F16" s="178">
        <v>16.318148000000001</v>
      </c>
      <c r="G16" s="185">
        <v>181.33578399999999</v>
      </c>
      <c r="H16" s="178">
        <v>4.649602999999999</v>
      </c>
      <c r="I16" s="178">
        <v>0.80150810094457114</v>
      </c>
      <c r="J16" s="185">
        <v>731.11426718603366</v>
      </c>
      <c r="K16" s="177">
        <v>6507.8438854819997</v>
      </c>
      <c r="L16" s="178">
        <v>571.01483255589994</v>
      </c>
      <c r="M16" s="178">
        <v>5936.8290529260994</v>
      </c>
      <c r="N16" s="189">
        <v>2161.0527180000004</v>
      </c>
      <c r="O16" s="178">
        <v>178.46012565699999</v>
      </c>
      <c r="P16" s="185">
        <v>1982.5925923430004</v>
      </c>
      <c r="Q16" s="178">
        <v>50.252726764646482</v>
      </c>
      <c r="R16" s="178">
        <v>22.44924044629559</v>
      </c>
      <c r="S16" s="178">
        <v>7992.1236124800416</v>
      </c>
      <c r="T16" s="58"/>
      <c r="U16" s="57"/>
      <c r="V16" s="57"/>
      <c r="W16" s="57"/>
    </row>
    <row r="17" spans="1:23" ht="12" customHeight="1">
      <c r="A17" s="179" t="s">
        <v>171</v>
      </c>
      <c r="B17" s="184">
        <v>700.71821959246188</v>
      </c>
      <c r="C17" s="181">
        <v>31.821098172127414</v>
      </c>
      <c r="D17" s="181">
        <v>668.89712142033443</v>
      </c>
      <c r="E17" s="190">
        <v>229.02354300000002</v>
      </c>
      <c r="F17" s="181">
        <v>25.297307750000002</v>
      </c>
      <c r="G17" s="186">
        <v>203.72623525</v>
      </c>
      <c r="H17" s="181">
        <v>6.5786280000000019</v>
      </c>
      <c r="I17" s="181">
        <v>0.60073594042717016</v>
      </c>
      <c r="J17" s="186">
        <v>879.80272061076153</v>
      </c>
      <c r="K17" s="180">
        <v>7636.770257657</v>
      </c>
      <c r="L17" s="181">
        <v>346.62772342869994</v>
      </c>
      <c r="M17" s="181">
        <v>7290.1425342283001</v>
      </c>
      <c r="N17" s="190">
        <v>2497.5056800000002</v>
      </c>
      <c r="O17" s="181">
        <v>275.72991130299999</v>
      </c>
      <c r="P17" s="186">
        <v>2221.7757686970003</v>
      </c>
      <c r="Q17" s="181">
        <v>71.345814232556407</v>
      </c>
      <c r="R17" s="181">
        <v>12.796463405331597</v>
      </c>
      <c r="S17" s="181">
        <v>9596.0605805631876</v>
      </c>
      <c r="T17" s="58"/>
      <c r="U17" s="57"/>
      <c r="V17" s="57"/>
      <c r="W17" s="57"/>
    </row>
    <row r="18" spans="1:23" ht="12" customHeight="1">
      <c r="A18" s="176" t="s">
        <v>48</v>
      </c>
      <c r="B18" s="183">
        <f>SUM(B6:B8)</f>
        <v>1712.2107199076652</v>
      </c>
      <c r="C18" s="177">
        <f>SUM(C6:C8)</f>
        <v>449.17237508109918</v>
      </c>
      <c r="D18" s="177">
        <f>SUM(D6:D8)</f>
        <v>1263.0383448265661</v>
      </c>
      <c r="E18" s="183">
        <f t="shared" ref="E18:J18" si="0">SUM(E6:E8)</f>
        <v>1302.4706940000001</v>
      </c>
      <c r="F18" s="177">
        <f t="shared" si="0"/>
        <v>80.492289</v>
      </c>
      <c r="G18" s="187">
        <f>SUM(G6:G8)</f>
        <v>1221.9784049999998</v>
      </c>
      <c r="H18" s="177">
        <f t="shared" si="0"/>
        <v>31.404000029999999</v>
      </c>
      <c r="I18" s="177">
        <f t="shared" si="0"/>
        <v>5.394210458165035</v>
      </c>
      <c r="J18" s="187">
        <f t="shared" si="0"/>
        <v>2521.8149603147313</v>
      </c>
      <c r="K18" s="177">
        <f>SUM(K6:K8)</f>
        <v>18735.177127589999</v>
      </c>
      <c r="L18" s="177">
        <f>SUM(L6:L8)</f>
        <v>4920.8506938229993</v>
      </c>
      <c r="M18" s="177">
        <f t="shared" ref="M18:S18" si="1">SUM(M6:M8)</f>
        <v>13814.326433766997</v>
      </c>
      <c r="N18" s="183">
        <f t="shared" si="1"/>
        <v>14027.627559</v>
      </c>
      <c r="O18" s="177">
        <f t="shared" si="1"/>
        <v>880.53321250299996</v>
      </c>
      <c r="P18" s="187">
        <f t="shared" si="1"/>
        <v>13147.094346497001</v>
      </c>
      <c r="Q18" s="177">
        <f t="shared" si="1"/>
        <v>341.84164694847681</v>
      </c>
      <c r="R18" s="177">
        <f>SUM(R6:R8)</f>
        <v>92.709634015472602</v>
      </c>
      <c r="S18" s="177">
        <f t="shared" si="1"/>
        <v>27395.972061227956</v>
      </c>
    </row>
    <row r="19" spans="1:23" ht="12" customHeight="1">
      <c r="A19" s="176" t="s">
        <v>56</v>
      </c>
      <c r="B19" s="183">
        <f>SUM(B9:B11)</f>
        <v>2600.5591427598797</v>
      </c>
      <c r="C19" s="177">
        <f>SUM(C9:C11)</f>
        <v>151.41981866830105</v>
      </c>
      <c r="D19" s="177">
        <f t="shared" ref="D19:J19" si="2">SUM(D9:D11)</f>
        <v>2449.1393240915786</v>
      </c>
      <c r="E19" s="183">
        <f t="shared" si="2"/>
        <v>79.652302000000006</v>
      </c>
      <c r="F19" s="177">
        <f t="shared" si="2"/>
        <v>1273.7243469999999</v>
      </c>
      <c r="G19" s="187">
        <f t="shared" si="2"/>
        <v>-1194.0720449999999</v>
      </c>
      <c r="H19" s="177">
        <f t="shared" si="2"/>
        <v>24.792631999999998</v>
      </c>
      <c r="I19" s="177">
        <f t="shared" si="2"/>
        <v>9.4151568352283803</v>
      </c>
      <c r="J19" s="187">
        <f t="shared" si="2"/>
        <v>1289.2750679268067</v>
      </c>
      <c r="K19" s="177">
        <f>SUM(K9:K11)</f>
        <v>28418.069236795003</v>
      </c>
      <c r="L19" s="177">
        <f t="shared" ref="L19:S19" si="3">SUM(L9:L11)</f>
        <v>1649.3369359454998</v>
      </c>
      <c r="M19" s="177">
        <f t="shared" si="3"/>
        <v>26768.732300849504</v>
      </c>
      <c r="N19" s="183">
        <f t="shared" si="3"/>
        <v>857.1698140000002</v>
      </c>
      <c r="O19" s="177">
        <f>SUM(O9:O11)</f>
        <v>13928.486041830001</v>
      </c>
      <c r="P19" s="187">
        <f t="shared" si="3"/>
        <v>-13071.316227830001</v>
      </c>
      <c r="Q19" s="177">
        <f t="shared" si="3"/>
        <v>269.58753876859998</v>
      </c>
      <c r="R19" s="177">
        <f t="shared" si="3"/>
        <v>125.89789390864597</v>
      </c>
      <c r="S19" s="177">
        <f t="shared" si="3"/>
        <v>14092.901505696747</v>
      </c>
    </row>
    <row r="20" spans="1:23" ht="12" customHeight="1">
      <c r="A20" s="176" t="s">
        <v>63</v>
      </c>
      <c r="B20" s="183">
        <f>SUM(B12:B14)</f>
        <v>1633.5034072208637</v>
      </c>
      <c r="C20" s="177">
        <f>SUM(C12:C14)</f>
        <v>321.69233921649561</v>
      </c>
      <c r="D20" s="177">
        <f t="shared" ref="D20:J20" si="4">SUM(D12:D14)</f>
        <v>1311.8110680043683</v>
      </c>
      <c r="E20" s="183">
        <f t="shared" si="4"/>
        <v>44.801681000000002</v>
      </c>
      <c r="F20" s="177">
        <f t="shared" si="4"/>
        <v>504.54704000000004</v>
      </c>
      <c r="G20" s="187">
        <f t="shared" si="4"/>
        <v>-459.74535900000001</v>
      </c>
      <c r="H20" s="177">
        <f t="shared" si="4"/>
        <v>16.706764</v>
      </c>
      <c r="I20" s="177">
        <f>SUM(I12:I14)</f>
        <v>2.2854816940995519</v>
      </c>
      <c r="J20" s="187">
        <f t="shared" si="4"/>
        <v>871.05795469846771</v>
      </c>
      <c r="K20" s="177">
        <f>SUM(K12:K14)</f>
        <v>17908.170227596998</v>
      </c>
      <c r="L20" s="177">
        <f t="shared" ref="L20:S20" si="5">SUM(L12:L14)</f>
        <v>3522.4118747197003</v>
      </c>
      <c r="M20" s="177">
        <f t="shared" si="5"/>
        <v>14385.758352877301</v>
      </c>
      <c r="N20" s="183">
        <f t="shared" si="5"/>
        <v>490.95358899999997</v>
      </c>
      <c r="O20" s="177">
        <f t="shared" si="5"/>
        <v>5530.1794240519994</v>
      </c>
      <c r="P20" s="187">
        <f t="shared" si="5"/>
        <v>-5039.2258350520005</v>
      </c>
      <c r="Q20" s="177">
        <f t="shared" si="5"/>
        <v>182.07930865409901</v>
      </c>
      <c r="R20" s="177">
        <f t="shared" si="5"/>
        <v>28.477632830271499</v>
      </c>
      <c r="S20" s="177">
        <f t="shared" si="5"/>
        <v>9557.0894593096691</v>
      </c>
    </row>
    <row r="21" spans="1:23" ht="12" customHeight="1">
      <c r="A21" s="179" t="s">
        <v>57</v>
      </c>
      <c r="B21" s="184">
        <f>SUM(B15:B17)</f>
        <v>1886.3789002202957</v>
      </c>
      <c r="C21" s="180">
        <f>SUM(C15:C17)</f>
        <v>102.09993839478886</v>
      </c>
      <c r="D21" s="180">
        <f t="shared" ref="D21:J21" si="6">SUM(D15:D17)</f>
        <v>1784.2789618255065</v>
      </c>
      <c r="E21" s="184">
        <f t="shared" si="6"/>
        <v>436.16112900000002</v>
      </c>
      <c r="F21" s="180">
        <f t="shared" si="6"/>
        <v>165.92556274999998</v>
      </c>
      <c r="G21" s="188">
        <f t="shared" si="6"/>
        <v>270.23556625000003</v>
      </c>
      <c r="H21" s="180">
        <f t="shared" si="6"/>
        <v>15.409751</v>
      </c>
      <c r="I21" s="180">
        <f t="shared" si="6"/>
        <v>6.5342017007196551</v>
      </c>
      <c r="J21" s="188">
        <f t="shared" si="6"/>
        <v>2076.4584807762262</v>
      </c>
      <c r="K21" s="180">
        <f>SUM(K15:K17)</f>
        <v>20601.263100557</v>
      </c>
      <c r="L21" s="180">
        <f t="shared" ref="L21:R21" si="7">SUM(L15:L17)</f>
        <v>1114.6986175036</v>
      </c>
      <c r="M21" s="180">
        <f t="shared" si="7"/>
        <v>19486.5644830534</v>
      </c>
      <c r="N21" s="184">
        <f t="shared" si="7"/>
        <v>4762.8611700000001</v>
      </c>
      <c r="O21" s="180">
        <f t="shared" si="7"/>
        <v>1820.7368976479997</v>
      </c>
      <c r="P21" s="188">
        <f t="shared" si="7"/>
        <v>2942.1242723520008</v>
      </c>
      <c r="Q21" s="180">
        <f t="shared" si="7"/>
        <v>166.94068124380289</v>
      </c>
      <c r="R21" s="180">
        <f t="shared" si="7"/>
        <v>101.20423781363014</v>
      </c>
      <c r="S21" s="180">
        <f>SUM(S15:S17)</f>
        <v>22696.833674462832</v>
      </c>
    </row>
    <row r="22" spans="1:23" ht="12" customHeight="1">
      <c r="A22" s="176" t="s">
        <v>58</v>
      </c>
      <c r="B22" s="183">
        <f>SUM(B6:B11)</f>
        <v>4312.7698626675447</v>
      </c>
      <c r="C22" s="177">
        <f>SUM(C6:C11)</f>
        <v>600.59219374940028</v>
      </c>
      <c r="D22" s="177">
        <f t="shared" ref="D22:J22" si="8">SUM(D6:D11)</f>
        <v>3712.1776689181443</v>
      </c>
      <c r="E22" s="183">
        <f t="shared" si="8"/>
        <v>1382.1229960000001</v>
      </c>
      <c r="F22" s="177">
        <f t="shared" si="8"/>
        <v>1354.2166360000001</v>
      </c>
      <c r="G22" s="187">
        <f t="shared" si="8"/>
        <v>27.906359999999836</v>
      </c>
      <c r="H22" s="177">
        <f t="shared" si="8"/>
        <v>56.196632029999996</v>
      </c>
      <c r="I22" s="177">
        <f t="shared" si="8"/>
        <v>14.809367293393414</v>
      </c>
      <c r="J22" s="187">
        <f t="shared" si="8"/>
        <v>3811.0900282415378</v>
      </c>
      <c r="K22" s="177">
        <f>SUM(K6:K11)</f>
        <v>47153.246364384999</v>
      </c>
      <c r="L22" s="177">
        <f t="shared" ref="L22:S22" si="9">SUM(L6:L11)</f>
        <v>6570.1876297684994</v>
      </c>
      <c r="M22" s="177">
        <f t="shared" si="9"/>
        <v>40583.058734616498</v>
      </c>
      <c r="N22" s="183">
        <f t="shared" si="9"/>
        <v>14884.797373000001</v>
      </c>
      <c r="O22" s="177">
        <f t="shared" si="9"/>
        <v>14809.019254333001</v>
      </c>
      <c r="P22" s="187">
        <f t="shared" si="9"/>
        <v>75.778118666999035</v>
      </c>
      <c r="Q22" s="177">
        <f t="shared" si="9"/>
        <v>611.42918571707685</v>
      </c>
      <c r="R22" s="177">
        <f t="shared" si="9"/>
        <v>218.60752792411853</v>
      </c>
      <c r="S22" s="177">
        <f t="shared" si="9"/>
        <v>41488.873566924696</v>
      </c>
    </row>
    <row r="23" spans="1:23" ht="12" customHeight="1">
      <c r="A23" s="179" t="s">
        <v>59</v>
      </c>
      <c r="B23" s="184">
        <f>SUM(B12:B17)</f>
        <v>3519.8823074411594</v>
      </c>
      <c r="C23" s="180">
        <f>SUM(C12:C17)</f>
        <v>423.79227761128442</v>
      </c>
      <c r="D23" s="180">
        <f t="shared" ref="D23:J23" si="10">SUM(D12:D17)</f>
        <v>3096.0900298298748</v>
      </c>
      <c r="E23" s="184">
        <f t="shared" si="10"/>
        <v>480.96280999999999</v>
      </c>
      <c r="F23" s="180">
        <f t="shared" si="10"/>
        <v>670.47260274999996</v>
      </c>
      <c r="G23" s="188">
        <f t="shared" si="10"/>
        <v>-189.50979275000003</v>
      </c>
      <c r="H23" s="180">
        <f t="shared" si="10"/>
        <v>32.116515</v>
      </c>
      <c r="I23" s="180">
        <f t="shared" si="10"/>
        <v>8.8196833948192079</v>
      </c>
      <c r="J23" s="188">
        <f t="shared" si="10"/>
        <v>2947.5164354746939</v>
      </c>
      <c r="K23" s="180">
        <f>SUM(K12:K17)</f>
        <v>38509.433328154002</v>
      </c>
      <c r="L23" s="180">
        <f t="shared" ref="L23:S23" si="11">SUM(L12:L17)</f>
        <v>4637.1104922233008</v>
      </c>
      <c r="M23" s="180">
        <f t="shared" si="11"/>
        <v>33872.322835930696</v>
      </c>
      <c r="N23" s="184">
        <f t="shared" si="11"/>
        <v>5253.8147590000008</v>
      </c>
      <c r="O23" s="180">
        <f t="shared" si="11"/>
        <v>7350.9163217000005</v>
      </c>
      <c r="P23" s="188">
        <f t="shared" si="11"/>
        <v>-2097.1015626999992</v>
      </c>
      <c r="Q23" s="180">
        <f t="shared" si="11"/>
        <v>349.01998989790189</v>
      </c>
      <c r="R23" s="180">
        <f t="shared" si="11"/>
        <v>129.68187064390165</v>
      </c>
      <c r="S23" s="180">
        <f t="shared" si="11"/>
        <v>32253.9231337725</v>
      </c>
    </row>
    <row r="24" spans="1:23" ht="12" customHeight="1">
      <c r="A24" s="182" t="s">
        <v>172</v>
      </c>
      <c r="B24" s="393">
        <f>SUM(B6:B17)</f>
        <v>7832.652170108704</v>
      </c>
      <c r="C24" s="394">
        <f>SUM(C6:C17)</f>
        <v>1024.3844713606848</v>
      </c>
      <c r="D24" s="394">
        <f t="shared" ref="D24:J24" si="12">SUM(D6:D17)</f>
        <v>6808.2676987480199</v>
      </c>
      <c r="E24" s="393">
        <f t="shared" si="12"/>
        <v>1863.085806</v>
      </c>
      <c r="F24" s="394">
        <f t="shared" si="12"/>
        <v>2024.6892387500002</v>
      </c>
      <c r="G24" s="395">
        <f t="shared" si="12"/>
        <v>-161.6034327500002</v>
      </c>
      <c r="H24" s="394">
        <f t="shared" si="12"/>
        <v>88.31314703000001</v>
      </c>
      <c r="I24" s="394">
        <f t="shared" si="12"/>
        <v>23.629050688212619</v>
      </c>
      <c r="J24" s="395">
        <f t="shared" si="12"/>
        <v>6758.6064637162317</v>
      </c>
      <c r="K24" s="394">
        <f>SUM(K6:K17)</f>
        <v>85662.679692538994</v>
      </c>
      <c r="L24" s="394">
        <f t="shared" ref="L24:S24" si="13">SUM(L6:L17)</f>
        <v>11207.2981219918</v>
      </c>
      <c r="M24" s="394">
        <f t="shared" si="13"/>
        <v>74455.381570547208</v>
      </c>
      <c r="N24" s="393">
        <f t="shared" si="13"/>
        <v>20138.612132000002</v>
      </c>
      <c r="O24" s="394">
        <f t="shared" si="13"/>
        <v>22159.935576032996</v>
      </c>
      <c r="P24" s="395">
        <f t="shared" si="13"/>
        <v>-2021.3234440329993</v>
      </c>
      <c r="Q24" s="394">
        <f t="shared" si="13"/>
        <v>960.4491756149788</v>
      </c>
      <c r="R24" s="394">
        <f t="shared" si="13"/>
        <v>348.2893985680202</v>
      </c>
      <c r="S24" s="394">
        <f t="shared" si="13"/>
        <v>73742.796700697203</v>
      </c>
    </row>
    <row r="25" spans="1:23" ht="8.1" customHeight="1"/>
    <row r="26" spans="1:23" ht="13.5" customHeight="1">
      <c r="A26" s="438" t="s">
        <v>246</v>
      </c>
      <c r="B26" s="438"/>
      <c r="C26" s="438"/>
      <c r="D26" s="438"/>
      <c r="E26" s="438"/>
      <c r="F26" s="438"/>
      <c r="G26" s="438"/>
      <c r="H26" s="438"/>
      <c r="I26" s="438"/>
      <c r="J26" s="60"/>
      <c r="K26" s="438" t="s">
        <v>247</v>
      </c>
      <c r="L26" s="438"/>
      <c r="M26" s="438"/>
      <c r="N26" s="438"/>
      <c r="O26" s="438"/>
      <c r="P26" s="438"/>
      <c r="Q26" s="438"/>
      <c r="R26" s="438"/>
      <c r="S26" s="438"/>
      <c r="V26" s="403"/>
      <c r="W26" s="403"/>
    </row>
    <row r="27" spans="1:23" ht="8.1" customHeight="1">
      <c r="D27" s="61"/>
      <c r="E27" s="62" t="s">
        <v>197</v>
      </c>
      <c r="F27" s="62" t="s">
        <v>198</v>
      </c>
      <c r="G27" s="63"/>
      <c r="H27" s="63"/>
      <c r="L27" s="63"/>
      <c r="M27" s="62"/>
      <c r="N27" s="62" t="s">
        <v>199</v>
      </c>
      <c r="O27" s="61" t="s">
        <v>200</v>
      </c>
    </row>
    <row r="28" spans="1:23" ht="8.1" customHeight="1">
      <c r="D28" s="61" t="str">
        <f>A6</f>
        <v>Leden</v>
      </c>
      <c r="E28" s="62">
        <f>B6</f>
        <v>611.86680951218455</v>
      </c>
      <c r="F28" s="62">
        <f>C6*-1</f>
        <v>-171.69380494119213</v>
      </c>
      <c r="G28" s="63"/>
      <c r="L28" s="63"/>
      <c r="M28" s="62" t="str">
        <f>A6</f>
        <v>Leden</v>
      </c>
      <c r="N28" s="62">
        <f>E6</f>
        <v>484.49456099999998</v>
      </c>
      <c r="O28" s="62">
        <f>F6*-1</f>
        <v>-50.764979000000004</v>
      </c>
    </row>
    <row r="29" spans="1:23" ht="8.1" customHeight="1">
      <c r="D29" s="61" t="str">
        <f t="shared" ref="D29:D39" si="14">A7</f>
        <v>Únor</v>
      </c>
      <c r="E29" s="62">
        <f t="shared" ref="E29:E39" si="15">B7</f>
        <v>541.66979960431695</v>
      </c>
      <c r="F29" s="62">
        <f t="shared" ref="F29:F39" si="16">C7*-1</f>
        <v>-191.63640082004457</v>
      </c>
      <c r="G29" s="63"/>
      <c r="L29" s="63"/>
      <c r="M29" s="62" t="str">
        <f t="shared" ref="M29:M39" si="17">A7</f>
        <v>Únor</v>
      </c>
      <c r="N29" s="62">
        <f t="shared" ref="N29:N39" si="18">E7</f>
        <v>502.731177</v>
      </c>
      <c r="O29" s="62">
        <f t="shared" ref="O29:O39" si="19">F7*-1</f>
        <v>-0.45966299999999999</v>
      </c>
    </row>
    <row r="30" spans="1:23" ht="8.1" customHeight="1">
      <c r="D30" s="61" t="str">
        <f t="shared" si="14"/>
        <v>Březen</v>
      </c>
      <c r="E30" s="62">
        <f t="shared" si="15"/>
        <v>558.67411079116368</v>
      </c>
      <c r="F30" s="62">
        <f t="shared" si="16"/>
        <v>-85.842169319862464</v>
      </c>
      <c r="G30" s="63"/>
      <c r="L30" s="63"/>
      <c r="M30" s="62" t="str">
        <f t="shared" si="17"/>
        <v>Březen</v>
      </c>
      <c r="N30" s="62">
        <f t="shared" si="18"/>
        <v>315.244956</v>
      </c>
      <c r="O30" s="62">
        <f t="shared" si="19"/>
        <v>-29.267647000000004</v>
      </c>
    </row>
    <row r="31" spans="1:23" ht="8.1" customHeight="1">
      <c r="D31" s="61" t="str">
        <f t="shared" si="14"/>
        <v>Duben</v>
      </c>
      <c r="E31" s="62">
        <f t="shared" si="15"/>
        <v>678.89586636549586</v>
      </c>
      <c r="F31" s="62">
        <f t="shared" si="16"/>
        <v>-59.800538558553114</v>
      </c>
      <c r="G31" s="63"/>
      <c r="L31" s="63"/>
      <c r="M31" s="62" t="str">
        <f t="shared" si="17"/>
        <v>Duben</v>
      </c>
      <c r="N31" s="62">
        <f t="shared" si="18"/>
        <v>79.391479000000004</v>
      </c>
      <c r="O31" s="62">
        <f t="shared" si="19"/>
        <v>-102.569807</v>
      </c>
    </row>
    <row r="32" spans="1:23" ht="8.1" customHeight="1">
      <c r="D32" s="61" t="str">
        <f t="shared" si="14"/>
        <v>Květen</v>
      </c>
      <c r="E32" s="62">
        <f t="shared" si="15"/>
        <v>1032.1800539226767</v>
      </c>
      <c r="F32" s="62">
        <f t="shared" si="16"/>
        <v>-66.096829012414332</v>
      </c>
      <c r="G32" s="63"/>
      <c r="L32" s="63"/>
      <c r="M32" s="62" t="str">
        <f t="shared" si="17"/>
        <v>Květen</v>
      </c>
      <c r="N32" s="62">
        <f t="shared" si="18"/>
        <v>2.5809000000000002E-2</v>
      </c>
      <c r="O32" s="62">
        <f t="shared" si="19"/>
        <v>-612.77381700000001</v>
      </c>
    </row>
    <row r="33" spans="4:15" ht="8.1" customHeight="1">
      <c r="D33" s="61" t="str">
        <f t="shared" si="14"/>
        <v>Červen</v>
      </c>
      <c r="E33" s="62">
        <f t="shared" si="15"/>
        <v>889.48322247170688</v>
      </c>
      <c r="F33" s="62">
        <f t="shared" si="16"/>
        <v>-25.522451097333597</v>
      </c>
      <c r="G33" s="63"/>
      <c r="L33" s="63"/>
      <c r="M33" s="62" t="str">
        <f t="shared" si="17"/>
        <v>Červen</v>
      </c>
      <c r="N33" s="62">
        <f t="shared" si="18"/>
        <v>0.235014</v>
      </c>
      <c r="O33" s="62">
        <f t="shared" si="19"/>
        <v>-558.38072299999999</v>
      </c>
    </row>
    <row r="34" spans="4:15" ht="8.1" customHeight="1">
      <c r="D34" s="61" t="str">
        <f t="shared" si="14"/>
        <v>Červenec</v>
      </c>
      <c r="E34" s="62">
        <f t="shared" si="15"/>
        <v>572.47818055688651</v>
      </c>
      <c r="F34" s="62">
        <f t="shared" si="16"/>
        <v>-78.775960216320897</v>
      </c>
      <c r="G34" s="63"/>
      <c r="L34" s="63"/>
      <c r="M34" s="62" t="str">
        <f t="shared" si="17"/>
        <v>Červenec</v>
      </c>
      <c r="N34" s="62">
        <f t="shared" si="18"/>
        <v>0</v>
      </c>
      <c r="O34" s="62">
        <f t="shared" si="19"/>
        <v>-219.44287299999996</v>
      </c>
    </row>
    <row r="35" spans="4:15" ht="8.1" customHeight="1">
      <c r="D35" s="61" t="str">
        <f t="shared" si="14"/>
        <v>Srpen</v>
      </c>
      <c r="E35" s="62">
        <f t="shared" si="15"/>
        <v>587.09390599999995</v>
      </c>
      <c r="F35" s="62">
        <f t="shared" si="16"/>
        <v>-145.15843159277571</v>
      </c>
      <c r="G35" s="63"/>
      <c r="L35" s="63"/>
      <c r="M35" s="62" t="str">
        <f t="shared" si="17"/>
        <v>Srpen</v>
      </c>
      <c r="N35" s="62">
        <f t="shared" si="18"/>
        <v>14.451610000000001</v>
      </c>
      <c r="O35" s="62">
        <f t="shared" si="19"/>
        <v>-178.688884</v>
      </c>
    </row>
    <row r="36" spans="4:15" ht="8.1" customHeight="1">
      <c r="D36" s="61" t="str">
        <f t="shared" si="14"/>
        <v>Září</v>
      </c>
      <c r="E36" s="62">
        <f t="shared" si="15"/>
        <v>473.93132066397732</v>
      </c>
      <c r="F36" s="62">
        <f t="shared" si="16"/>
        <v>-97.757947407399001</v>
      </c>
      <c r="G36" s="63"/>
      <c r="L36" s="63"/>
      <c r="M36" s="62" t="str">
        <f t="shared" si="17"/>
        <v>Září</v>
      </c>
      <c r="N36" s="62">
        <f t="shared" si="18"/>
        <v>30.350071000000003</v>
      </c>
      <c r="O36" s="62">
        <f t="shared" si="19"/>
        <v>-106.41528300000002</v>
      </c>
    </row>
    <row r="37" spans="4:15" ht="8.1" customHeight="1">
      <c r="D37" s="61" t="str">
        <f t="shared" si="14"/>
        <v>Říjen</v>
      </c>
      <c r="E37" s="62">
        <f t="shared" si="15"/>
        <v>589.05875087186075</v>
      </c>
      <c r="F37" s="62">
        <f t="shared" si="16"/>
        <v>-18.00428255177766</v>
      </c>
      <c r="G37" s="63"/>
      <c r="L37" s="63"/>
      <c r="M37" s="62" t="str">
        <f t="shared" si="17"/>
        <v>Říjen</v>
      </c>
      <c r="N37" s="62">
        <f t="shared" si="18"/>
        <v>9.4836539999999978</v>
      </c>
      <c r="O37" s="62">
        <f t="shared" si="19"/>
        <v>-124.31010699999999</v>
      </c>
    </row>
    <row r="38" spans="4:15" ht="8.1" customHeight="1">
      <c r="D38" s="61" t="str">
        <f t="shared" si="14"/>
        <v>Listopad</v>
      </c>
      <c r="E38" s="62">
        <f t="shared" si="15"/>
        <v>596.60192975597295</v>
      </c>
      <c r="F38" s="62">
        <f t="shared" si="16"/>
        <v>-52.274557670883787</v>
      </c>
      <c r="G38" s="63"/>
      <c r="L38" s="63"/>
      <c r="M38" s="62" t="str">
        <f t="shared" si="17"/>
        <v>Listopad</v>
      </c>
      <c r="N38" s="62">
        <f t="shared" si="18"/>
        <v>197.653932</v>
      </c>
      <c r="O38" s="62">
        <f t="shared" si="19"/>
        <v>-16.318148000000001</v>
      </c>
    </row>
    <row r="39" spans="4:15" ht="8.1" customHeight="1">
      <c r="D39" s="61" t="str">
        <f t="shared" si="14"/>
        <v>Prosinec</v>
      </c>
      <c r="E39" s="62">
        <f t="shared" si="15"/>
        <v>700.71821959246188</v>
      </c>
      <c r="F39" s="62">
        <f t="shared" si="16"/>
        <v>-31.821098172127414</v>
      </c>
      <c r="M39" s="62" t="str">
        <f t="shared" si="17"/>
        <v>Prosinec</v>
      </c>
      <c r="N39" s="62">
        <f t="shared" si="18"/>
        <v>229.02354300000002</v>
      </c>
      <c r="O39" s="62">
        <f t="shared" si="19"/>
        <v>-25.297307750000002</v>
      </c>
    </row>
    <row r="40" spans="4:15" ht="12" customHeight="1">
      <c r="M40" s="63"/>
    </row>
    <row r="41" spans="4:15" ht="12" customHeight="1"/>
    <row r="42" spans="4:15" ht="12" customHeight="1"/>
    <row r="43" spans="4:15" ht="12" customHeight="1"/>
  </sheetData>
  <mergeCells count="16">
    <mergeCell ref="K4:M4"/>
    <mergeCell ref="A26:I26"/>
    <mergeCell ref="K26:S26"/>
    <mergeCell ref="B2:S2"/>
    <mergeCell ref="A1:S1"/>
    <mergeCell ref="N4:P4"/>
    <mergeCell ref="H4:H5"/>
    <mergeCell ref="I4:I5"/>
    <mergeCell ref="J4:J5"/>
    <mergeCell ref="B3:J3"/>
    <mergeCell ref="K3:S3"/>
    <mergeCell ref="Q4:Q5"/>
    <mergeCell ref="R4:R5"/>
    <mergeCell ref="S4:S5"/>
    <mergeCell ref="B4:D4"/>
    <mergeCell ref="E4:G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1 B23:S23 C22:S22 C18 E18:F18 H18:K18 M18:Q18 B19:N19 P19:S19 S1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V56"/>
  <sheetViews>
    <sheetView showGridLines="0" zoomScaleNormal="100" zoomScaleSheetLayoutView="100" workbookViewId="0">
      <selection activeCell="D1" sqref="D1"/>
    </sheetView>
  </sheetViews>
  <sheetFormatPr defaultRowHeight="11.25"/>
  <cols>
    <col min="1" max="1" width="8.140625" style="12" customWidth="1"/>
    <col min="2" max="3" width="7.7109375" style="12" customWidth="1"/>
    <col min="4" max="4" width="7.28515625" style="12" customWidth="1"/>
    <col min="5" max="6" width="7.7109375" style="12" customWidth="1"/>
    <col min="7" max="7" width="7.42578125" style="12" customWidth="1"/>
    <col min="8" max="8" width="9.140625" style="12" customWidth="1"/>
    <col min="9" max="12" width="7.7109375" style="12" customWidth="1"/>
    <col min="13" max="13" width="9" style="12" customWidth="1"/>
    <col min="14" max="18" width="4.7109375" style="12" customWidth="1"/>
    <col min="19" max="20" width="6.7109375" style="12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20.25">
      <c r="A1" s="69" t="s">
        <v>286</v>
      </c>
    </row>
    <row r="2" spans="1:22" ht="18">
      <c r="A2" s="373" t="s">
        <v>292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2" ht="6" customHeight="1">
      <c r="A3" s="206"/>
      <c r="B3" s="207"/>
      <c r="C3" s="207"/>
      <c r="D3" s="207"/>
      <c r="E3" s="207"/>
      <c r="F3" s="207"/>
      <c r="G3" s="207"/>
      <c r="H3" s="207"/>
      <c r="I3" s="207"/>
      <c r="J3" s="207"/>
      <c r="K3" s="208"/>
      <c r="L3" s="207"/>
      <c r="M3" s="207"/>
      <c r="N3" s="207"/>
      <c r="O3" s="207"/>
      <c r="P3" s="207"/>
      <c r="Q3" s="207"/>
      <c r="R3" s="207"/>
    </row>
    <row r="4" spans="1:22" ht="15.95" customHeight="1">
      <c r="A4" s="205">
        <f>'3.1'!A4</f>
        <v>2023</v>
      </c>
      <c r="B4" s="447" t="s">
        <v>258</v>
      </c>
      <c r="C4" s="450"/>
      <c r="D4" s="450"/>
      <c r="E4" s="450"/>
      <c r="F4" s="450"/>
      <c r="G4" s="450"/>
      <c r="H4" s="449"/>
      <c r="I4" s="447" t="s">
        <v>216</v>
      </c>
      <c r="J4" s="450"/>
      <c r="K4" s="450"/>
      <c r="L4" s="450"/>
      <c r="M4" s="450"/>
      <c r="N4" s="447" t="s">
        <v>228</v>
      </c>
      <c r="O4" s="450"/>
      <c r="P4" s="450"/>
      <c r="Q4" s="450"/>
      <c r="R4" s="449"/>
      <c r="S4" s="228" t="s">
        <v>258</v>
      </c>
      <c r="T4" s="228" t="s">
        <v>216</v>
      </c>
    </row>
    <row r="5" spans="1:22" ht="36.75" customHeight="1">
      <c r="A5" s="217"/>
      <c r="B5" s="451" t="s">
        <v>155</v>
      </c>
      <c r="C5" s="444"/>
      <c r="D5" s="444"/>
      <c r="E5" s="444" t="s">
        <v>156</v>
      </c>
      <c r="F5" s="444"/>
      <c r="G5" s="444"/>
      <c r="H5" s="197" t="s">
        <v>153</v>
      </c>
      <c r="I5" s="451" t="s">
        <v>155</v>
      </c>
      <c r="J5" s="444"/>
      <c r="K5" s="444" t="s">
        <v>156</v>
      </c>
      <c r="L5" s="444"/>
      <c r="M5" s="196" t="s">
        <v>153</v>
      </c>
      <c r="N5" s="451" t="s">
        <v>261</v>
      </c>
      <c r="O5" s="444"/>
      <c r="P5" s="444"/>
      <c r="Q5" s="444"/>
      <c r="R5" s="446"/>
      <c r="S5" s="443" t="s">
        <v>154</v>
      </c>
      <c r="T5" s="443"/>
    </row>
    <row r="6" spans="1:22" ht="44.25" customHeight="1">
      <c r="A6" s="224"/>
      <c r="B6" s="231">
        <f>A4</f>
        <v>2023</v>
      </c>
      <c r="C6" s="232">
        <f>B6-1</f>
        <v>2022</v>
      </c>
      <c r="D6" s="194" t="s">
        <v>262</v>
      </c>
      <c r="E6" s="232">
        <f>B6</f>
        <v>2023</v>
      </c>
      <c r="F6" s="232">
        <f>C6</f>
        <v>2022</v>
      </c>
      <c r="G6" s="194" t="s">
        <v>263</v>
      </c>
      <c r="H6" s="233">
        <f>B6</f>
        <v>2023</v>
      </c>
      <c r="I6" s="231">
        <f>B6</f>
        <v>2023</v>
      </c>
      <c r="J6" s="232">
        <f>C6</f>
        <v>2022</v>
      </c>
      <c r="K6" s="232">
        <f>B6</f>
        <v>2023</v>
      </c>
      <c r="L6" s="232">
        <f>C6</f>
        <v>2022</v>
      </c>
      <c r="M6" s="232">
        <f>B6</f>
        <v>2023</v>
      </c>
      <c r="N6" s="225" t="s">
        <v>62</v>
      </c>
      <c r="O6" s="226" t="s">
        <v>173</v>
      </c>
      <c r="P6" s="226" t="s">
        <v>174</v>
      </c>
      <c r="Q6" s="226" t="s">
        <v>114</v>
      </c>
      <c r="R6" s="227" t="s">
        <v>116</v>
      </c>
      <c r="S6" s="444"/>
      <c r="T6" s="444"/>
    </row>
    <row r="7" spans="1:22" ht="12" customHeight="1">
      <c r="A7" s="176" t="s">
        <v>160</v>
      </c>
      <c r="B7" s="183">
        <v>891.77987089563828</v>
      </c>
      <c r="C7" s="177">
        <v>1134.2628331979083</v>
      </c>
      <c r="D7" s="211">
        <v>-0.21378022377637154</v>
      </c>
      <c r="E7" s="178">
        <v>1018.2711816603346</v>
      </c>
      <c r="F7" s="178">
        <v>1205.7433627279247</v>
      </c>
      <c r="G7" s="211">
        <v>-0.15548265647794662</v>
      </c>
      <c r="H7" s="185">
        <v>1080</v>
      </c>
      <c r="I7" s="189">
        <v>9714.563236209995</v>
      </c>
      <c r="J7" s="178">
        <v>12118.789609366002</v>
      </c>
      <c r="K7" s="178">
        <v>11092.490544684235</v>
      </c>
      <c r="L7" s="177">
        <v>12882.508099636938</v>
      </c>
      <c r="M7" s="177">
        <v>11610</v>
      </c>
      <c r="N7" s="183">
        <v>2.1903225806451618</v>
      </c>
      <c r="O7" s="177">
        <v>8.3000000000000007</v>
      </c>
      <c r="P7" s="177">
        <v>-4.2</v>
      </c>
      <c r="Q7" s="177">
        <v>-1.2258064516129035</v>
      </c>
      <c r="R7" s="187">
        <v>3.4161290322580653</v>
      </c>
      <c r="S7" s="209">
        <v>45.144016081352575</v>
      </c>
      <c r="T7" s="209">
        <v>491.7744209999999</v>
      </c>
      <c r="U7" s="57"/>
      <c r="V7" s="68"/>
    </row>
    <row r="8" spans="1:22" ht="12" customHeight="1">
      <c r="A8" s="176" t="s">
        <v>161</v>
      </c>
      <c r="B8" s="183">
        <v>860.76740305537987</v>
      </c>
      <c r="C8" s="178">
        <v>890.50040009373777</v>
      </c>
      <c r="D8" s="211">
        <v>-3.3389088915881535E-2</v>
      </c>
      <c r="E8" s="178">
        <v>905.06624105235687</v>
      </c>
      <c r="F8" s="178">
        <v>992.3478118923407</v>
      </c>
      <c r="G8" s="211">
        <v>-8.7954616107374414E-2</v>
      </c>
      <c r="H8" s="185">
        <v>910</v>
      </c>
      <c r="I8" s="189">
        <v>9341.3894159989995</v>
      </c>
      <c r="J8" s="178">
        <v>9526.9687922180001</v>
      </c>
      <c r="K8" s="178">
        <v>9822.1379840060417</v>
      </c>
      <c r="L8" s="177">
        <v>10616.577638739944</v>
      </c>
      <c r="M8" s="177">
        <v>9780</v>
      </c>
      <c r="N8" s="189">
        <v>1.375</v>
      </c>
      <c r="O8" s="178">
        <v>9</v>
      </c>
      <c r="P8" s="178">
        <v>-6.1</v>
      </c>
      <c r="Q8" s="178">
        <v>-0.15517241379310354</v>
      </c>
      <c r="R8" s="187">
        <v>1.5301724137931036</v>
      </c>
      <c r="S8" s="209">
        <v>57.83162177655786</v>
      </c>
      <c r="T8" s="209">
        <v>627.6117720000002</v>
      </c>
      <c r="U8" s="57"/>
      <c r="V8" s="68"/>
    </row>
    <row r="9" spans="1:22" ht="12" customHeight="1">
      <c r="A9" s="179" t="s">
        <v>162</v>
      </c>
      <c r="B9" s="184">
        <v>769.26811951702939</v>
      </c>
      <c r="C9" s="181">
        <v>922.6194924346953</v>
      </c>
      <c r="D9" s="214">
        <v>-0.16621302083374356</v>
      </c>
      <c r="E9" s="181">
        <v>813.43576392756404</v>
      </c>
      <c r="F9" s="181">
        <v>915.49072354115106</v>
      </c>
      <c r="G9" s="214">
        <v>-0.11147568947376633</v>
      </c>
      <c r="H9" s="186">
        <v>850</v>
      </c>
      <c r="I9" s="190">
        <v>8340.019322711998</v>
      </c>
      <c r="J9" s="181">
        <v>9909.4539932498337</v>
      </c>
      <c r="K9" s="181">
        <v>8818.8627824589057</v>
      </c>
      <c r="L9" s="180">
        <v>9832.8869924891296</v>
      </c>
      <c r="M9" s="188">
        <v>9140</v>
      </c>
      <c r="N9" s="190">
        <v>4.8774193548387101</v>
      </c>
      <c r="O9" s="181">
        <v>12.9</v>
      </c>
      <c r="P9" s="181">
        <v>-0.6</v>
      </c>
      <c r="Q9" s="181">
        <v>3.512903225806451</v>
      </c>
      <c r="R9" s="188">
        <v>1.3645161290322592</v>
      </c>
      <c r="S9" s="215">
        <v>50.384704194909489</v>
      </c>
      <c r="T9" s="215">
        <v>546.24576699999932</v>
      </c>
      <c r="U9" s="57"/>
      <c r="V9" s="68"/>
    </row>
    <row r="10" spans="1:22" ht="12" customHeight="1">
      <c r="A10" s="176" t="s">
        <v>163</v>
      </c>
      <c r="B10" s="183">
        <v>606.46775451524184</v>
      </c>
      <c r="C10" s="178">
        <v>671.36218900899917</v>
      </c>
      <c r="D10" s="211">
        <v>-9.6660842025596203E-2</v>
      </c>
      <c r="E10" s="178">
        <v>542.15893668344847</v>
      </c>
      <c r="F10" s="178">
        <v>605.29632058159871</v>
      </c>
      <c r="G10" s="211">
        <v>-0.10430822351189036</v>
      </c>
      <c r="H10" s="185">
        <v>590</v>
      </c>
      <c r="I10" s="189">
        <v>6615.5157134669989</v>
      </c>
      <c r="J10" s="178">
        <v>7237.9843414369079</v>
      </c>
      <c r="K10" s="178">
        <v>5914.0175848141862</v>
      </c>
      <c r="L10" s="177">
        <v>6525.7254013157726</v>
      </c>
      <c r="M10" s="177">
        <v>6340</v>
      </c>
      <c r="N10" s="183">
        <v>6.6799999999999988</v>
      </c>
      <c r="O10" s="177">
        <v>12.6</v>
      </c>
      <c r="P10" s="177">
        <v>-0.4</v>
      </c>
      <c r="Q10" s="177">
        <v>8.6366666666666667</v>
      </c>
      <c r="R10" s="187">
        <v>-1.9566666666666679</v>
      </c>
      <c r="S10" s="209">
        <v>30.533200134826419</v>
      </c>
      <c r="T10" s="209">
        <v>333.06439699999987</v>
      </c>
      <c r="U10" s="57"/>
      <c r="V10" s="68"/>
    </row>
    <row r="11" spans="1:22" ht="12" customHeight="1">
      <c r="A11" s="176" t="s">
        <v>164</v>
      </c>
      <c r="B11" s="183">
        <v>368.85357592765939</v>
      </c>
      <c r="C11" s="178">
        <v>388.89617215441922</v>
      </c>
      <c r="D11" s="211">
        <v>-5.1537139375086215E-2</v>
      </c>
      <c r="E11" s="178">
        <v>354.09291505284216</v>
      </c>
      <c r="F11" s="178">
        <v>408.72603445306578</v>
      </c>
      <c r="G11" s="211">
        <v>-0.13366684476884522</v>
      </c>
      <c r="H11" s="185">
        <v>400</v>
      </c>
      <c r="I11" s="189">
        <v>4038.3717193379994</v>
      </c>
      <c r="J11" s="178">
        <v>4179.6572926889767</v>
      </c>
      <c r="K11" s="178">
        <v>3876.7654904009873</v>
      </c>
      <c r="L11" s="177">
        <v>4392.778517591767</v>
      </c>
      <c r="M11" s="177">
        <v>4300</v>
      </c>
      <c r="N11" s="189">
        <v>12.812903225806451</v>
      </c>
      <c r="O11" s="178">
        <v>18.399999999999999</v>
      </c>
      <c r="P11" s="178">
        <v>8.5</v>
      </c>
      <c r="Q11" s="178">
        <v>13.522580645161288</v>
      </c>
      <c r="R11" s="187">
        <v>-0.7096774193548363</v>
      </c>
      <c r="S11" s="209">
        <v>14.977591892797571</v>
      </c>
      <c r="T11" s="209">
        <v>163.98109600000004</v>
      </c>
      <c r="U11" s="57"/>
      <c r="V11" s="68"/>
    </row>
    <row r="12" spans="1:22" ht="12" customHeight="1">
      <c r="A12" s="179" t="s">
        <v>165</v>
      </c>
      <c r="B12" s="184">
        <v>313.95310905674575</v>
      </c>
      <c r="C12" s="181">
        <v>336.35449487705358</v>
      </c>
      <c r="D12" s="214">
        <v>-6.6600524629516641E-2</v>
      </c>
      <c r="E12" s="181">
        <v>316.35299234701233</v>
      </c>
      <c r="F12" s="181">
        <v>343.02500571133265</v>
      </c>
      <c r="G12" s="214">
        <v>-7.7755303316766763E-2</v>
      </c>
      <c r="H12" s="186">
        <v>330</v>
      </c>
      <c r="I12" s="190">
        <v>3439.013946421001</v>
      </c>
      <c r="J12" s="181">
        <v>3649.5234189770158</v>
      </c>
      <c r="K12" s="181">
        <v>3465.302050812787</v>
      </c>
      <c r="L12" s="180">
        <v>3721.8999915426352</v>
      </c>
      <c r="M12" s="188">
        <v>3550</v>
      </c>
      <c r="N12" s="190">
        <v>17.459999999999994</v>
      </c>
      <c r="O12" s="181">
        <v>24</v>
      </c>
      <c r="P12" s="181">
        <v>13.2</v>
      </c>
      <c r="Q12" s="181">
        <v>16.59</v>
      </c>
      <c r="R12" s="188">
        <v>0.86999999999999389</v>
      </c>
      <c r="S12" s="215">
        <v>54.903545895077762</v>
      </c>
      <c r="T12" s="215">
        <v>601.40838599999995</v>
      </c>
      <c r="U12" s="66"/>
      <c r="V12" s="68"/>
    </row>
    <row r="13" spans="1:22" ht="12" customHeight="1">
      <c r="A13" s="176" t="s">
        <v>166</v>
      </c>
      <c r="B13" s="183">
        <v>281.16730328742176</v>
      </c>
      <c r="C13" s="178">
        <v>288.56559520753245</v>
      </c>
      <c r="D13" s="211">
        <v>-2.5638163533632425E-2</v>
      </c>
      <c r="E13" s="178">
        <v>289.09069131840243</v>
      </c>
      <c r="F13" s="178">
        <v>290.00270000615274</v>
      </c>
      <c r="G13" s="211">
        <v>-3.1448282644642687E-3</v>
      </c>
      <c r="H13" s="185">
        <v>270</v>
      </c>
      <c r="I13" s="189">
        <v>3081.7762799849997</v>
      </c>
      <c r="J13" s="178">
        <v>3138.9261413289951</v>
      </c>
      <c r="K13" s="178">
        <v>3168.6217595464409</v>
      </c>
      <c r="L13" s="177">
        <v>3154.5585171046805</v>
      </c>
      <c r="M13" s="177">
        <v>2910</v>
      </c>
      <c r="N13" s="183">
        <v>19.896774193548385</v>
      </c>
      <c r="O13" s="177">
        <v>26.1</v>
      </c>
      <c r="P13" s="177">
        <v>13.6</v>
      </c>
      <c r="Q13" s="177">
        <v>18.522580645161291</v>
      </c>
      <c r="R13" s="187">
        <v>1.374193548387094</v>
      </c>
      <c r="S13" s="209">
        <v>50.06819030121008</v>
      </c>
      <c r="T13" s="209">
        <v>548.77922400000034</v>
      </c>
      <c r="U13" s="57"/>
      <c r="V13" s="68"/>
    </row>
    <row r="14" spans="1:22" ht="12" customHeight="1">
      <c r="A14" s="176" t="s">
        <v>167</v>
      </c>
      <c r="B14" s="183">
        <v>287.62089071612513</v>
      </c>
      <c r="C14" s="178">
        <v>311.10515298840176</v>
      </c>
      <c r="D14" s="211">
        <v>-7.5486574383909794E-2</v>
      </c>
      <c r="E14" s="178">
        <v>290.24521526417504</v>
      </c>
      <c r="F14" s="178">
        <v>316.66437346991484</v>
      </c>
      <c r="G14" s="211">
        <v>-8.3429524819121414E-2</v>
      </c>
      <c r="H14" s="185">
        <v>290</v>
      </c>
      <c r="I14" s="189">
        <v>3154.9670399129996</v>
      </c>
      <c r="J14" s="178">
        <v>3377.6271495339843</v>
      </c>
      <c r="K14" s="178">
        <v>3183.7537439334105</v>
      </c>
      <c r="L14" s="177">
        <v>3437.9828647905042</v>
      </c>
      <c r="M14" s="177">
        <v>3120</v>
      </c>
      <c r="N14" s="189">
        <v>18.838709677419359</v>
      </c>
      <c r="O14" s="178">
        <v>24.6</v>
      </c>
      <c r="P14" s="178">
        <v>12.9</v>
      </c>
      <c r="Q14" s="178">
        <v>18.119354838709679</v>
      </c>
      <c r="R14" s="187">
        <v>0.71935483870968042</v>
      </c>
      <c r="S14" s="209">
        <v>42.601379998160283</v>
      </c>
      <c r="T14" s="209">
        <v>467.30147800000094</v>
      </c>
      <c r="U14" s="57"/>
      <c r="V14" s="68"/>
    </row>
    <row r="15" spans="1:22" ht="12" customHeight="1">
      <c r="A15" s="179" t="s">
        <v>168</v>
      </c>
      <c r="B15" s="184">
        <v>302.26857171234781</v>
      </c>
      <c r="C15" s="181">
        <v>383.35796064253685</v>
      </c>
      <c r="D15" s="214">
        <v>-0.21152394695098314</v>
      </c>
      <c r="E15" s="181">
        <v>352.90832533559529</v>
      </c>
      <c r="F15" s="181">
        <v>364.55300453126074</v>
      </c>
      <c r="G15" s="214">
        <v>-3.1942348714525282E-2</v>
      </c>
      <c r="H15" s="186">
        <v>410</v>
      </c>
      <c r="I15" s="190">
        <v>3320.3462229230008</v>
      </c>
      <c r="J15" s="181">
        <v>4195.2896731579685</v>
      </c>
      <c r="K15" s="181">
        <v>3876.6115128278743</v>
      </c>
      <c r="L15" s="180">
        <v>3989.4970556117041</v>
      </c>
      <c r="M15" s="180">
        <v>4410</v>
      </c>
      <c r="N15" s="190">
        <v>16.65666666666667</v>
      </c>
      <c r="O15" s="181">
        <v>20.5</v>
      </c>
      <c r="P15" s="181">
        <v>11.5</v>
      </c>
      <c r="Q15" s="181">
        <v>13.223333333333333</v>
      </c>
      <c r="R15" s="188">
        <v>3.4333333333333371</v>
      </c>
      <c r="S15" s="215">
        <v>48.662693217955002</v>
      </c>
      <c r="T15" s="215">
        <v>534.54732000000092</v>
      </c>
      <c r="U15" s="57"/>
      <c r="V15" s="68"/>
    </row>
    <row r="16" spans="1:22" ht="12" customHeight="1">
      <c r="A16" s="176" t="s">
        <v>169</v>
      </c>
      <c r="B16" s="183">
        <v>465.54145508528813</v>
      </c>
      <c r="C16" s="178">
        <v>507.60933393401041</v>
      </c>
      <c r="D16" s="211">
        <v>-8.2874517934280398E-2</v>
      </c>
      <c r="E16" s="178">
        <v>546.33017523016531</v>
      </c>
      <c r="F16" s="178">
        <v>577.43055895996144</v>
      </c>
      <c r="G16" s="211">
        <v>-5.3859954668510381E-2</v>
      </c>
      <c r="H16" s="185">
        <v>600</v>
      </c>
      <c r="I16" s="189">
        <v>5108.6494381160001</v>
      </c>
      <c r="J16" s="178">
        <v>5563.6281824909929</v>
      </c>
      <c r="K16" s="178">
        <v>5995.1897134575938</v>
      </c>
      <c r="L16" s="177">
        <v>6328.9004289247559</v>
      </c>
      <c r="M16" s="177">
        <v>6450</v>
      </c>
      <c r="N16" s="183">
        <v>11.261290322580644</v>
      </c>
      <c r="O16" s="177">
        <v>17.600000000000001</v>
      </c>
      <c r="P16" s="177">
        <v>3.4</v>
      </c>
      <c r="Q16" s="177">
        <v>8.3548387096774199</v>
      </c>
      <c r="R16" s="187">
        <v>2.9064516129032238</v>
      </c>
      <c r="S16" s="209">
        <v>41.534138851247214</v>
      </c>
      <c r="T16" s="209">
        <v>455.77754099999987</v>
      </c>
      <c r="U16" s="57"/>
      <c r="V16" s="68"/>
    </row>
    <row r="17" spans="1:22" ht="12" customHeight="1">
      <c r="A17" s="176" t="s">
        <v>170</v>
      </c>
      <c r="B17" s="183">
        <v>731.11429024713414</v>
      </c>
      <c r="C17" s="178">
        <v>742.97066453171442</v>
      </c>
      <c r="D17" s="211">
        <v>-1.595806517078735E-2</v>
      </c>
      <c r="E17" s="178">
        <v>760.54547631288494</v>
      </c>
      <c r="F17" s="178">
        <v>772.59056478915386</v>
      </c>
      <c r="G17" s="211">
        <v>-1.5590519772340368E-2</v>
      </c>
      <c r="H17" s="185">
        <v>760</v>
      </c>
      <c r="I17" s="189">
        <v>7992.1236511000006</v>
      </c>
      <c r="J17" s="178">
        <v>8121.0956048529115</v>
      </c>
      <c r="K17" s="178">
        <v>8313.8485597411691</v>
      </c>
      <c r="L17" s="177">
        <v>8444.8581075736438</v>
      </c>
      <c r="M17" s="177">
        <v>8170</v>
      </c>
      <c r="N17" s="189">
        <v>4.2833333333333323</v>
      </c>
      <c r="O17" s="178">
        <v>10.1</v>
      </c>
      <c r="P17" s="178">
        <v>-3</v>
      </c>
      <c r="Q17" s="178">
        <v>3.5466666666666664</v>
      </c>
      <c r="R17" s="187">
        <v>0.73666666666666591</v>
      </c>
      <c r="S17" s="209">
        <v>38.275606301758906</v>
      </c>
      <c r="T17" s="209">
        <v>418.40706800000044</v>
      </c>
      <c r="U17" s="57"/>
      <c r="V17" s="68"/>
    </row>
    <row r="18" spans="1:22" ht="12" customHeight="1">
      <c r="A18" s="179" t="s">
        <v>171</v>
      </c>
      <c r="B18" s="184">
        <v>879.80266905167161</v>
      </c>
      <c r="C18" s="181">
        <v>966.15799449828557</v>
      </c>
      <c r="D18" s="214">
        <v>-8.9380128238194897E-2</v>
      </c>
      <c r="E18" s="181">
        <v>964.31157030577447</v>
      </c>
      <c r="F18" s="181">
        <v>990.3670066920921</v>
      </c>
      <c r="G18" s="214">
        <v>-2.6308869550637552E-2</v>
      </c>
      <c r="H18" s="186">
        <v>990</v>
      </c>
      <c r="I18" s="190">
        <v>9596.0605804639999</v>
      </c>
      <c r="J18" s="181">
        <v>10527.754113535413</v>
      </c>
      <c r="K18" s="181">
        <v>10517.804244752875</v>
      </c>
      <c r="L18" s="180">
        <v>10791.547953838235</v>
      </c>
      <c r="M18" s="180">
        <v>10650</v>
      </c>
      <c r="N18" s="190">
        <v>2.2387096774193549</v>
      </c>
      <c r="O18" s="181">
        <v>8.9</v>
      </c>
      <c r="P18" s="181">
        <v>-5.7</v>
      </c>
      <c r="Q18" s="181">
        <v>-0.38387096774193558</v>
      </c>
      <c r="R18" s="188">
        <v>2.6225806451612903</v>
      </c>
      <c r="S18" s="215">
        <v>46.01057047681784</v>
      </c>
      <c r="T18" s="215">
        <v>501.84036099999997</v>
      </c>
      <c r="U18" s="57"/>
      <c r="V18" s="68"/>
    </row>
    <row r="19" spans="1:22" ht="12" customHeight="1">
      <c r="A19" s="176" t="s">
        <v>48</v>
      </c>
      <c r="B19" s="220">
        <f>SUM(B7:B9)</f>
        <v>2521.8153934680477</v>
      </c>
      <c r="C19" s="391">
        <f>SUM(C7:C9)</f>
        <v>2947.3827257263411</v>
      </c>
      <c r="D19" s="211">
        <f>(B19-C19)/C19</f>
        <v>-0.14438821553227985</v>
      </c>
      <c r="E19" s="212">
        <f t="shared" ref="E19:F19" si="0">SUM(E7:E9)</f>
        <v>2736.7731866402555</v>
      </c>
      <c r="F19" s="212">
        <f t="shared" si="0"/>
        <v>3113.5818981614166</v>
      </c>
      <c r="G19" s="211">
        <f t="shared" ref="G19:G25" si="1">(E19-F19)/F19</f>
        <v>-0.12102097322176372</v>
      </c>
      <c r="H19" s="378">
        <f t="shared" ref="H19:M19" si="2">SUM(H7:H9)</f>
        <v>2840</v>
      </c>
      <c r="I19" s="220">
        <f>SUM(I7:I9)</f>
        <v>27395.971974920991</v>
      </c>
      <c r="J19" s="391">
        <f t="shared" si="2"/>
        <v>31555.212394833838</v>
      </c>
      <c r="K19" s="212">
        <f t="shared" si="2"/>
        <v>29733.491311149184</v>
      </c>
      <c r="L19" s="212">
        <f t="shared" si="2"/>
        <v>33331.972730866008</v>
      </c>
      <c r="M19" s="378">
        <f t="shared" si="2"/>
        <v>30530</v>
      </c>
      <c r="N19" s="220">
        <f>AVERAGE(N7:N9)</f>
        <v>2.8142473118279572</v>
      </c>
      <c r="O19" s="212">
        <f>MAX(O7:O9)</f>
        <v>12.9</v>
      </c>
      <c r="P19" s="212">
        <f>MIN(P7:P9)</f>
        <v>-6.1</v>
      </c>
      <c r="Q19" s="212">
        <f>AVERAGE(Q7:Q9)</f>
        <v>0.71064145346681462</v>
      </c>
      <c r="R19" s="223">
        <f>N19-Q19</f>
        <v>2.1036058583611426</v>
      </c>
      <c r="S19" s="212">
        <f>SUM(S7:S9)</f>
        <v>153.36034205281993</v>
      </c>
      <c r="T19" s="212">
        <f>SUM(T7:T9)</f>
        <v>1665.6319599999993</v>
      </c>
      <c r="U19" s="63"/>
      <c r="V19" s="68"/>
    </row>
    <row r="20" spans="1:22" ht="12" customHeight="1">
      <c r="A20" s="176" t="s">
        <v>56</v>
      </c>
      <c r="B20" s="220">
        <f>SUM(B10:B12)</f>
        <v>1289.2744394996469</v>
      </c>
      <c r="C20" s="212">
        <f>SUM(C10:C12)</f>
        <v>1396.612856040472</v>
      </c>
      <c r="D20" s="211">
        <f>(B20-C20)/C20</f>
        <v>-7.6856242642030101E-2</v>
      </c>
      <c r="E20" s="212">
        <f t="shared" ref="E20:I20" si="3">SUM(E10:E12)</f>
        <v>1212.6048440833029</v>
      </c>
      <c r="F20" s="212">
        <f t="shared" ref="F20" si="4">SUM(F10:F12)</f>
        <v>1357.0473607459971</v>
      </c>
      <c r="G20" s="211">
        <f>(E20-F20)/F20</f>
        <v>-0.10643881771620059</v>
      </c>
      <c r="H20" s="223">
        <f>SUM(H10:H12)</f>
        <v>1320</v>
      </c>
      <c r="I20" s="220">
        <f t="shared" si="3"/>
        <v>14092.901379225999</v>
      </c>
      <c r="J20" s="212">
        <f t="shared" ref="J20" si="5">SUM(J10:J12)</f>
        <v>15067.165053102901</v>
      </c>
      <c r="K20" s="212">
        <f>SUM(K10:K12)</f>
        <v>13256.08512602796</v>
      </c>
      <c r="L20" s="212">
        <f>SUM(L10:L12)</f>
        <v>14640.403910450175</v>
      </c>
      <c r="M20" s="223">
        <f>SUM(M10:M12)</f>
        <v>14190</v>
      </c>
      <c r="N20" s="220">
        <f>AVERAGE(N10:N12)</f>
        <v>12.317634408602148</v>
      </c>
      <c r="O20" s="212">
        <f>MAX(O10:O12)</f>
        <v>24</v>
      </c>
      <c r="P20" s="212">
        <f>MIN(P10:P12)</f>
        <v>-0.4</v>
      </c>
      <c r="Q20" s="212">
        <f>AVERAGE(Q10:Q12)</f>
        <v>12.916415770609319</v>
      </c>
      <c r="R20" s="223">
        <f t="shared" ref="R20:R25" si="6">N20-Q20</f>
        <v>-0.59878136200717158</v>
      </c>
      <c r="S20" s="212">
        <f>SUM(S10:S12)</f>
        <v>100.41433792270175</v>
      </c>
      <c r="T20" s="212">
        <f>SUM(T10:T12)</f>
        <v>1098.4538789999999</v>
      </c>
      <c r="V20" s="68"/>
    </row>
    <row r="21" spans="1:22" ht="12" customHeight="1">
      <c r="A21" s="176" t="s">
        <v>63</v>
      </c>
      <c r="B21" s="220">
        <f>SUM(B13:B15)</f>
        <v>871.0567657158947</v>
      </c>
      <c r="C21" s="212">
        <f>SUM(C13:C15)</f>
        <v>983.02870883847118</v>
      </c>
      <c r="D21" s="211">
        <f t="shared" ref="D21:D25" si="7">(B21-C21)/C21</f>
        <v>-0.11390505904438995</v>
      </c>
      <c r="E21" s="212">
        <f t="shared" ref="E21:K21" si="8">SUM(E13:E15)</f>
        <v>932.24423191817277</v>
      </c>
      <c r="F21" s="212">
        <f t="shared" ref="F21" si="9">SUM(F13:F15)</f>
        <v>971.22007800732831</v>
      </c>
      <c r="G21" s="211">
        <f t="shared" si="1"/>
        <v>-4.0130807601427537E-2</v>
      </c>
      <c r="H21" s="223">
        <f>SUM(H13:H15)</f>
        <v>970</v>
      </c>
      <c r="I21" s="220">
        <f t="shared" si="8"/>
        <v>9557.0895428210006</v>
      </c>
      <c r="J21" s="212">
        <f t="shared" ref="J21" si="10">SUM(J13:J15)</f>
        <v>10711.842964020947</v>
      </c>
      <c r="K21" s="212">
        <f t="shared" si="8"/>
        <v>10228.987016307725</v>
      </c>
      <c r="L21" s="212">
        <f t="shared" ref="L21" si="11">SUM(L13:L15)</f>
        <v>10582.03843750689</v>
      </c>
      <c r="M21" s="223">
        <f>SUM(M13:M15)</f>
        <v>10440</v>
      </c>
      <c r="N21" s="220">
        <f>AVERAGE(N13:N15)</f>
        <v>18.464050179211469</v>
      </c>
      <c r="O21" s="212">
        <f>MAX(O13:O15)</f>
        <v>26.1</v>
      </c>
      <c r="P21" s="212">
        <f>MIN(P13:P15)</f>
        <v>11.5</v>
      </c>
      <c r="Q21" s="212">
        <f>AVERAGE(Q13:Q15)</f>
        <v>16.621756272401431</v>
      </c>
      <c r="R21" s="223">
        <f>N21-Q21</f>
        <v>1.8422939068100384</v>
      </c>
      <c r="S21" s="212">
        <f t="shared" ref="S21:T21" si="12">SUM(S13:S15)</f>
        <v>141.33226351732537</v>
      </c>
      <c r="T21" s="212">
        <f t="shared" si="12"/>
        <v>1550.6280220000021</v>
      </c>
      <c r="V21" s="68"/>
    </row>
    <row r="22" spans="1:22" ht="12" customHeight="1">
      <c r="A22" s="179" t="s">
        <v>57</v>
      </c>
      <c r="B22" s="396">
        <f>SUM(B16:B18)</f>
        <v>2076.4584143840939</v>
      </c>
      <c r="C22" s="388">
        <f>SUM(C16:C18)</f>
        <v>2216.7379929640106</v>
      </c>
      <c r="D22" s="214">
        <f t="shared" si="7"/>
        <v>-6.3281984170058911E-2</v>
      </c>
      <c r="E22" s="388">
        <f t="shared" ref="E22:K22" si="13">SUM(E16:E18)</f>
        <v>2271.1872218488247</v>
      </c>
      <c r="F22" s="388">
        <f t="shared" ref="F22" si="14">SUM(F16:F18)</f>
        <v>2340.3881304412075</v>
      </c>
      <c r="G22" s="214">
        <f t="shared" si="1"/>
        <v>-2.9568133461408866E-2</v>
      </c>
      <c r="H22" s="386">
        <f>SUM(H16:H18)</f>
        <v>2350</v>
      </c>
      <c r="I22" s="396">
        <f t="shared" si="13"/>
        <v>22696.83366968</v>
      </c>
      <c r="J22" s="388">
        <f t="shared" ref="J22" si="15">SUM(J16:J18)</f>
        <v>24212.477900879319</v>
      </c>
      <c r="K22" s="388">
        <f t="shared" si="13"/>
        <v>24826.842517951638</v>
      </c>
      <c r="L22" s="388">
        <f t="shared" ref="L22" si="16">SUM(L16:L18)</f>
        <v>25565.306490336636</v>
      </c>
      <c r="M22" s="386">
        <f>SUM(M16:M18)</f>
        <v>25270</v>
      </c>
      <c r="N22" s="396">
        <f>AVERAGE(N16:N18)</f>
        <v>5.9277777777777771</v>
      </c>
      <c r="O22" s="388">
        <f>MAX(O16:O18)</f>
        <v>17.600000000000001</v>
      </c>
      <c r="P22" s="388">
        <f>MIN(P16:P18)</f>
        <v>-5.7</v>
      </c>
      <c r="Q22" s="388">
        <f>AVERAGE(Q16:Q18)</f>
        <v>3.83921146953405</v>
      </c>
      <c r="R22" s="386">
        <f t="shared" si="6"/>
        <v>2.0885663082437271</v>
      </c>
      <c r="S22" s="388">
        <f t="shared" ref="S22:T22" si="17">SUM(S16:S18)</f>
        <v>125.82031562982397</v>
      </c>
      <c r="T22" s="388">
        <f t="shared" si="17"/>
        <v>1376.0249700000004</v>
      </c>
      <c r="V22" s="68"/>
    </row>
    <row r="23" spans="1:22" ht="12" customHeight="1">
      <c r="A23" s="176" t="s">
        <v>58</v>
      </c>
      <c r="B23" s="220">
        <f>SUM(B7:B12)</f>
        <v>3811.0898329676943</v>
      </c>
      <c r="C23" s="212">
        <f>SUM(C7:C12)</f>
        <v>4343.9955817668124</v>
      </c>
      <c r="D23" s="211">
        <f t="shared" si="7"/>
        <v>-0.1226764021206421</v>
      </c>
      <c r="E23" s="212">
        <f>SUM(E7:E12)</f>
        <v>3949.3780307235588</v>
      </c>
      <c r="F23" s="212">
        <f>SUM(F7:F12)</f>
        <v>4470.6292589074137</v>
      </c>
      <c r="G23" s="211">
        <f>(E23-F23)/F23</f>
        <v>-0.1165945995511255</v>
      </c>
      <c r="H23" s="223">
        <f>SUM(H7:H12)</f>
        <v>4160</v>
      </c>
      <c r="I23" s="220">
        <f t="shared" ref="I23:K23" si="18">SUM(I7:I12)</f>
        <v>41488.873354146992</v>
      </c>
      <c r="J23" s="212">
        <f t="shared" ref="J23" si="19">SUM(J7:J12)</f>
        <v>46622.377447936735</v>
      </c>
      <c r="K23" s="212">
        <f t="shared" si="18"/>
        <v>42989.576437177151</v>
      </c>
      <c r="L23" s="212">
        <f t="shared" ref="L23" si="20">SUM(L7:L12)</f>
        <v>47972.376641316179</v>
      </c>
      <c r="M23" s="223">
        <f>SUM(M7:M12)</f>
        <v>44720</v>
      </c>
      <c r="N23" s="220">
        <f>AVERAGE(N7:N12)</f>
        <v>7.5659408602150533</v>
      </c>
      <c r="O23" s="212">
        <f>MAX(O7:O12)</f>
        <v>24</v>
      </c>
      <c r="P23" s="212">
        <f>MIN(P7:P12)</f>
        <v>-6.1</v>
      </c>
      <c r="Q23" s="212">
        <f>AVERAGE(Q7:Q12)</f>
        <v>6.8135286120380663</v>
      </c>
      <c r="R23" s="223">
        <f t="shared" si="6"/>
        <v>0.75241224817698704</v>
      </c>
      <c r="S23" s="212">
        <f>SUM(S7:S12)</f>
        <v>253.77467997552168</v>
      </c>
      <c r="T23" s="212">
        <f>SUM(T7:T12)</f>
        <v>2764.0858389999994</v>
      </c>
      <c r="V23" s="68"/>
    </row>
    <row r="24" spans="1:22" ht="12" customHeight="1">
      <c r="A24" s="179" t="s">
        <v>59</v>
      </c>
      <c r="B24" s="396">
        <f>SUM(B13:B18)</f>
        <v>2947.5151800999888</v>
      </c>
      <c r="C24" s="388">
        <f>SUM(C13:C18)</f>
        <v>3199.7667018024817</v>
      </c>
      <c r="D24" s="214">
        <f t="shared" si="7"/>
        <v>-7.8834348004307775E-2</v>
      </c>
      <c r="E24" s="388">
        <f t="shared" ref="E24:K24" si="21">SUM(E13:E18)</f>
        <v>3203.4314537669979</v>
      </c>
      <c r="F24" s="388">
        <f t="shared" ref="F24" si="22">SUM(F13:F18)</f>
        <v>3311.6082084485361</v>
      </c>
      <c r="G24" s="214">
        <f t="shared" si="1"/>
        <v>-3.2665927812824853E-2</v>
      </c>
      <c r="H24" s="386">
        <f>SUM(H13:H18)</f>
        <v>3320</v>
      </c>
      <c r="I24" s="396">
        <f t="shared" si="21"/>
        <v>32253.923212501002</v>
      </c>
      <c r="J24" s="388">
        <f t="shared" ref="J24" si="23">SUM(J13:J18)</f>
        <v>34924.320864900263</v>
      </c>
      <c r="K24" s="388">
        <f t="shared" si="21"/>
        <v>35055.829534259363</v>
      </c>
      <c r="L24" s="388">
        <f t="shared" ref="L24" si="24">SUM(L13:L18)</f>
        <v>36147.344927843529</v>
      </c>
      <c r="M24" s="386">
        <f>SUM(M13:M18)</f>
        <v>35710</v>
      </c>
      <c r="N24" s="396">
        <f>AVERAGE(N13:N18)</f>
        <v>12.195913978494623</v>
      </c>
      <c r="O24" s="388">
        <f>MAX(O13:O18)</f>
        <v>26.1</v>
      </c>
      <c r="P24" s="388">
        <f>MIN(P13:P18)</f>
        <v>-5.7</v>
      </c>
      <c r="Q24" s="388">
        <f>AVERAGE(Q13:Q18)</f>
        <v>10.230483870967742</v>
      </c>
      <c r="R24" s="386">
        <f t="shared" si="6"/>
        <v>1.9654301075268812</v>
      </c>
      <c r="S24" s="388">
        <f t="shared" ref="S24:T24" si="25">SUM(S13:S18)</f>
        <v>267.15257914714931</v>
      </c>
      <c r="T24" s="388">
        <f t="shared" si="25"/>
        <v>2926.6529920000025</v>
      </c>
      <c r="V24" s="68"/>
    </row>
    <row r="25" spans="1:22" ht="12" customHeight="1">
      <c r="A25" s="216" t="s">
        <v>172</v>
      </c>
      <c r="B25" s="397">
        <f>SUM(B7:B18)</f>
        <v>6758.6050130676831</v>
      </c>
      <c r="C25" s="389">
        <f>SUM(C7:C18)</f>
        <v>7543.7622835692937</v>
      </c>
      <c r="D25" s="398">
        <f t="shared" si="7"/>
        <v>-0.10408033034282163</v>
      </c>
      <c r="E25" s="389">
        <f t="shared" ref="E25:K25" si="26">SUM(E7:E18)</f>
        <v>7152.8094844905563</v>
      </c>
      <c r="F25" s="389">
        <f t="shared" ref="F25" si="27">SUM(F7:F18)</f>
        <v>7782.2374673559498</v>
      </c>
      <c r="G25" s="398">
        <f t="shared" si="1"/>
        <v>-8.0880079219587786E-2</v>
      </c>
      <c r="H25" s="387">
        <f>SUM(H7:H18)</f>
        <v>7480</v>
      </c>
      <c r="I25" s="397">
        <f t="shared" si="26"/>
        <v>73742.796566648001</v>
      </c>
      <c r="J25" s="389">
        <f t="shared" ref="J25" si="28">SUM(J7:J18)</f>
        <v>81546.698312837005</v>
      </c>
      <c r="K25" s="389">
        <f t="shared" si="26"/>
        <v>78045.405971436514</v>
      </c>
      <c r="L25" s="389">
        <f t="shared" ref="L25" si="29">SUM(L7:L18)</f>
        <v>84119.721569159694</v>
      </c>
      <c r="M25" s="387">
        <f>SUM(M7:M18)</f>
        <v>80430</v>
      </c>
      <c r="N25" s="397">
        <f>AVERAGE(N7:N18)</f>
        <v>9.8809274193548386</v>
      </c>
      <c r="O25" s="389">
        <f>MAX(O7:O18)</f>
        <v>26.1</v>
      </c>
      <c r="P25" s="389">
        <f>MIN(P7:P18)</f>
        <v>-6.1</v>
      </c>
      <c r="Q25" s="389">
        <f>AVERAGE(Q7:Q18)</f>
        <v>8.5220062415029041</v>
      </c>
      <c r="R25" s="387">
        <f t="shared" si="6"/>
        <v>1.3589211778519346</v>
      </c>
      <c r="S25" s="389">
        <f t="shared" ref="S25:T25" si="30">SUM(S7:S18)</f>
        <v>520.92725912267099</v>
      </c>
      <c r="T25" s="389">
        <f t="shared" si="30"/>
        <v>5690.7388310000006</v>
      </c>
      <c r="V25" s="68"/>
    </row>
    <row r="26" spans="1:22" ht="11.25" customHeight="1">
      <c r="A26" s="453" t="s">
        <v>317</v>
      </c>
      <c r="B26" s="453"/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53"/>
      <c r="Q26" s="453"/>
      <c r="R26" s="453"/>
      <c r="S26" s="453"/>
      <c r="T26" s="453"/>
    </row>
    <row r="27" spans="1:22" ht="15" customHeight="1">
      <c r="A27" s="452" t="s">
        <v>248</v>
      </c>
      <c r="B27" s="452"/>
      <c r="C27" s="452"/>
      <c r="D27" s="452"/>
      <c r="E27" s="452"/>
      <c r="F27" s="452"/>
      <c r="G27" s="452"/>
      <c r="H27" s="452"/>
      <c r="I27" s="452"/>
      <c r="J27" s="452" t="s">
        <v>157</v>
      </c>
      <c r="K27" s="452"/>
      <c r="L27" s="452"/>
      <c r="M27" s="452"/>
      <c r="N27" s="452"/>
      <c r="O27" s="452"/>
      <c r="P27" s="452"/>
      <c r="Q27" s="452"/>
      <c r="R27" s="452"/>
      <c r="S27" s="452"/>
      <c r="T27" s="452"/>
    </row>
    <row r="28" spans="1:22" ht="8.1" customHeight="1">
      <c r="A28" s="61"/>
      <c r="B28" s="61"/>
      <c r="C28" s="61"/>
      <c r="D28" s="61"/>
      <c r="E28" s="61" t="s">
        <v>138</v>
      </c>
      <c r="F28" s="61" t="s">
        <v>133</v>
      </c>
      <c r="G28" s="61"/>
      <c r="H28" s="61"/>
      <c r="I28" s="61"/>
      <c r="J28" s="61"/>
      <c r="K28" s="61"/>
      <c r="L28" s="61"/>
      <c r="M28" s="61"/>
      <c r="N28" s="62" t="str">
        <f>N6</f>
        <v>Průměr</v>
      </c>
      <c r="O28" s="62" t="str">
        <f>Q6</f>
        <v>Normál</v>
      </c>
      <c r="P28" s="62"/>
      <c r="Q28" s="61"/>
      <c r="R28" s="61"/>
      <c r="S28" s="61"/>
      <c r="T28" s="61"/>
    </row>
    <row r="29" spans="1:22" ht="6.95" customHeight="1">
      <c r="A29" s="61"/>
      <c r="B29" s="61"/>
      <c r="C29" s="61"/>
      <c r="D29" s="61" t="str">
        <f>A7</f>
        <v>Leden</v>
      </c>
      <c r="E29" s="62">
        <f>B7</f>
        <v>891.77987089563828</v>
      </c>
      <c r="F29" s="62">
        <f>E7</f>
        <v>1018.2711816603346</v>
      </c>
      <c r="G29" s="62"/>
      <c r="H29" s="62"/>
      <c r="I29" s="61"/>
      <c r="J29" s="61"/>
      <c r="K29" s="61"/>
      <c r="L29" s="61"/>
      <c r="M29" s="61" t="str">
        <f>A7</f>
        <v>Leden</v>
      </c>
      <c r="N29" s="62">
        <f>N7</f>
        <v>2.1903225806451618</v>
      </c>
      <c r="O29" s="62">
        <f>Q7</f>
        <v>-1.2258064516129035</v>
      </c>
      <c r="P29" s="62"/>
      <c r="Q29" s="61"/>
      <c r="R29" s="61"/>
      <c r="S29" s="61"/>
      <c r="T29" s="61"/>
    </row>
    <row r="30" spans="1:22" ht="6.95" customHeight="1">
      <c r="A30" s="61"/>
      <c r="B30" s="61"/>
      <c r="C30" s="61"/>
      <c r="D30" s="61" t="str">
        <f t="shared" ref="D30:D39" si="31">A8</f>
        <v>Únor</v>
      </c>
      <c r="E30" s="62">
        <f t="shared" ref="E30:E40" si="32">B8</f>
        <v>860.76740305537987</v>
      </c>
      <c r="F30" s="62">
        <f t="shared" ref="F30:F40" si="33">E8</f>
        <v>905.06624105235687</v>
      </c>
      <c r="G30" s="62"/>
      <c r="H30" s="62"/>
      <c r="I30" s="61"/>
      <c r="J30" s="61"/>
      <c r="K30" s="61"/>
      <c r="L30" s="61"/>
      <c r="M30" s="61" t="str">
        <f t="shared" ref="M30:M40" si="34">A8</f>
        <v>Únor</v>
      </c>
      <c r="N30" s="62">
        <f t="shared" ref="N30:N40" si="35">N8</f>
        <v>1.375</v>
      </c>
      <c r="O30" s="62">
        <f t="shared" ref="O30:O40" si="36">Q8</f>
        <v>-0.15517241379310354</v>
      </c>
      <c r="P30" s="62"/>
      <c r="Q30" s="61"/>
      <c r="R30" s="61"/>
      <c r="S30" s="61"/>
      <c r="T30" s="61"/>
    </row>
    <row r="31" spans="1:22" ht="6.95" customHeight="1">
      <c r="A31" s="61"/>
      <c r="B31" s="61"/>
      <c r="C31" s="61"/>
      <c r="D31" s="61" t="str">
        <f t="shared" si="31"/>
        <v>Březen</v>
      </c>
      <c r="E31" s="62">
        <f t="shared" si="32"/>
        <v>769.26811951702939</v>
      </c>
      <c r="F31" s="62">
        <f t="shared" si="33"/>
        <v>813.43576392756404</v>
      </c>
      <c r="G31" s="62"/>
      <c r="H31" s="62"/>
      <c r="I31" s="61"/>
      <c r="J31" s="61"/>
      <c r="K31" s="61"/>
      <c r="L31" s="61"/>
      <c r="M31" s="61" t="str">
        <f t="shared" si="34"/>
        <v>Březen</v>
      </c>
      <c r="N31" s="62">
        <f t="shared" si="35"/>
        <v>4.8774193548387101</v>
      </c>
      <c r="O31" s="62">
        <f t="shared" si="36"/>
        <v>3.512903225806451</v>
      </c>
      <c r="P31" s="62"/>
      <c r="Q31" s="61"/>
      <c r="R31" s="61"/>
      <c r="S31" s="61"/>
      <c r="T31" s="61"/>
    </row>
    <row r="32" spans="1:22" ht="6.95" customHeight="1">
      <c r="A32" s="61"/>
      <c r="B32" s="61"/>
      <c r="C32" s="61"/>
      <c r="D32" s="61" t="str">
        <f t="shared" si="31"/>
        <v>Duben</v>
      </c>
      <c r="E32" s="62">
        <f t="shared" si="32"/>
        <v>606.46775451524184</v>
      </c>
      <c r="F32" s="62">
        <f t="shared" si="33"/>
        <v>542.15893668344847</v>
      </c>
      <c r="G32" s="62"/>
      <c r="H32" s="62"/>
      <c r="I32" s="61"/>
      <c r="J32" s="61"/>
      <c r="K32" s="61"/>
      <c r="L32" s="61"/>
      <c r="M32" s="61" t="str">
        <f t="shared" si="34"/>
        <v>Duben</v>
      </c>
      <c r="N32" s="62">
        <f t="shared" si="35"/>
        <v>6.6799999999999988</v>
      </c>
      <c r="O32" s="62">
        <f t="shared" si="36"/>
        <v>8.6366666666666667</v>
      </c>
      <c r="P32" s="62"/>
      <c r="Q32" s="61"/>
      <c r="R32" s="61"/>
      <c r="S32" s="61"/>
      <c r="T32" s="61"/>
    </row>
    <row r="33" spans="1:20" ht="6.95" customHeight="1">
      <c r="A33" s="61"/>
      <c r="B33" s="61"/>
      <c r="C33" s="61"/>
      <c r="D33" s="61" t="str">
        <f t="shared" si="31"/>
        <v>Květen</v>
      </c>
      <c r="E33" s="62">
        <f t="shared" si="32"/>
        <v>368.85357592765939</v>
      </c>
      <c r="F33" s="62">
        <f t="shared" si="33"/>
        <v>354.09291505284216</v>
      </c>
      <c r="G33" s="62"/>
      <c r="H33" s="62"/>
      <c r="I33" s="61"/>
      <c r="J33" s="61"/>
      <c r="K33" s="61"/>
      <c r="L33" s="61"/>
      <c r="M33" s="61" t="str">
        <f t="shared" si="34"/>
        <v>Květen</v>
      </c>
      <c r="N33" s="62">
        <f t="shared" si="35"/>
        <v>12.812903225806451</v>
      </c>
      <c r="O33" s="62">
        <f t="shared" si="36"/>
        <v>13.522580645161288</v>
      </c>
      <c r="P33" s="62"/>
      <c r="Q33" s="61"/>
      <c r="R33" s="61"/>
      <c r="S33" s="61"/>
      <c r="T33" s="61"/>
    </row>
    <row r="34" spans="1:20" ht="6.95" customHeight="1">
      <c r="A34" s="61"/>
      <c r="B34" s="61"/>
      <c r="C34" s="61"/>
      <c r="D34" s="61" t="str">
        <f t="shared" si="31"/>
        <v>Červen</v>
      </c>
      <c r="E34" s="62">
        <f t="shared" si="32"/>
        <v>313.95310905674575</v>
      </c>
      <c r="F34" s="62">
        <f t="shared" si="33"/>
        <v>316.35299234701233</v>
      </c>
      <c r="G34" s="62"/>
      <c r="H34" s="62"/>
      <c r="I34" s="61"/>
      <c r="J34" s="61"/>
      <c r="K34" s="61"/>
      <c r="L34" s="61"/>
      <c r="M34" s="61" t="str">
        <f t="shared" si="34"/>
        <v>Červen</v>
      </c>
      <c r="N34" s="62">
        <f t="shared" si="35"/>
        <v>17.459999999999994</v>
      </c>
      <c r="O34" s="62">
        <f t="shared" si="36"/>
        <v>16.59</v>
      </c>
      <c r="P34" s="62"/>
      <c r="Q34" s="61"/>
      <c r="R34" s="61"/>
      <c r="S34" s="61"/>
      <c r="T34" s="61"/>
    </row>
    <row r="35" spans="1:20" ht="6.95" customHeight="1">
      <c r="A35" s="61"/>
      <c r="B35" s="61"/>
      <c r="C35" s="61"/>
      <c r="D35" s="61" t="str">
        <f t="shared" si="31"/>
        <v>Červenec</v>
      </c>
      <c r="E35" s="62">
        <f t="shared" si="32"/>
        <v>281.16730328742176</v>
      </c>
      <c r="F35" s="62">
        <f t="shared" si="33"/>
        <v>289.09069131840243</v>
      </c>
      <c r="G35" s="62"/>
      <c r="H35" s="62"/>
      <c r="I35" s="61"/>
      <c r="J35" s="61"/>
      <c r="K35" s="61"/>
      <c r="L35" s="61"/>
      <c r="M35" s="61" t="str">
        <f t="shared" si="34"/>
        <v>Červenec</v>
      </c>
      <c r="N35" s="62">
        <f t="shared" si="35"/>
        <v>19.896774193548385</v>
      </c>
      <c r="O35" s="62">
        <f t="shared" si="36"/>
        <v>18.522580645161291</v>
      </c>
      <c r="P35" s="62"/>
      <c r="Q35" s="61"/>
      <c r="R35" s="61"/>
      <c r="S35" s="61"/>
      <c r="T35" s="61"/>
    </row>
    <row r="36" spans="1:20" ht="6.95" customHeight="1">
      <c r="A36" s="61"/>
      <c r="B36" s="61"/>
      <c r="C36" s="61"/>
      <c r="D36" s="61" t="str">
        <f t="shared" si="31"/>
        <v>Srpen</v>
      </c>
      <c r="E36" s="62">
        <f t="shared" si="32"/>
        <v>287.62089071612513</v>
      </c>
      <c r="F36" s="62">
        <f t="shared" si="33"/>
        <v>290.24521526417504</v>
      </c>
      <c r="G36" s="62"/>
      <c r="H36" s="62"/>
      <c r="I36" s="61"/>
      <c r="J36" s="61"/>
      <c r="K36" s="61"/>
      <c r="L36" s="61"/>
      <c r="M36" s="61" t="str">
        <f t="shared" si="34"/>
        <v>Srpen</v>
      </c>
      <c r="N36" s="62">
        <f t="shared" si="35"/>
        <v>18.838709677419359</v>
      </c>
      <c r="O36" s="62">
        <f t="shared" si="36"/>
        <v>18.119354838709679</v>
      </c>
      <c r="P36" s="62"/>
      <c r="Q36" s="61"/>
      <c r="R36" s="61"/>
      <c r="S36" s="61"/>
      <c r="T36" s="61"/>
    </row>
    <row r="37" spans="1:20" ht="6.95" customHeight="1">
      <c r="A37" s="61"/>
      <c r="B37" s="61"/>
      <c r="C37" s="61"/>
      <c r="D37" s="61" t="str">
        <f t="shared" si="31"/>
        <v>Září</v>
      </c>
      <c r="E37" s="62">
        <f t="shared" si="32"/>
        <v>302.26857171234781</v>
      </c>
      <c r="F37" s="62">
        <f t="shared" si="33"/>
        <v>352.90832533559529</v>
      </c>
      <c r="G37" s="62"/>
      <c r="H37" s="62"/>
      <c r="I37" s="61"/>
      <c r="J37" s="61"/>
      <c r="K37" s="61"/>
      <c r="L37" s="61"/>
      <c r="M37" s="61" t="str">
        <f t="shared" si="34"/>
        <v>Září</v>
      </c>
      <c r="N37" s="62">
        <f t="shared" si="35"/>
        <v>16.65666666666667</v>
      </c>
      <c r="O37" s="62">
        <f t="shared" si="36"/>
        <v>13.223333333333333</v>
      </c>
      <c r="P37" s="62"/>
      <c r="Q37" s="61"/>
      <c r="R37" s="61"/>
      <c r="S37" s="61"/>
      <c r="T37" s="61"/>
    </row>
    <row r="38" spans="1:20" ht="6.95" customHeight="1">
      <c r="A38" s="61"/>
      <c r="B38" s="61"/>
      <c r="C38" s="61"/>
      <c r="D38" s="61" t="str">
        <f t="shared" si="31"/>
        <v>Říjen</v>
      </c>
      <c r="E38" s="62">
        <f t="shared" si="32"/>
        <v>465.54145508528813</v>
      </c>
      <c r="F38" s="62">
        <f t="shared" si="33"/>
        <v>546.33017523016531</v>
      </c>
      <c r="G38" s="62"/>
      <c r="H38" s="62"/>
      <c r="I38" s="61"/>
      <c r="J38" s="61"/>
      <c r="K38" s="61"/>
      <c r="L38" s="61"/>
      <c r="M38" s="61" t="str">
        <f t="shared" si="34"/>
        <v>Říjen</v>
      </c>
      <c r="N38" s="62">
        <f t="shared" si="35"/>
        <v>11.261290322580644</v>
      </c>
      <c r="O38" s="62">
        <f t="shared" si="36"/>
        <v>8.3548387096774199</v>
      </c>
      <c r="P38" s="62"/>
      <c r="Q38" s="61"/>
      <c r="R38" s="61"/>
      <c r="S38" s="61"/>
      <c r="T38" s="61"/>
    </row>
    <row r="39" spans="1:20" ht="6.95" customHeight="1">
      <c r="A39" s="61"/>
      <c r="B39" s="61"/>
      <c r="C39" s="61"/>
      <c r="D39" s="61" t="str">
        <f t="shared" si="31"/>
        <v>Listopad</v>
      </c>
      <c r="E39" s="62">
        <f t="shared" si="32"/>
        <v>731.11429024713414</v>
      </c>
      <c r="F39" s="62">
        <f t="shared" si="33"/>
        <v>760.54547631288494</v>
      </c>
      <c r="G39" s="61"/>
      <c r="H39" s="61"/>
      <c r="I39" s="61"/>
      <c r="J39" s="61"/>
      <c r="K39" s="61"/>
      <c r="L39" s="61"/>
      <c r="M39" s="61" t="str">
        <f t="shared" si="34"/>
        <v>Listopad</v>
      </c>
      <c r="N39" s="62">
        <f t="shared" si="35"/>
        <v>4.2833333333333323</v>
      </c>
      <c r="O39" s="62">
        <f t="shared" si="36"/>
        <v>3.5466666666666664</v>
      </c>
      <c r="P39" s="61"/>
      <c r="Q39" s="61"/>
      <c r="R39" s="61"/>
      <c r="S39" s="61"/>
      <c r="T39" s="61"/>
    </row>
    <row r="40" spans="1:20" ht="6.95" customHeight="1">
      <c r="A40" s="61"/>
      <c r="B40" s="61"/>
      <c r="C40" s="61"/>
      <c r="D40" s="61" t="str">
        <f>A18</f>
        <v>Prosinec</v>
      </c>
      <c r="E40" s="62">
        <f t="shared" si="32"/>
        <v>879.80266905167161</v>
      </c>
      <c r="F40" s="62">
        <f t="shared" si="33"/>
        <v>964.31157030577447</v>
      </c>
      <c r="G40" s="61"/>
      <c r="H40" s="61"/>
      <c r="I40" s="61"/>
      <c r="J40" s="61"/>
      <c r="K40" s="61"/>
      <c r="L40" s="61"/>
      <c r="M40" s="61" t="str">
        <f t="shared" si="34"/>
        <v>Prosinec</v>
      </c>
      <c r="N40" s="62">
        <f t="shared" si="35"/>
        <v>2.2387096774193549</v>
      </c>
      <c r="O40" s="62">
        <f t="shared" si="36"/>
        <v>-0.38387096774193558</v>
      </c>
      <c r="P40" s="61"/>
      <c r="Q40" s="61"/>
      <c r="R40" s="61"/>
      <c r="S40" s="61"/>
      <c r="T40" s="61"/>
    </row>
    <row r="41" spans="1:20" ht="12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</row>
    <row r="42" spans="1:20" ht="12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 ht="12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54" spans="9:10">
      <c r="I54" s="63"/>
      <c r="J54" s="63"/>
    </row>
    <row r="56" spans="9:10">
      <c r="I56" s="68"/>
      <c r="J56" s="68"/>
    </row>
  </sheetData>
  <mergeCells count="12">
    <mergeCell ref="A27:I27"/>
    <mergeCell ref="J27:T27"/>
    <mergeCell ref="A26:T26"/>
    <mergeCell ref="B5:D5"/>
    <mergeCell ref="E5:G5"/>
    <mergeCell ref="S5:T6"/>
    <mergeCell ref="I4:M4"/>
    <mergeCell ref="N4:R4"/>
    <mergeCell ref="N5:R5"/>
    <mergeCell ref="B4:H4"/>
    <mergeCell ref="I5:J5"/>
    <mergeCell ref="K5:L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1:B22 D19:E19 B24 D23 I21:I22 I20 I24 I23 N19:R19 N20 N21:T22 N24:T24 N23:R23 P20:R20 E20 D21:E22 D24:E24 G19 G21:G22 G24 K21:K22 K24 K2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4"/>
  <sheetViews>
    <sheetView showGridLines="0" zoomScaleNormal="100" zoomScaleSheetLayoutView="100" workbookViewId="0">
      <selection activeCell="D1" sqref="D1"/>
    </sheetView>
  </sheetViews>
  <sheetFormatPr defaultRowHeight="11.25"/>
  <cols>
    <col min="1" max="1" width="8.28515625" style="12" customWidth="1"/>
    <col min="2" max="3" width="5.42578125" style="12" customWidth="1"/>
    <col min="4" max="4" width="6.5703125" style="12" customWidth="1"/>
    <col min="5" max="5" width="7.7109375" style="12" customWidth="1"/>
    <col min="6" max="6" width="4.140625" style="12" customWidth="1"/>
    <col min="7" max="7" width="7.7109375" style="12" customWidth="1"/>
    <col min="8" max="13" width="6.7109375" style="12" customWidth="1"/>
    <col min="14" max="14" width="7.5703125" style="12" customWidth="1"/>
    <col min="15" max="18" width="7.28515625" style="12" customWidth="1"/>
    <col min="19" max="20" width="6.7109375" style="12" customWidth="1"/>
    <col min="21" max="21" width="8" style="12" customWidth="1"/>
    <col min="22" max="22" width="9.28515625" style="12" bestFit="1" customWidth="1"/>
    <col min="23" max="23" width="11.42578125" style="12" bestFit="1" customWidth="1"/>
    <col min="24" max="262" width="9.140625" style="12"/>
    <col min="263" max="275" width="10.7109375" style="12" customWidth="1"/>
    <col min="276" max="518" width="9.140625" style="12"/>
    <col min="519" max="531" width="10.7109375" style="12" customWidth="1"/>
    <col min="532" max="774" width="9.140625" style="12"/>
    <col min="775" max="787" width="10.7109375" style="12" customWidth="1"/>
    <col min="788" max="1030" width="9.140625" style="12"/>
    <col min="1031" max="1043" width="10.7109375" style="12" customWidth="1"/>
    <col min="1044" max="1286" width="9.140625" style="12"/>
    <col min="1287" max="1299" width="10.7109375" style="12" customWidth="1"/>
    <col min="1300" max="1542" width="9.140625" style="12"/>
    <col min="1543" max="1555" width="10.7109375" style="12" customWidth="1"/>
    <col min="1556" max="1798" width="9.140625" style="12"/>
    <col min="1799" max="1811" width="10.7109375" style="12" customWidth="1"/>
    <col min="1812" max="2054" width="9.140625" style="12"/>
    <col min="2055" max="2067" width="10.7109375" style="12" customWidth="1"/>
    <col min="2068" max="2310" width="9.140625" style="12"/>
    <col min="2311" max="2323" width="10.7109375" style="12" customWidth="1"/>
    <col min="2324" max="2566" width="9.140625" style="12"/>
    <col min="2567" max="2579" width="10.7109375" style="12" customWidth="1"/>
    <col min="2580" max="2822" width="9.140625" style="12"/>
    <col min="2823" max="2835" width="10.7109375" style="12" customWidth="1"/>
    <col min="2836" max="3078" width="9.140625" style="12"/>
    <col min="3079" max="3091" width="10.7109375" style="12" customWidth="1"/>
    <col min="3092" max="3334" width="9.140625" style="12"/>
    <col min="3335" max="3347" width="10.7109375" style="12" customWidth="1"/>
    <col min="3348" max="3590" width="9.140625" style="12"/>
    <col min="3591" max="3603" width="10.7109375" style="12" customWidth="1"/>
    <col min="3604" max="3846" width="9.140625" style="12"/>
    <col min="3847" max="3859" width="10.7109375" style="12" customWidth="1"/>
    <col min="3860" max="4102" width="9.140625" style="12"/>
    <col min="4103" max="4115" width="10.7109375" style="12" customWidth="1"/>
    <col min="4116" max="4358" width="9.140625" style="12"/>
    <col min="4359" max="4371" width="10.7109375" style="12" customWidth="1"/>
    <col min="4372" max="4614" width="9.140625" style="12"/>
    <col min="4615" max="4627" width="10.7109375" style="12" customWidth="1"/>
    <col min="4628" max="4870" width="9.140625" style="12"/>
    <col min="4871" max="4883" width="10.7109375" style="12" customWidth="1"/>
    <col min="4884" max="5126" width="9.140625" style="12"/>
    <col min="5127" max="5139" width="10.7109375" style="12" customWidth="1"/>
    <col min="5140" max="5382" width="9.140625" style="12"/>
    <col min="5383" max="5395" width="10.7109375" style="12" customWidth="1"/>
    <col min="5396" max="5638" width="9.140625" style="12"/>
    <col min="5639" max="5651" width="10.7109375" style="12" customWidth="1"/>
    <col min="5652" max="5894" width="9.140625" style="12"/>
    <col min="5895" max="5907" width="10.7109375" style="12" customWidth="1"/>
    <col min="5908" max="6150" width="9.140625" style="12"/>
    <col min="6151" max="6163" width="10.7109375" style="12" customWidth="1"/>
    <col min="6164" max="6406" width="9.140625" style="12"/>
    <col min="6407" max="6419" width="10.7109375" style="12" customWidth="1"/>
    <col min="6420" max="6662" width="9.140625" style="12"/>
    <col min="6663" max="6675" width="10.7109375" style="12" customWidth="1"/>
    <col min="6676" max="6918" width="9.140625" style="12"/>
    <col min="6919" max="6931" width="10.7109375" style="12" customWidth="1"/>
    <col min="6932" max="7174" width="9.140625" style="12"/>
    <col min="7175" max="7187" width="10.7109375" style="12" customWidth="1"/>
    <col min="7188" max="7430" width="9.140625" style="12"/>
    <col min="7431" max="7443" width="10.7109375" style="12" customWidth="1"/>
    <col min="7444" max="7686" width="9.140625" style="12"/>
    <col min="7687" max="7699" width="10.7109375" style="12" customWidth="1"/>
    <col min="7700" max="7942" width="9.140625" style="12"/>
    <col min="7943" max="7955" width="10.7109375" style="12" customWidth="1"/>
    <col min="7956" max="8198" width="9.140625" style="12"/>
    <col min="8199" max="8211" width="10.7109375" style="12" customWidth="1"/>
    <col min="8212" max="8454" width="9.140625" style="12"/>
    <col min="8455" max="8467" width="10.7109375" style="12" customWidth="1"/>
    <col min="8468" max="8710" width="9.140625" style="12"/>
    <col min="8711" max="8723" width="10.7109375" style="12" customWidth="1"/>
    <col min="8724" max="8966" width="9.140625" style="12"/>
    <col min="8967" max="8979" width="10.7109375" style="12" customWidth="1"/>
    <col min="8980" max="9222" width="9.140625" style="12"/>
    <col min="9223" max="9235" width="10.7109375" style="12" customWidth="1"/>
    <col min="9236" max="9478" width="9.140625" style="12"/>
    <col min="9479" max="9491" width="10.7109375" style="12" customWidth="1"/>
    <col min="9492" max="9734" width="9.140625" style="12"/>
    <col min="9735" max="9747" width="10.7109375" style="12" customWidth="1"/>
    <col min="9748" max="9990" width="9.140625" style="12"/>
    <col min="9991" max="10003" width="10.7109375" style="12" customWidth="1"/>
    <col min="10004" max="10246" width="9.140625" style="12"/>
    <col min="10247" max="10259" width="10.7109375" style="12" customWidth="1"/>
    <col min="10260" max="10502" width="9.140625" style="12"/>
    <col min="10503" max="10515" width="10.7109375" style="12" customWidth="1"/>
    <col min="10516" max="10758" width="9.140625" style="12"/>
    <col min="10759" max="10771" width="10.7109375" style="12" customWidth="1"/>
    <col min="10772" max="11014" width="9.140625" style="12"/>
    <col min="11015" max="11027" width="10.7109375" style="12" customWidth="1"/>
    <col min="11028" max="11270" width="9.140625" style="12"/>
    <col min="11271" max="11283" width="10.7109375" style="12" customWidth="1"/>
    <col min="11284" max="11526" width="9.140625" style="12"/>
    <col min="11527" max="11539" width="10.7109375" style="12" customWidth="1"/>
    <col min="11540" max="11782" width="9.140625" style="12"/>
    <col min="11783" max="11795" width="10.7109375" style="12" customWidth="1"/>
    <col min="11796" max="12038" width="9.140625" style="12"/>
    <col min="12039" max="12051" width="10.7109375" style="12" customWidth="1"/>
    <col min="12052" max="12294" width="9.140625" style="12"/>
    <col min="12295" max="12307" width="10.7109375" style="12" customWidth="1"/>
    <col min="12308" max="12550" width="9.140625" style="12"/>
    <col min="12551" max="12563" width="10.7109375" style="12" customWidth="1"/>
    <col min="12564" max="12806" width="9.140625" style="12"/>
    <col min="12807" max="12819" width="10.7109375" style="12" customWidth="1"/>
    <col min="12820" max="13062" width="9.140625" style="12"/>
    <col min="13063" max="13075" width="10.7109375" style="12" customWidth="1"/>
    <col min="13076" max="13318" width="9.140625" style="12"/>
    <col min="13319" max="13331" width="10.7109375" style="12" customWidth="1"/>
    <col min="13332" max="13574" width="9.140625" style="12"/>
    <col min="13575" max="13587" width="10.7109375" style="12" customWidth="1"/>
    <col min="13588" max="13830" width="9.140625" style="12"/>
    <col min="13831" max="13843" width="10.7109375" style="12" customWidth="1"/>
    <col min="13844" max="14086" width="9.140625" style="12"/>
    <col min="14087" max="14099" width="10.7109375" style="12" customWidth="1"/>
    <col min="14100" max="14342" width="9.140625" style="12"/>
    <col min="14343" max="14355" width="10.7109375" style="12" customWidth="1"/>
    <col min="14356" max="14598" width="9.140625" style="12"/>
    <col min="14599" max="14611" width="10.7109375" style="12" customWidth="1"/>
    <col min="14612" max="14854" width="9.140625" style="12"/>
    <col min="14855" max="14867" width="10.7109375" style="12" customWidth="1"/>
    <col min="14868" max="15110" width="9.140625" style="12"/>
    <col min="15111" max="15123" width="10.7109375" style="12" customWidth="1"/>
    <col min="15124" max="15366" width="9.140625" style="12"/>
    <col min="15367" max="15379" width="10.7109375" style="12" customWidth="1"/>
    <col min="15380" max="15622" width="9.140625" style="12"/>
    <col min="15623" max="15635" width="10.7109375" style="12" customWidth="1"/>
    <col min="15636" max="15878" width="9.140625" style="12"/>
    <col min="15879" max="15891" width="10.7109375" style="12" customWidth="1"/>
    <col min="15892" max="16134" width="9.140625" style="12"/>
    <col min="16135" max="16147" width="10.7109375" style="12" customWidth="1"/>
    <col min="16148" max="16384" width="9.140625" style="12"/>
  </cols>
  <sheetData>
    <row r="1" spans="1:36" ht="18">
      <c r="A1" s="441" t="s">
        <v>293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</row>
    <row r="2" spans="1:36" ht="6" customHeight="1">
      <c r="A2" s="237"/>
      <c r="B2" s="455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</row>
    <row r="3" spans="1:36" ht="18" customHeight="1">
      <c r="A3" s="248">
        <f>'3.1'!A4</f>
        <v>2023</v>
      </c>
      <c r="B3" s="447" t="s">
        <v>159</v>
      </c>
      <c r="C3" s="450"/>
      <c r="D3" s="450"/>
      <c r="E3" s="450"/>
      <c r="F3" s="450"/>
      <c r="G3" s="449"/>
      <c r="H3" s="450" t="s">
        <v>60</v>
      </c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</row>
    <row r="4" spans="1:36" ht="18" customHeight="1">
      <c r="A4" s="210"/>
      <c r="B4" s="245"/>
      <c r="C4" s="246"/>
      <c r="D4" s="246"/>
      <c r="E4" s="246"/>
      <c r="F4" s="246"/>
      <c r="G4" s="247"/>
      <c r="H4" s="249" t="s">
        <v>258</v>
      </c>
      <c r="I4" s="249"/>
      <c r="J4" s="249"/>
      <c r="K4" s="249"/>
      <c r="L4" s="249"/>
      <c r="M4" s="457" t="s">
        <v>264</v>
      </c>
      <c r="N4" s="249"/>
      <c r="O4" s="250" t="s">
        <v>216</v>
      </c>
      <c r="P4" s="249"/>
      <c r="Q4" s="249"/>
      <c r="R4" s="249"/>
      <c r="S4" s="249"/>
      <c r="T4" s="457" t="s">
        <v>264</v>
      </c>
      <c r="U4" s="249"/>
    </row>
    <row r="5" spans="1:36" ht="16.5" customHeight="1">
      <c r="A5" s="213"/>
      <c r="B5" s="231" t="s">
        <v>4</v>
      </c>
      <c r="C5" s="232" t="s">
        <v>5</v>
      </c>
      <c r="D5" s="194" t="s">
        <v>6</v>
      </c>
      <c r="E5" s="232" t="s">
        <v>7</v>
      </c>
      <c r="F5" s="232" t="s">
        <v>93</v>
      </c>
      <c r="G5" s="233" t="s">
        <v>0</v>
      </c>
      <c r="H5" s="232" t="s">
        <v>4</v>
      </c>
      <c r="I5" s="232" t="s">
        <v>5</v>
      </c>
      <c r="J5" s="194" t="s">
        <v>6</v>
      </c>
      <c r="K5" s="232" t="s">
        <v>7</v>
      </c>
      <c r="L5" s="232" t="s">
        <v>93</v>
      </c>
      <c r="M5" s="458"/>
      <c r="N5" s="232" t="s">
        <v>0</v>
      </c>
      <c r="O5" s="231" t="s">
        <v>4</v>
      </c>
      <c r="P5" s="232" t="s">
        <v>5</v>
      </c>
      <c r="Q5" s="194" t="s">
        <v>6</v>
      </c>
      <c r="R5" s="232" t="s">
        <v>7</v>
      </c>
      <c r="S5" s="232" t="s">
        <v>93</v>
      </c>
      <c r="T5" s="458"/>
      <c r="U5" s="232" t="s">
        <v>0</v>
      </c>
    </row>
    <row r="6" spans="1:36" ht="12.95" customHeight="1">
      <c r="A6" s="176" t="s">
        <v>160</v>
      </c>
      <c r="B6" s="240">
        <v>1561</v>
      </c>
      <c r="C6" s="235">
        <v>6259</v>
      </c>
      <c r="D6" s="236">
        <v>203363</v>
      </c>
      <c r="E6" s="236">
        <v>2566543</v>
      </c>
      <c r="F6" s="236">
        <v>272</v>
      </c>
      <c r="G6" s="242">
        <v>2777998</v>
      </c>
      <c r="H6" s="177">
        <v>333.08314962794918</v>
      </c>
      <c r="I6" s="177">
        <v>87.913767923197724</v>
      </c>
      <c r="J6" s="178">
        <v>158.48286697286753</v>
      </c>
      <c r="K6" s="178">
        <v>286.74264276664042</v>
      </c>
      <c r="L6" s="178">
        <v>7.4043694263888105</v>
      </c>
      <c r="M6" s="178">
        <v>18.152813832539525</v>
      </c>
      <c r="N6" s="178">
        <v>891.77961054958314</v>
      </c>
      <c r="O6" s="183">
        <v>3628.8150624199993</v>
      </c>
      <c r="P6" s="177">
        <v>957.71665551000012</v>
      </c>
      <c r="Q6" s="178">
        <v>1726.3105039500001</v>
      </c>
      <c r="R6" s="178">
        <v>3123.2445572099996</v>
      </c>
      <c r="S6" s="178">
        <v>80.646849180000004</v>
      </c>
      <c r="T6" s="178">
        <v>197.82966727999997</v>
      </c>
      <c r="U6" s="178">
        <v>9714.5632955499987</v>
      </c>
      <c r="V6" s="56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</row>
    <row r="7" spans="1:36" ht="12.95" customHeight="1">
      <c r="A7" s="176" t="s">
        <v>161</v>
      </c>
      <c r="B7" s="240">
        <v>1571</v>
      </c>
      <c r="C7" s="236">
        <v>6237</v>
      </c>
      <c r="D7" s="236">
        <v>203239</v>
      </c>
      <c r="E7" s="236">
        <v>2564140</v>
      </c>
      <c r="F7" s="236">
        <v>273</v>
      </c>
      <c r="G7" s="242">
        <v>2775460</v>
      </c>
      <c r="H7" s="177">
        <v>322.3086166740249</v>
      </c>
      <c r="I7" s="178">
        <v>84.644104630115194</v>
      </c>
      <c r="J7" s="178">
        <v>149.73867570614559</v>
      </c>
      <c r="K7" s="178">
        <v>279.28175202647486</v>
      </c>
      <c r="L7" s="178">
        <v>6.9984378681935766</v>
      </c>
      <c r="M7" s="178">
        <v>17.795721669949028</v>
      </c>
      <c r="N7" s="178">
        <v>860.76730857490304</v>
      </c>
      <c r="O7" s="183">
        <v>3499.5847333470001</v>
      </c>
      <c r="P7" s="178">
        <v>918.61903907999988</v>
      </c>
      <c r="Q7" s="178">
        <v>1624.64771834</v>
      </c>
      <c r="R7" s="178">
        <v>3029.4811226499996</v>
      </c>
      <c r="S7" s="178">
        <v>75.919713230000013</v>
      </c>
      <c r="T7" s="178">
        <v>193.137024349</v>
      </c>
      <c r="U7" s="178">
        <v>9341.3893509959998</v>
      </c>
      <c r="V7" s="58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</row>
    <row r="8" spans="1:36" ht="12.95" customHeight="1">
      <c r="A8" s="179" t="s">
        <v>162</v>
      </c>
      <c r="B8" s="241">
        <v>1562</v>
      </c>
      <c r="C8" s="239">
        <v>6124</v>
      </c>
      <c r="D8" s="239">
        <v>203202</v>
      </c>
      <c r="E8" s="239">
        <v>2561383</v>
      </c>
      <c r="F8" s="239">
        <v>273</v>
      </c>
      <c r="G8" s="243">
        <v>2772544</v>
      </c>
      <c r="H8" s="180">
        <v>317.34603022918276</v>
      </c>
      <c r="I8" s="181">
        <v>73.962819966487572</v>
      </c>
      <c r="J8" s="181">
        <v>125.37956535992275</v>
      </c>
      <c r="K8" s="181">
        <v>227.62200917493357</v>
      </c>
      <c r="L8" s="181">
        <v>7.7712376838427879</v>
      </c>
      <c r="M8" s="181">
        <v>17.186378775875479</v>
      </c>
      <c r="N8" s="181">
        <v>769.26804119024484</v>
      </c>
      <c r="O8" s="184">
        <v>3440.9786438010001</v>
      </c>
      <c r="P8" s="181">
        <v>802.00648307999973</v>
      </c>
      <c r="Q8" s="181">
        <v>1359.2600900159052</v>
      </c>
      <c r="R8" s="181">
        <v>2467.1919449630491</v>
      </c>
      <c r="S8" s="181">
        <v>84.243039270000011</v>
      </c>
      <c r="T8" s="181">
        <v>186.33921355199999</v>
      </c>
      <c r="U8" s="181">
        <v>8340.019414681954</v>
      </c>
      <c r="V8" s="59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</row>
    <row r="9" spans="1:36" ht="12.95" customHeight="1">
      <c r="A9" s="176" t="s">
        <v>163</v>
      </c>
      <c r="B9" s="240">
        <v>1561</v>
      </c>
      <c r="C9" s="236">
        <v>6124</v>
      </c>
      <c r="D9" s="236">
        <v>203037</v>
      </c>
      <c r="E9" s="236">
        <v>2558793</v>
      </c>
      <c r="F9" s="236">
        <v>274</v>
      </c>
      <c r="G9" s="242">
        <v>2769789</v>
      </c>
      <c r="H9" s="177">
        <v>264.56305265840086</v>
      </c>
      <c r="I9" s="178">
        <v>56.563549248035756</v>
      </c>
      <c r="J9" s="178">
        <v>94.340661073887404</v>
      </c>
      <c r="K9" s="178">
        <v>177.65284109622951</v>
      </c>
      <c r="L9" s="178">
        <v>7.1359175686644285</v>
      </c>
      <c r="M9" s="178">
        <v>6.2118862771392971</v>
      </c>
      <c r="N9" s="178">
        <v>606.4679079223572</v>
      </c>
      <c r="O9" s="183">
        <v>2885.4855264899998</v>
      </c>
      <c r="P9" s="178">
        <v>617.18135166000002</v>
      </c>
      <c r="Q9" s="178">
        <v>1029.208124548823</v>
      </c>
      <c r="R9" s="178">
        <v>1937.9369237121366</v>
      </c>
      <c r="S9" s="178">
        <v>77.845143699999994</v>
      </c>
      <c r="T9" s="178">
        <v>67.858734327000036</v>
      </c>
      <c r="U9" s="178">
        <v>6615.5158044379596</v>
      </c>
      <c r="V9" s="58"/>
      <c r="W9" s="57"/>
      <c r="X9" s="57"/>
      <c r="Y9" s="57"/>
    </row>
    <row r="10" spans="1:36" ht="12.95" customHeight="1">
      <c r="A10" s="176" t="s">
        <v>164</v>
      </c>
      <c r="B10" s="240">
        <v>1559</v>
      </c>
      <c r="C10" s="236">
        <v>6122</v>
      </c>
      <c r="D10" s="236">
        <v>202926</v>
      </c>
      <c r="E10" s="236">
        <v>2555793</v>
      </c>
      <c r="F10" s="236">
        <v>274</v>
      </c>
      <c r="G10" s="242">
        <v>2766674</v>
      </c>
      <c r="H10" s="177">
        <v>215.46650890744721</v>
      </c>
      <c r="I10" s="178">
        <v>33.235032154891137</v>
      </c>
      <c r="J10" s="178">
        <v>37.185692944590521</v>
      </c>
      <c r="K10" s="178">
        <v>69.385130740620284</v>
      </c>
      <c r="L10" s="178">
        <v>7.584743316302279</v>
      </c>
      <c r="M10" s="178">
        <v>5.9969003121314115</v>
      </c>
      <c r="N10" s="178">
        <v>368.8540083759828</v>
      </c>
      <c r="O10" s="183">
        <v>2358.7172477190002</v>
      </c>
      <c r="P10" s="178">
        <v>363.95040377000004</v>
      </c>
      <c r="Q10" s="178">
        <v>407.17877283181116</v>
      </c>
      <c r="R10" s="178">
        <v>759.76684139510621</v>
      </c>
      <c r="S10" s="178">
        <v>83.055207889999991</v>
      </c>
      <c r="T10" s="178">
        <v>65.70331475699993</v>
      </c>
      <c r="U10" s="178">
        <v>4038.3717883629174</v>
      </c>
      <c r="V10" s="58"/>
      <c r="W10" s="57"/>
      <c r="X10" s="57"/>
      <c r="Y10" s="57"/>
    </row>
    <row r="11" spans="1:36" ht="12.95" customHeight="1">
      <c r="A11" s="179" t="s">
        <v>165</v>
      </c>
      <c r="B11" s="241">
        <v>1558</v>
      </c>
      <c r="C11" s="239">
        <v>6115</v>
      </c>
      <c r="D11" s="239">
        <v>202590</v>
      </c>
      <c r="E11" s="239">
        <v>2552635</v>
      </c>
      <c r="F11" s="239">
        <v>274</v>
      </c>
      <c r="G11" s="243">
        <v>2763172</v>
      </c>
      <c r="H11" s="180">
        <v>233.11737302010263</v>
      </c>
      <c r="I11" s="181">
        <v>23.324051380785701</v>
      </c>
      <c r="J11" s="181">
        <v>16.854257625039082</v>
      </c>
      <c r="K11" s="181">
        <v>31.565714545199484</v>
      </c>
      <c r="L11" s="181">
        <v>7.5520664542839064</v>
      </c>
      <c r="M11" s="181">
        <v>1.5396886030559682</v>
      </c>
      <c r="N11" s="181">
        <v>313.95315162846674</v>
      </c>
      <c r="O11" s="184">
        <v>2553.3494787288696</v>
      </c>
      <c r="P11" s="181">
        <v>255.51099970999996</v>
      </c>
      <c r="Q11" s="181">
        <v>184.61390044929578</v>
      </c>
      <c r="R11" s="181">
        <v>345.79761341370596</v>
      </c>
      <c r="S11" s="181">
        <v>82.729357419999999</v>
      </c>
      <c r="T11" s="181">
        <v>17.012563173999993</v>
      </c>
      <c r="U11" s="181">
        <v>3439.0139128958713</v>
      </c>
      <c r="V11" s="58"/>
      <c r="W11" s="57"/>
      <c r="X11" s="57"/>
      <c r="Y11" s="57"/>
    </row>
    <row r="12" spans="1:36" ht="12.95" customHeight="1">
      <c r="A12" s="176" t="s">
        <v>166</v>
      </c>
      <c r="B12" s="240">
        <v>1560</v>
      </c>
      <c r="C12" s="236">
        <v>6120</v>
      </c>
      <c r="D12" s="236">
        <v>202677</v>
      </c>
      <c r="E12" s="236">
        <v>2550508</v>
      </c>
      <c r="F12" s="236">
        <v>274</v>
      </c>
      <c r="G12" s="242">
        <v>2761139</v>
      </c>
      <c r="H12" s="177">
        <v>212.96977754321509</v>
      </c>
      <c r="I12" s="178">
        <v>19.58409371916181</v>
      </c>
      <c r="J12" s="178">
        <v>13.677605556818515</v>
      </c>
      <c r="K12" s="178">
        <v>26.534587427453154</v>
      </c>
      <c r="L12" s="178">
        <v>6.9505698160341884</v>
      </c>
      <c r="M12" s="178">
        <v>1.4509984921262626</v>
      </c>
      <c r="N12" s="178">
        <v>281.16763255480896</v>
      </c>
      <c r="O12" s="183">
        <v>2334.239069546672</v>
      </c>
      <c r="P12" s="178">
        <v>214.65613189000001</v>
      </c>
      <c r="Q12" s="178">
        <v>149.88548061507797</v>
      </c>
      <c r="R12" s="178">
        <v>290.8598692179221</v>
      </c>
      <c r="S12" s="178">
        <v>76.184732409999995</v>
      </c>
      <c r="T12" s="178">
        <v>15.950875576000021</v>
      </c>
      <c r="U12" s="178">
        <v>3081.7761592556722</v>
      </c>
      <c r="V12" s="58"/>
      <c r="W12" s="57"/>
      <c r="X12" s="57"/>
      <c r="Y12" s="57"/>
    </row>
    <row r="13" spans="1:36" ht="12.95" customHeight="1">
      <c r="A13" s="176" t="s">
        <v>167</v>
      </c>
      <c r="B13" s="240">
        <v>1559</v>
      </c>
      <c r="C13" s="236">
        <v>6119</v>
      </c>
      <c r="D13" s="236">
        <v>202420</v>
      </c>
      <c r="E13" s="236">
        <v>2548470</v>
      </c>
      <c r="F13" s="236">
        <v>274</v>
      </c>
      <c r="G13" s="242">
        <v>2758842</v>
      </c>
      <c r="H13" s="177">
        <v>212.00887538523443</v>
      </c>
      <c r="I13" s="178">
        <v>22.410035505772079</v>
      </c>
      <c r="J13" s="178">
        <v>16.774581032884431</v>
      </c>
      <c r="K13" s="178">
        <v>28.611552693102869</v>
      </c>
      <c r="L13" s="178">
        <v>7.499379161675475</v>
      </c>
      <c r="M13" s="178">
        <v>0.3170701988414894</v>
      </c>
      <c r="N13" s="178">
        <v>287.6214939775108</v>
      </c>
      <c r="O13" s="183">
        <v>2325.4204846630005</v>
      </c>
      <c r="P13" s="178">
        <v>245.82998013999992</v>
      </c>
      <c r="Q13" s="178">
        <v>183.96839829451469</v>
      </c>
      <c r="R13" s="178">
        <v>313.8734823004898</v>
      </c>
      <c r="S13" s="178">
        <v>82.264307410000029</v>
      </c>
      <c r="T13" s="178">
        <v>3.6103751630000001</v>
      </c>
      <c r="U13" s="178">
        <v>3154.9670279710044</v>
      </c>
      <c r="V13" s="58"/>
      <c r="W13" s="57"/>
      <c r="X13" s="57"/>
      <c r="Y13" s="57"/>
    </row>
    <row r="14" spans="1:36" ht="12.95" customHeight="1">
      <c r="A14" s="179" t="s">
        <v>168</v>
      </c>
      <c r="B14" s="241">
        <v>1559</v>
      </c>
      <c r="C14" s="239">
        <v>6119</v>
      </c>
      <c r="D14" s="239">
        <v>202196</v>
      </c>
      <c r="E14" s="239">
        <v>2546357</v>
      </c>
      <c r="F14" s="239">
        <v>274</v>
      </c>
      <c r="G14" s="243">
        <v>2756505</v>
      </c>
      <c r="H14" s="180">
        <v>224.74031924727095</v>
      </c>
      <c r="I14" s="181">
        <v>22.451244882589297</v>
      </c>
      <c r="J14" s="181">
        <v>17.527102548541208</v>
      </c>
      <c r="K14" s="181">
        <v>28.922948191080209</v>
      </c>
      <c r="L14" s="181">
        <v>7.3747371440039569</v>
      </c>
      <c r="M14" s="181">
        <v>1.2524761526624006</v>
      </c>
      <c r="N14" s="181">
        <v>302.26882816614801</v>
      </c>
      <c r="O14" s="184">
        <v>2468.6196874500001</v>
      </c>
      <c r="P14" s="181">
        <v>246.61755590999999</v>
      </c>
      <c r="Q14" s="181">
        <v>192.50278692066797</v>
      </c>
      <c r="R14" s="181">
        <v>317.74216097932396</v>
      </c>
      <c r="S14" s="181">
        <v>81.006558960000007</v>
      </c>
      <c r="T14" s="181">
        <v>13.857521863000015</v>
      </c>
      <c r="U14" s="181">
        <v>3320.3462720829925</v>
      </c>
      <c r="V14" s="58"/>
      <c r="W14" s="57"/>
      <c r="X14" s="57"/>
      <c r="Y14" s="57"/>
    </row>
    <row r="15" spans="1:36" ht="12.95" customHeight="1">
      <c r="A15" s="176" t="s">
        <v>169</v>
      </c>
      <c r="B15" s="240">
        <v>1560</v>
      </c>
      <c r="C15" s="236">
        <v>6112</v>
      </c>
      <c r="D15" s="236">
        <v>202068</v>
      </c>
      <c r="E15" s="236">
        <v>2544970</v>
      </c>
      <c r="F15" s="236">
        <v>275</v>
      </c>
      <c r="G15" s="242">
        <v>2754985</v>
      </c>
      <c r="H15" s="177">
        <v>268.07242394561518</v>
      </c>
      <c r="I15" s="178">
        <v>42.293544185973822</v>
      </c>
      <c r="J15" s="178">
        <v>52.028391648088615</v>
      </c>
      <c r="K15" s="178">
        <v>89.85322431713189</v>
      </c>
      <c r="L15" s="178">
        <v>7.7470545106837854</v>
      </c>
      <c r="M15" s="178">
        <v>5.5468543719377479</v>
      </c>
      <c r="N15" s="178">
        <v>465.54149297943104</v>
      </c>
      <c r="O15" s="183">
        <v>2941.4838696400002</v>
      </c>
      <c r="P15" s="178">
        <v>464.14926970999994</v>
      </c>
      <c r="Q15" s="178">
        <v>570.93089633785803</v>
      </c>
      <c r="R15" s="178">
        <v>986.07778617914414</v>
      </c>
      <c r="S15" s="178">
        <v>85.007189199999999</v>
      </c>
      <c r="T15" s="178">
        <v>61.000470352599997</v>
      </c>
      <c r="U15" s="178">
        <v>5108.6494814196021</v>
      </c>
      <c r="V15" s="58"/>
      <c r="W15" s="57"/>
      <c r="X15" s="57"/>
      <c r="Y15" s="57"/>
    </row>
    <row r="16" spans="1:36" ht="12.95" customHeight="1">
      <c r="A16" s="176" t="s">
        <v>170</v>
      </c>
      <c r="B16" s="240">
        <v>1561</v>
      </c>
      <c r="C16" s="236">
        <v>6104</v>
      </c>
      <c r="D16" s="236">
        <v>202267</v>
      </c>
      <c r="E16" s="236">
        <v>2543286</v>
      </c>
      <c r="F16" s="236">
        <v>277</v>
      </c>
      <c r="G16" s="242">
        <v>2753495</v>
      </c>
      <c r="H16" s="177">
        <v>300.62909717924975</v>
      </c>
      <c r="I16" s="178">
        <v>73.387875540685712</v>
      </c>
      <c r="J16" s="178">
        <v>121.90817761306896</v>
      </c>
      <c r="K16" s="178">
        <v>217.55361738354625</v>
      </c>
      <c r="L16" s="178">
        <v>7.7923951263170377</v>
      </c>
      <c r="M16" s="178">
        <v>9.8431043431659475</v>
      </c>
      <c r="N16" s="178">
        <v>731.11426718603377</v>
      </c>
      <c r="O16" s="183">
        <v>3285.8383969570004</v>
      </c>
      <c r="P16" s="178">
        <v>802.34261417000016</v>
      </c>
      <c r="Q16" s="178">
        <v>1332.7199214665916</v>
      </c>
      <c r="R16" s="178">
        <v>2378.3529700264494</v>
      </c>
      <c r="S16" s="178">
        <v>85.178013680000007</v>
      </c>
      <c r="T16" s="178">
        <v>107.69169617999999</v>
      </c>
      <c r="U16" s="178">
        <v>7992.1236124800416</v>
      </c>
      <c r="V16" s="58"/>
      <c r="W16" s="57"/>
      <c r="X16" s="57"/>
      <c r="Y16" s="57"/>
    </row>
    <row r="17" spans="1:25" ht="12.95" customHeight="1">
      <c r="A17" s="179" t="s">
        <v>171</v>
      </c>
      <c r="B17" s="241">
        <v>1561</v>
      </c>
      <c r="C17" s="239">
        <v>6103</v>
      </c>
      <c r="D17" s="239">
        <v>202362</v>
      </c>
      <c r="E17" s="239">
        <v>2542162</v>
      </c>
      <c r="F17" s="239">
        <v>278</v>
      </c>
      <c r="G17" s="243">
        <v>2752466</v>
      </c>
      <c r="H17" s="180">
        <v>311.36790980988849</v>
      </c>
      <c r="I17" s="181">
        <v>86.938798225710158</v>
      </c>
      <c r="J17" s="181">
        <v>162.47530314812258</v>
      </c>
      <c r="K17" s="181">
        <v>298.37755649472632</v>
      </c>
      <c r="L17" s="181">
        <v>7.485546254499166</v>
      </c>
      <c r="M17" s="181">
        <v>13.157606677814622</v>
      </c>
      <c r="N17" s="181">
        <v>879.8027206107613</v>
      </c>
      <c r="O17" s="184">
        <v>3395.9582830700001</v>
      </c>
      <c r="P17" s="181">
        <v>948.30301454999994</v>
      </c>
      <c r="Q17" s="181">
        <v>1772.1260768846021</v>
      </c>
      <c r="R17" s="181">
        <v>3254.3171081664846</v>
      </c>
      <c r="S17" s="181">
        <v>81.640775629999993</v>
      </c>
      <c r="T17" s="181">
        <v>143.71532226209999</v>
      </c>
      <c r="U17" s="181">
        <v>9596.0605805631876</v>
      </c>
      <c r="V17" s="58"/>
      <c r="W17" s="57"/>
      <c r="X17" s="57"/>
      <c r="Y17" s="57"/>
    </row>
    <row r="18" spans="1:25" ht="12.95" customHeight="1">
      <c r="A18" s="176" t="s">
        <v>48</v>
      </c>
      <c r="B18" s="240">
        <f>B8</f>
        <v>1562</v>
      </c>
      <c r="C18" s="235">
        <f t="shared" ref="C18:E18" si="0">C8</f>
        <v>6124</v>
      </c>
      <c r="D18" s="235">
        <f t="shared" si="0"/>
        <v>203202</v>
      </c>
      <c r="E18" s="235">
        <f t="shared" si="0"/>
        <v>2561383</v>
      </c>
      <c r="F18" s="235">
        <f t="shared" ref="F18" si="1">F8</f>
        <v>273</v>
      </c>
      <c r="G18" s="244">
        <f>G8</f>
        <v>2772544</v>
      </c>
      <c r="H18" s="177">
        <f>SUM(H6:H8)</f>
        <v>972.73779653115685</v>
      </c>
      <c r="I18" s="177">
        <f>SUM(I6:I8)</f>
        <v>246.52069251980049</v>
      </c>
      <c r="J18" s="177">
        <f t="shared" ref="J18:K18" si="2">SUM(J6:J8)</f>
        <v>433.60110803893588</v>
      </c>
      <c r="K18" s="177">
        <f t="shared" si="2"/>
        <v>793.64640396804884</v>
      </c>
      <c r="L18" s="177">
        <f t="shared" ref="L18" si="3">SUM(L6:L8)</f>
        <v>22.174044978425176</v>
      </c>
      <c r="M18" s="177">
        <f t="shared" ref="M18" si="4">SUM(M6:M8)</f>
        <v>53.134914278364036</v>
      </c>
      <c r="N18" s="177">
        <f>SUM(N6:N8)</f>
        <v>2521.8149603147308</v>
      </c>
      <c r="O18" s="183">
        <f>SUM(O6:O8)</f>
        <v>10569.378439568</v>
      </c>
      <c r="P18" s="177">
        <f>SUM(P6:P8)</f>
        <v>2678.3421776699997</v>
      </c>
      <c r="Q18" s="177">
        <f t="shared" ref="Q18:U18" si="5">SUM(Q6:Q8)</f>
        <v>4710.2183123059049</v>
      </c>
      <c r="R18" s="177">
        <f t="shared" si="5"/>
        <v>8619.9176248230488</v>
      </c>
      <c r="S18" s="177">
        <f t="shared" ref="S18" si="6">SUM(S6:S8)</f>
        <v>240.80960168000001</v>
      </c>
      <c r="T18" s="177">
        <f t="shared" ref="T18" si="7">SUM(T6:T8)</f>
        <v>577.30590518099996</v>
      </c>
      <c r="U18" s="177">
        <f t="shared" si="5"/>
        <v>27395.972061227956</v>
      </c>
    </row>
    <row r="19" spans="1:25" ht="12.95" customHeight="1">
      <c r="A19" s="176" t="s">
        <v>56</v>
      </c>
      <c r="B19" s="240">
        <f>B11</f>
        <v>1558</v>
      </c>
      <c r="C19" s="235">
        <f t="shared" ref="C19:G19" si="8">C11</f>
        <v>6115</v>
      </c>
      <c r="D19" s="235">
        <f t="shared" si="8"/>
        <v>202590</v>
      </c>
      <c r="E19" s="235">
        <f t="shared" si="8"/>
        <v>2552635</v>
      </c>
      <c r="F19" s="235">
        <f t="shared" ref="F19" si="9">F11</f>
        <v>274</v>
      </c>
      <c r="G19" s="244">
        <f t="shared" si="8"/>
        <v>2763172</v>
      </c>
      <c r="H19" s="177">
        <f>SUM(H9:H11)</f>
        <v>713.1469345859507</v>
      </c>
      <c r="I19" s="177">
        <f>SUM(I9:I11)</f>
        <v>113.12263278371259</v>
      </c>
      <c r="J19" s="177">
        <f t="shared" ref="J19:N19" si="10">SUM(J9:J11)</f>
        <v>148.380611643517</v>
      </c>
      <c r="K19" s="177">
        <f t="shared" si="10"/>
        <v>278.60368638204932</v>
      </c>
      <c r="L19" s="177">
        <f t="shared" ref="L19" si="11">SUM(L9:L11)</f>
        <v>22.272727339250615</v>
      </c>
      <c r="M19" s="177">
        <f t="shared" ref="M19" si="12">SUM(M9:M11)</f>
        <v>13.748475192326676</v>
      </c>
      <c r="N19" s="177">
        <f t="shared" si="10"/>
        <v>1289.2750679268067</v>
      </c>
      <c r="O19" s="183">
        <f>SUM(O9:O11)</f>
        <v>7797.5522529378686</v>
      </c>
      <c r="P19" s="177">
        <f>SUM(P9:P11)</f>
        <v>1236.6427551400002</v>
      </c>
      <c r="Q19" s="177">
        <f t="shared" ref="Q19:U19" si="13">SUM(Q9:Q11)</f>
        <v>1621.00079782993</v>
      </c>
      <c r="R19" s="177">
        <f t="shared" si="13"/>
        <v>3043.5013785209489</v>
      </c>
      <c r="S19" s="177">
        <f t="shared" ref="S19" si="14">SUM(S9:S11)</f>
        <v>243.62970901</v>
      </c>
      <c r="T19" s="177">
        <f t="shared" ref="T19" si="15">SUM(T9:T11)</f>
        <v>150.57461225799995</v>
      </c>
      <c r="U19" s="177">
        <f t="shared" si="13"/>
        <v>14092.901505696747</v>
      </c>
    </row>
    <row r="20" spans="1:25" ht="12.95" customHeight="1">
      <c r="A20" s="176" t="s">
        <v>63</v>
      </c>
      <c r="B20" s="240">
        <f>B14</f>
        <v>1559</v>
      </c>
      <c r="C20" s="235">
        <f t="shared" ref="C20:G20" si="16">C14</f>
        <v>6119</v>
      </c>
      <c r="D20" s="235">
        <f t="shared" si="16"/>
        <v>202196</v>
      </c>
      <c r="E20" s="235">
        <f t="shared" si="16"/>
        <v>2546357</v>
      </c>
      <c r="F20" s="235">
        <f t="shared" ref="F20" si="17">F14</f>
        <v>274</v>
      </c>
      <c r="G20" s="244">
        <f t="shared" si="16"/>
        <v>2756505</v>
      </c>
      <c r="H20" s="177">
        <f>SUM(H12:H14)</f>
        <v>649.71897217572041</v>
      </c>
      <c r="I20" s="177">
        <f>SUM(I12:I14)</f>
        <v>64.445374107523179</v>
      </c>
      <c r="J20" s="177">
        <f t="shared" ref="J20:N20" si="18">SUM(J12:J14)</f>
        <v>47.979289138244155</v>
      </c>
      <c r="K20" s="177">
        <f t="shared" si="18"/>
        <v>84.069088311636236</v>
      </c>
      <c r="L20" s="177">
        <f t="shared" ref="L20" si="19">SUM(L12:L14)</f>
        <v>21.824686121713619</v>
      </c>
      <c r="M20" s="177">
        <f t="shared" ref="M20" si="20">SUM(M12:M14)</f>
        <v>3.0205448436301525</v>
      </c>
      <c r="N20" s="177">
        <f t="shared" si="18"/>
        <v>871.05795469846771</v>
      </c>
      <c r="O20" s="183">
        <f>SUM(O12:O14)</f>
        <v>7128.2792416596731</v>
      </c>
      <c r="P20" s="177">
        <f>SUM(P12:P14)</f>
        <v>707.10366793999992</v>
      </c>
      <c r="Q20" s="177">
        <f t="shared" ref="Q20:U20" si="21">SUM(Q12:Q14)</f>
        <v>526.35666583026068</v>
      </c>
      <c r="R20" s="177">
        <f t="shared" si="21"/>
        <v>922.47551249773574</v>
      </c>
      <c r="S20" s="177">
        <f t="shared" ref="S20" si="22">SUM(S12:S14)</f>
        <v>239.45559878000003</v>
      </c>
      <c r="T20" s="177">
        <f t="shared" ref="T20" si="23">SUM(T12:T14)</f>
        <v>33.418772602000033</v>
      </c>
      <c r="U20" s="177">
        <f t="shared" si="21"/>
        <v>9557.0894593096691</v>
      </c>
    </row>
    <row r="21" spans="1:25" ht="12.95" customHeight="1">
      <c r="A21" s="179" t="s">
        <v>57</v>
      </c>
      <c r="B21" s="241">
        <f>B17</f>
        <v>1561</v>
      </c>
      <c r="C21" s="238">
        <f t="shared" ref="C21:E21" si="24">C17</f>
        <v>6103</v>
      </c>
      <c r="D21" s="238">
        <f t="shared" si="24"/>
        <v>202362</v>
      </c>
      <c r="E21" s="238">
        <f t="shared" si="24"/>
        <v>2542162</v>
      </c>
      <c r="F21" s="238">
        <f t="shared" ref="F21" si="25">F17</f>
        <v>278</v>
      </c>
      <c r="G21" s="399">
        <f>G17</f>
        <v>2752466</v>
      </c>
      <c r="H21" s="180">
        <f>SUM(H15:H17)</f>
        <v>880.06943093475343</v>
      </c>
      <c r="I21" s="180">
        <f>SUM(I15:I17)</f>
        <v>202.62021795236967</v>
      </c>
      <c r="J21" s="180">
        <f t="shared" ref="J21:N21" si="26">SUM(J15:J17)</f>
        <v>336.41187240928014</v>
      </c>
      <c r="K21" s="180">
        <f t="shared" si="26"/>
        <v>605.78439819540449</v>
      </c>
      <c r="L21" s="180">
        <f t="shared" ref="L21" si="27">SUM(L15:L17)</f>
        <v>23.024995891499991</v>
      </c>
      <c r="M21" s="180">
        <f t="shared" ref="M21" si="28">SUM(M15:M17)</f>
        <v>28.547565392918315</v>
      </c>
      <c r="N21" s="180">
        <f t="shared" si="26"/>
        <v>2076.4584807762262</v>
      </c>
      <c r="O21" s="184">
        <f>SUM(O15:O17)</f>
        <v>9623.2805496670007</v>
      </c>
      <c r="P21" s="180">
        <f>SUM(P15:P17)</f>
        <v>2214.7948984300001</v>
      </c>
      <c r="Q21" s="180">
        <f t="shared" ref="Q21:U21" si="29">SUM(Q15:Q17)</f>
        <v>3675.7768946890519</v>
      </c>
      <c r="R21" s="180">
        <f t="shared" si="29"/>
        <v>6618.7478643720788</v>
      </c>
      <c r="S21" s="180">
        <f t="shared" ref="S21" si="30">SUM(S15:S17)</f>
        <v>251.82597851000003</v>
      </c>
      <c r="T21" s="180">
        <f t="shared" ref="T21" si="31">SUM(T15:T17)</f>
        <v>312.40748879469999</v>
      </c>
      <c r="U21" s="180">
        <f t="shared" si="29"/>
        <v>22696.833674462832</v>
      </c>
    </row>
    <row r="22" spans="1:25" ht="12.95" customHeight="1">
      <c r="A22" s="176" t="s">
        <v>58</v>
      </c>
      <c r="B22" s="240">
        <f>B11</f>
        <v>1558</v>
      </c>
      <c r="C22" s="235">
        <f t="shared" ref="C22:G22" si="32">C11</f>
        <v>6115</v>
      </c>
      <c r="D22" s="235">
        <f t="shared" si="32"/>
        <v>202590</v>
      </c>
      <c r="E22" s="235">
        <f t="shared" si="32"/>
        <v>2552635</v>
      </c>
      <c r="F22" s="235">
        <f t="shared" ref="F22" si="33">F11</f>
        <v>274</v>
      </c>
      <c r="G22" s="244">
        <f t="shared" si="32"/>
        <v>2763172</v>
      </c>
      <c r="H22" s="177">
        <f>SUM(H6:H11)</f>
        <v>1685.8847311171075</v>
      </c>
      <c r="I22" s="177">
        <f>SUM(I6:I11)</f>
        <v>359.64332530351311</v>
      </c>
      <c r="J22" s="177">
        <f t="shared" ref="J22:N22" si="34">SUM(J6:J11)</f>
        <v>581.98171968245288</v>
      </c>
      <c r="K22" s="177">
        <f t="shared" si="34"/>
        <v>1072.2500903500979</v>
      </c>
      <c r="L22" s="177">
        <f t="shared" ref="L22" si="35">SUM(L6:L11)</f>
        <v>44.446772317675794</v>
      </c>
      <c r="M22" s="177">
        <f t="shared" ref="M22" si="36">SUM(M6:M11)</f>
        <v>66.883389470690716</v>
      </c>
      <c r="N22" s="177">
        <f t="shared" si="34"/>
        <v>3811.0900282415378</v>
      </c>
      <c r="O22" s="183">
        <f>SUM(O6:O11)</f>
        <v>18366.93069250587</v>
      </c>
      <c r="P22" s="177">
        <f>SUM(P6:P11)</f>
        <v>3914.9849328099995</v>
      </c>
      <c r="Q22" s="177">
        <f t="shared" ref="Q22:U22" si="37">SUM(Q6:Q11)</f>
        <v>6331.2191101358358</v>
      </c>
      <c r="R22" s="177">
        <f t="shared" si="37"/>
        <v>11663.419003343999</v>
      </c>
      <c r="S22" s="177">
        <f t="shared" ref="S22" si="38">SUM(S6:S11)</f>
        <v>484.43931069000001</v>
      </c>
      <c r="T22" s="177">
        <f t="shared" ref="T22" si="39">SUM(T6:T11)</f>
        <v>727.88051743899985</v>
      </c>
      <c r="U22" s="177">
        <f t="shared" si="37"/>
        <v>41488.873566924696</v>
      </c>
    </row>
    <row r="23" spans="1:25" ht="12.95" customHeight="1">
      <c r="A23" s="179" t="s">
        <v>59</v>
      </c>
      <c r="B23" s="241">
        <f>B17</f>
        <v>1561</v>
      </c>
      <c r="C23" s="238">
        <f t="shared" ref="C23:G23" si="40">C17</f>
        <v>6103</v>
      </c>
      <c r="D23" s="238">
        <f t="shared" si="40"/>
        <v>202362</v>
      </c>
      <c r="E23" s="238">
        <f t="shared" si="40"/>
        <v>2542162</v>
      </c>
      <c r="F23" s="238">
        <f t="shared" ref="F23" si="41">F17</f>
        <v>278</v>
      </c>
      <c r="G23" s="399">
        <f t="shared" si="40"/>
        <v>2752466</v>
      </c>
      <c r="H23" s="180">
        <f>SUM(H12:H17)</f>
        <v>1529.7884031104738</v>
      </c>
      <c r="I23" s="180">
        <f>SUM(I12:I17)</f>
        <v>267.06559205989288</v>
      </c>
      <c r="J23" s="180">
        <f t="shared" ref="J23:N23" si="42">SUM(J12:J17)</f>
        <v>384.39116154752429</v>
      </c>
      <c r="K23" s="180">
        <f t="shared" si="42"/>
        <v>689.85348650704077</v>
      </c>
      <c r="L23" s="180">
        <f t="shared" ref="L23" si="43">SUM(L12:L17)</f>
        <v>44.849682013213609</v>
      </c>
      <c r="M23" s="180">
        <f t="shared" ref="M23" si="44">SUM(M12:M17)</f>
        <v>31.56811023654847</v>
      </c>
      <c r="N23" s="180">
        <f t="shared" si="42"/>
        <v>2947.5164354746939</v>
      </c>
      <c r="O23" s="184">
        <f>SUM(O12:O17)</f>
        <v>16751.559791326676</v>
      </c>
      <c r="P23" s="180">
        <f>SUM(P12:P17)</f>
        <v>2921.89856637</v>
      </c>
      <c r="Q23" s="180">
        <f t="shared" ref="Q23:U23" si="45">SUM(Q12:Q17)</f>
        <v>4202.1335605193126</v>
      </c>
      <c r="R23" s="180">
        <f t="shared" si="45"/>
        <v>7541.2233768698134</v>
      </c>
      <c r="S23" s="180">
        <f t="shared" ref="S23" si="46">SUM(S12:S17)</f>
        <v>491.28157729000003</v>
      </c>
      <c r="T23" s="180">
        <f t="shared" ref="T23" si="47">SUM(T12:T17)</f>
        <v>345.82626139670003</v>
      </c>
      <c r="U23" s="180">
        <f t="shared" si="45"/>
        <v>32253.9231337725</v>
      </c>
    </row>
    <row r="24" spans="1:25" ht="12.95" customHeight="1">
      <c r="A24" s="179" t="s">
        <v>172</v>
      </c>
      <c r="B24" s="241">
        <f>B17</f>
        <v>1561</v>
      </c>
      <c r="C24" s="238">
        <f t="shared" ref="C24:G24" si="48">C17</f>
        <v>6103</v>
      </c>
      <c r="D24" s="238">
        <f t="shared" si="48"/>
        <v>202362</v>
      </c>
      <c r="E24" s="238">
        <f t="shared" si="48"/>
        <v>2542162</v>
      </c>
      <c r="F24" s="238">
        <f t="shared" ref="F24" si="49">F17</f>
        <v>278</v>
      </c>
      <c r="G24" s="399">
        <f t="shared" si="48"/>
        <v>2752466</v>
      </c>
      <c r="H24" s="180">
        <f>SUM(H6:H17)</f>
        <v>3215.6731342275816</v>
      </c>
      <c r="I24" s="180">
        <f>SUM(I6:I17)</f>
        <v>626.70891736340593</v>
      </c>
      <c r="J24" s="180">
        <f t="shared" ref="J24:N24" si="50">SUM(J6:J17)</f>
        <v>966.37288122997711</v>
      </c>
      <c r="K24" s="180">
        <f t="shared" si="50"/>
        <v>1762.1035768571385</v>
      </c>
      <c r="L24" s="180">
        <f t="shared" ref="L24" si="51">SUM(L6:L17)</f>
        <v>89.296454330889404</v>
      </c>
      <c r="M24" s="180">
        <f t="shared" ref="M24" si="52">SUM(M6:M17)</f>
        <v>98.451499707239194</v>
      </c>
      <c r="N24" s="180">
        <f t="shared" si="50"/>
        <v>6758.6064637162308</v>
      </c>
      <c r="O24" s="184">
        <f>SUM(O6:O17)</f>
        <v>35118.490483832546</v>
      </c>
      <c r="P24" s="180">
        <f>SUM(P6:P17)</f>
        <v>6836.8834991799995</v>
      </c>
      <c r="Q24" s="180">
        <f t="shared" ref="Q24:U24" si="53">SUM(Q6:Q17)</f>
        <v>10533.352670655147</v>
      </c>
      <c r="R24" s="180">
        <f t="shared" si="53"/>
        <v>19204.642380213816</v>
      </c>
      <c r="S24" s="180">
        <f t="shared" ref="S24" si="54">SUM(S6:S17)</f>
        <v>975.72088798000004</v>
      </c>
      <c r="T24" s="180">
        <f t="shared" ref="T24" si="55">SUM(T6:T17)</f>
        <v>1073.7067788356999</v>
      </c>
      <c r="U24" s="180">
        <f t="shared" si="53"/>
        <v>73742.796700697203</v>
      </c>
    </row>
    <row r="25" spans="1:25" ht="15" customHeight="1"/>
    <row r="26" spans="1:25" ht="26.1" customHeight="1">
      <c r="A26" s="438" t="s">
        <v>309</v>
      </c>
      <c r="B26" s="438"/>
      <c r="C26" s="438"/>
      <c r="D26" s="438"/>
      <c r="E26" s="438"/>
      <c r="F26" s="438"/>
      <c r="G26" s="438"/>
      <c r="H26" s="438"/>
      <c r="I26" s="438" t="s">
        <v>252</v>
      </c>
      <c r="J26" s="438"/>
      <c r="K26" s="438"/>
      <c r="L26" s="438"/>
      <c r="M26" s="438"/>
      <c r="N26" s="118"/>
      <c r="O26" s="118"/>
      <c r="P26" s="438" t="s">
        <v>253</v>
      </c>
      <c r="Q26" s="452"/>
      <c r="R26" s="452"/>
      <c r="S26" s="452"/>
      <c r="T26" s="452"/>
    </row>
    <row r="27" spans="1:25" ht="12" customHeight="1">
      <c r="A27" s="67"/>
      <c r="B27" s="70" t="str">
        <f>B5</f>
        <v>VO</v>
      </c>
      <c r="C27" s="70" t="str">
        <f t="shared" ref="C27:E27" si="56">C5</f>
        <v>SO</v>
      </c>
      <c r="D27" s="70" t="str">
        <f t="shared" si="56"/>
        <v>MO</v>
      </c>
      <c r="E27" s="70" t="str">
        <f t="shared" si="56"/>
        <v>DOM</v>
      </c>
      <c r="F27" s="70" t="str">
        <f>F5</f>
        <v>CNG</v>
      </c>
      <c r="G27" s="374"/>
      <c r="H27" s="72"/>
      <c r="I27" s="70" t="str">
        <f>H5</f>
        <v>VO</v>
      </c>
      <c r="J27" s="70" t="str">
        <f t="shared" ref="J27" si="57">I5</f>
        <v>SO</v>
      </c>
      <c r="K27" s="70" t="str">
        <f>J5</f>
        <v>MO</v>
      </c>
      <c r="L27" s="70" t="str">
        <f t="shared" ref="L27:M27" si="58">K5</f>
        <v>DOM</v>
      </c>
      <c r="M27" s="70" t="str">
        <f t="shared" si="58"/>
        <v>CNG</v>
      </c>
      <c r="N27" s="71"/>
      <c r="O27" s="73"/>
      <c r="P27" s="70" t="str">
        <f>O5</f>
        <v>VO</v>
      </c>
      <c r="Q27" s="70" t="str">
        <f t="shared" ref="Q27:T27" si="59">P5</f>
        <v>SO</v>
      </c>
      <c r="R27" s="70" t="str">
        <f t="shared" si="59"/>
        <v>MO</v>
      </c>
      <c r="S27" s="70" t="str">
        <f t="shared" si="59"/>
        <v>DOM</v>
      </c>
      <c r="T27" s="70" t="str">
        <f t="shared" si="59"/>
        <v>CNG</v>
      </c>
      <c r="U27" s="60"/>
    </row>
    <row r="28" spans="1:25" ht="12" customHeight="1">
      <c r="B28" s="74">
        <f>B18</f>
        <v>1562</v>
      </c>
      <c r="C28" s="74">
        <f>C18</f>
        <v>6124</v>
      </c>
      <c r="D28" s="74">
        <f>D18</f>
        <v>203202</v>
      </c>
      <c r="E28" s="74">
        <f>E18</f>
        <v>2561383</v>
      </c>
      <c r="F28" s="74">
        <f>F18</f>
        <v>273</v>
      </c>
      <c r="G28" s="375"/>
      <c r="H28" s="73" t="str">
        <f>A18</f>
        <v>I. čtvrtletí</v>
      </c>
      <c r="I28" s="75">
        <f>H18</f>
        <v>972.73779653115685</v>
      </c>
      <c r="J28" s="75">
        <f t="shared" ref="J28:M28" si="60">I18</f>
        <v>246.52069251980049</v>
      </c>
      <c r="K28" s="75">
        <f t="shared" si="60"/>
        <v>433.60110803893588</v>
      </c>
      <c r="L28" s="75">
        <f t="shared" si="60"/>
        <v>793.64640396804884</v>
      </c>
      <c r="M28" s="75">
        <f t="shared" si="60"/>
        <v>22.174044978425176</v>
      </c>
      <c r="N28" s="61"/>
      <c r="O28" s="72" t="str">
        <f>A18</f>
        <v>I. čtvrtletí</v>
      </c>
      <c r="P28" s="74">
        <f>O18</f>
        <v>10569.378439568</v>
      </c>
      <c r="Q28" s="74">
        <f t="shared" ref="Q28:T28" si="61">P18</f>
        <v>2678.3421776699997</v>
      </c>
      <c r="R28" s="74">
        <f t="shared" si="61"/>
        <v>4710.2183123059049</v>
      </c>
      <c r="S28" s="74">
        <f t="shared" si="61"/>
        <v>8619.9176248230488</v>
      </c>
      <c r="T28" s="74">
        <f t="shared" si="61"/>
        <v>240.80960168000001</v>
      </c>
      <c r="U28" s="63"/>
    </row>
    <row r="29" spans="1:25" ht="12" customHeight="1">
      <c r="B29" s="390"/>
      <c r="C29" s="390"/>
      <c r="D29" s="390"/>
      <c r="E29" s="375"/>
      <c r="F29" s="375"/>
      <c r="G29" s="375"/>
      <c r="H29" s="73" t="str">
        <f t="shared" ref="H29:H31" si="62">A19</f>
        <v>II. čtvrtletí</v>
      </c>
      <c r="I29" s="75">
        <f t="shared" ref="I29:M29" si="63">H19</f>
        <v>713.1469345859507</v>
      </c>
      <c r="J29" s="75">
        <f t="shared" si="63"/>
        <v>113.12263278371259</v>
      </c>
      <c r="K29" s="75">
        <f t="shared" si="63"/>
        <v>148.380611643517</v>
      </c>
      <c r="L29" s="75">
        <f t="shared" si="63"/>
        <v>278.60368638204932</v>
      </c>
      <c r="M29" s="75">
        <f t="shared" si="63"/>
        <v>22.272727339250615</v>
      </c>
      <c r="N29" s="61"/>
      <c r="O29" s="72" t="str">
        <f t="shared" ref="O29:O31" si="64">A19</f>
        <v>II. čtvrtletí</v>
      </c>
      <c r="P29" s="74">
        <f t="shared" ref="P29:T29" si="65">O19</f>
        <v>7797.5522529378686</v>
      </c>
      <c r="Q29" s="74">
        <f t="shared" si="65"/>
        <v>1236.6427551400002</v>
      </c>
      <c r="R29" s="74">
        <f t="shared" si="65"/>
        <v>1621.00079782993</v>
      </c>
      <c r="S29" s="74">
        <f t="shared" si="65"/>
        <v>3043.5013785209489</v>
      </c>
      <c r="T29" s="74">
        <f t="shared" si="65"/>
        <v>243.62970901</v>
      </c>
      <c r="U29" s="63"/>
    </row>
    <row r="30" spans="1:25" ht="12" customHeight="1">
      <c r="B30" s="61"/>
      <c r="C30" s="61"/>
      <c r="D30" s="61"/>
      <c r="E30" s="62"/>
      <c r="F30" s="62"/>
      <c r="G30" s="62"/>
      <c r="H30" s="73" t="str">
        <f t="shared" si="62"/>
        <v>III. čtvrtletí</v>
      </c>
      <c r="I30" s="75">
        <f t="shared" ref="I30:M30" si="66">H20</f>
        <v>649.71897217572041</v>
      </c>
      <c r="J30" s="75">
        <f t="shared" si="66"/>
        <v>64.445374107523179</v>
      </c>
      <c r="K30" s="75">
        <f t="shared" si="66"/>
        <v>47.979289138244155</v>
      </c>
      <c r="L30" s="75">
        <f t="shared" si="66"/>
        <v>84.069088311636236</v>
      </c>
      <c r="M30" s="75">
        <f t="shared" si="66"/>
        <v>21.824686121713619</v>
      </c>
      <c r="N30" s="61"/>
      <c r="O30" s="72" t="str">
        <f t="shared" si="64"/>
        <v>III. čtvrtletí</v>
      </c>
      <c r="P30" s="74">
        <f t="shared" ref="P30:T30" si="67">O20</f>
        <v>7128.2792416596731</v>
      </c>
      <c r="Q30" s="74">
        <f t="shared" si="67"/>
        <v>707.10366793999992</v>
      </c>
      <c r="R30" s="74">
        <f t="shared" si="67"/>
        <v>526.35666583026068</v>
      </c>
      <c r="S30" s="74">
        <f t="shared" si="67"/>
        <v>922.47551249773574</v>
      </c>
      <c r="T30" s="74">
        <f t="shared" si="67"/>
        <v>239.45559878000003</v>
      </c>
      <c r="U30" s="63"/>
    </row>
    <row r="31" spans="1:25" ht="12" customHeight="1">
      <c r="B31" s="61"/>
      <c r="C31" s="61"/>
      <c r="D31" s="61"/>
      <c r="E31" s="62"/>
      <c r="F31" s="62"/>
      <c r="G31" s="62"/>
      <c r="H31" s="73" t="str">
        <f t="shared" si="62"/>
        <v>IV. čtvrtletí</v>
      </c>
      <c r="I31" s="75">
        <f t="shared" ref="I31:M31" si="68">H21</f>
        <v>880.06943093475343</v>
      </c>
      <c r="J31" s="75">
        <f t="shared" si="68"/>
        <v>202.62021795236967</v>
      </c>
      <c r="K31" s="75">
        <f t="shared" si="68"/>
        <v>336.41187240928014</v>
      </c>
      <c r="L31" s="75">
        <f t="shared" si="68"/>
        <v>605.78439819540449</v>
      </c>
      <c r="M31" s="75">
        <f t="shared" si="68"/>
        <v>23.024995891499991</v>
      </c>
      <c r="N31" s="61"/>
      <c r="O31" s="72" t="str">
        <f t="shared" si="64"/>
        <v>IV. čtvrtletí</v>
      </c>
      <c r="P31" s="74">
        <f t="shared" ref="P31:T31" si="69">O21</f>
        <v>9623.2805496670007</v>
      </c>
      <c r="Q31" s="74">
        <f t="shared" si="69"/>
        <v>2214.7948984300001</v>
      </c>
      <c r="R31" s="74">
        <f t="shared" si="69"/>
        <v>3675.7768946890519</v>
      </c>
      <c r="S31" s="74">
        <f t="shared" si="69"/>
        <v>6618.7478643720788</v>
      </c>
      <c r="T31" s="74">
        <f t="shared" si="69"/>
        <v>251.82597851000003</v>
      </c>
      <c r="U31" s="63"/>
    </row>
    <row r="32" spans="1:25" ht="12" customHeight="1">
      <c r="E32" s="63"/>
      <c r="F32" s="63"/>
      <c r="G32" s="63"/>
      <c r="H32" s="63"/>
      <c r="I32" s="63"/>
      <c r="Q32" s="63"/>
      <c r="R32" s="63"/>
      <c r="S32" s="63"/>
      <c r="T32" s="63"/>
      <c r="U32" s="63"/>
    </row>
    <row r="33" spans="4:21" ht="12" customHeight="1">
      <c r="D33" s="454"/>
      <c r="E33" s="63"/>
      <c r="F33" s="63"/>
      <c r="G33" s="63"/>
      <c r="H33" s="63"/>
      <c r="I33" s="63"/>
      <c r="Q33" s="63"/>
      <c r="R33" s="63"/>
      <c r="S33" s="63"/>
      <c r="T33" s="63"/>
      <c r="U33" s="63"/>
    </row>
    <row r="34" spans="4:21" ht="12" customHeight="1">
      <c r="D34" s="454"/>
      <c r="E34" s="63"/>
      <c r="F34" s="63"/>
      <c r="G34" s="63"/>
      <c r="H34" s="63"/>
      <c r="I34" s="63"/>
      <c r="Q34" s="63"/>
      <c r="R34" s="63"/>
      <c r="S34" s="63"/>
      <c r="T34" s="63"/>
      <c r="U34" s="63"/>
    </row>
    <row r="35" spans="4:21" ht="12" customHeight="1">
      <c r="E35" s="63"/>
      <c r="F35" s="63"/>
      <c r="G35" s="63"/>
      <c r="H35" s="63"/>
      <c r="I35" s="63"/>
      <c r="Q35" s="63"/>
      <c r="R35" s="63"/>
      <c r="S35" s="63"/>
      <c r="T35" s="63"/>
      <c r="U35" s="63"/>
    </row>
    <row r="36" spans="4:21" ht="12" customHeight="1">
      <c r="E36" s="63"/>
      <c r="F36" s="63"/>
      <c r="G36" s="63"/>
      <c r="H36" s="63"/>
      <c r="I36" s="63"/>
      <c r="Q36" s="63"/>
      <c r="R36" s="63"/>
      <c r="S36" s="63"/>
      <c r="T36" s="63"/>
      <c r="U36" s="63"/>
    </row>
    <row r="37" spans="4:21" ht="12" customHeight="1">
      <c r="E37" s="63"/>
      <c r="F37" s="63"/>
      <c r="G37" s="63"/>
      <c r="H37" s="63"/>
      <c r="I37" s="63"/>
      <c r="Q37" s="63"/>
      <c r="R37" s="63"/>
      <c r="S37" s="63"/>
      <c r="T37" s="63"/>
      <c r="U37" s="63"/>
    </row>
    <row r="38" spans="4:21" ht="12" customHeight="1">
      <c r="E38" s="63"/>
      <c r="F38" s="63"/>
      <c r="G38" s="63"/>
      <c r="H38" s="63"/>
      <c r="I38" s="63"/>
      <c r="Q38" s="63"/>
      <c r="R38" s="63"/>
      <c r="S38" s="63"/>
      <c r="T38" s="63"/>
      <c r="U38" s="63"/>
    </row>
    <row r="39" spans="4:21" ht="12" customHeight="1">
      <c r="E39" s="63"/>
      <c r="F39" s="63"/>
      <c r="G39" s="63"/>
      <c r="H39" s="63"/>
      <c r="I39" s="63"/>
      <c r="Q39" s="63"/>
      <c r="R39" s="63"/>
      <c r="S39" s="63"/>
      <c r="T39" s="63"/>
      <c r="U39" s="63"/>
    </row>
    <row r="40" spans="4:21" ht="12" customHeight="1"/>
    <row r="41" spans="4:21" ht="12" customHeight="1"/>
    <row r="42" spans="4:21" ht="12" customHeight="1"/>
    <row r="43" spans="4:21" ht="12" customHeight="1"/>
    <row r="44" spans="4:21" ht="12" customHeight="1"/>
  </sheetData>
  <mergeCells count="10">
    <mergeCell ref="D33:D34"/>
    <mergeCell ref="A1:U1"/>
    <mergeCell ref="B2:U2"/>
    <mergeCell ref="B3:G3"/>
    <mergeCell ref="H3:U3"/>
    <mergeCell ref="A26:H26"/>
    <mergeCell ref="I26:M26"/>
    <mergeCell ref="P26:T26"/>
    <mergeCell ref="M4:M5"/>
    <mergeCell ref="T4:T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18:U18 H20:U23 H19:I19 J19:U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8</vt:i4>
      </vt:variant>
    </vt:vector>
  </HeadingPairs>
  <TitlesOfParts>
    <vt:vector size="42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Obálka</vt:lpstr>
      <vt:lpstr>'2'!Oblast_tisku</vt:lpstr>
      <vt:lpstr>Titulní!Oblast_tisku</vt:lpstr>
      <vt:lpstr>'2'!OLE_LINK42</vt:lpstr>
      <vt:lpstr>Úvod!OLE_LINK42</vt:lpstr>
      <vt:lpstr>'2'!OLE_LINK43</vt:lpstr>
      <vt:lpstr>Úvod!OLE_LINK43</vt:lpstr>
      <vt:lpstr>Úvod!OLE_LINK6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2024-02-06T14:19:09Z</cp:lastPrinted>
  <dcterms:created xsi:type="dcterms:W3CDTF">2010-02-15T08:19:53Z</dcterms:created>
  <dcterms:modified xsi:type="dcterms:W3CDTF">2024-02-06T14:20:24Z</dcterms:modified>
</cp:coreProperties>
</file>