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2\"/>
    </mc:Choice>
  </mc:AlternateContent>
  <xr:revisionPtr revIDLastSave="0" documentId="13_ncr:1_{682E580F-FA3F-4E75-9FB5-EC2801DD304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itulní" sheetId="180" r:id="rId1"/>
    <sheet name="Obsah" sheetId="170" r:id="rId2"/>
    <sheet name="Úvod" sheetId="171" r:id="rId3"/>
    <sheet name="1" sheetId="172" r:id="rId4"/>
    <sheet name="2" sheetId="179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  <sheet name="Obálka" sheetId="181" r:id="rId34"/>
  </sheets>
  <definedNames>
    <definedName name="Datum_OTE" localSheetId="33">"4. 8. 2022"</definedName>
    <definedName name="Datum_OTE">"2. 5. 2017"</definedName>
    <definedName name="_xlnm.Print_Area" localSheetId="4">'2'!$A$1:$I$51</definedName>
    <definedName name="_xlnm.Print_Area" localSheetId="0">Titulní!$A$1:$B$2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'2'!#REF!</definedName>
    <definedName name="OLE_LINK6" localSheetId="2">Úvod!$A$7</definedName>
    <definedName name="OLE_LINK7" localSheetId="4">'2'!#REF!</definedName>
    <definedName name="OLE_LINK7" localSheetId="2">Úvod!$A$7</definedName>
  </definedNames>
  <calcPr calcId="191029"/>
</workbook>
</file>

<file path=xl/calcChain.xml><?xml version="1.0" encoding="utf-8"?>
<calcChain xmlns="http://schemas.openxmlformats.org/spreadsheetml/2006/main">
  <c r="B50" i="181" l="1"/>
  <c r="E23" i="146" l="1"/>
  <c r="G23" i="146" s="1"/>
  <c r="G9" i="107" l="1"/>
  <c r="R18" i="122" l="1"/>
  <c r="O19" i="122"/>
  <c r="L18" i="122"/>
  <c r="G18" i="122"/>
  <c r="D18" i="122"/>
  <c r="B18" i="122"/>
  <c r="O20" i="146"/>
  <c r="K19" i="146"/>
  <c r="I19" i="146"/>
  <c r="B20" i="146"/>
  <c r="D20" i="146" s="1"/>
  <c r="M25" i="146"/>
  <c r="M24" i="146"/>
  <c r="M23" i="146"/>
  <c r="M22" i="146"/>
  <c r="M21" i="146"/>
  <c r="M20" i="146"/>
  <c r="M19" i="146"/>
  <c r="H25" i="146"/>
  <c r="H24" i="146"/>
  <c r="H23" i="146"/>
  <c r="H22" i="146"/>
  <c r="H21" i="146"/>
  <c r="H20" i="146"/>
  <c r="H19" i="146"/>
  <c r="B23" i="146"/>
  <c r="T23" i="146"/>
  <c r="S23" i="146"/>
  <c r="T20" i="146"/>
  <c r="S20" i="146"/>
  <c r="T19" i="146"/>
  <c r="S19" i="146"/>
  <c r="K20" i="146"/>
  <c r="B19" i="146"/>
  <c r="T25" i="146" l="1"/>
  <c r="S25" i="146"/>
  <c r="Q25" i="146"/>
  <c r="P25" i="146"/>
  <c r="O25" i="146"/>
  <c r="N25" i="146"/>
  <c r="K25" i="146"/>
  <c r="I25" i="146"/>
  <c r="E25" i="146"/>
  <c r="G25" i="146" s="1"/>
  <c r="B25" i="146"/>
  <c r="D25" i="146" s="1"/>
  <c r="T24" i="146"/>
  <c r="S24" i="146"/>
  <c r="Q24" i="146"/>
  <c r="P24" i="146"/>
  <c r="O24" i="146"/>
  <c r="N24" i="146"/>
  <c r="K24" i="146"/>
  <c r="I24" i="146"/>
  <c r="E24" i="146"/>
  <c r="G24" i="146" s="1"/>
  <c r="B24" i="146"/>
  <c r="D24" i="146" s="1"/>
  <c r="Q23" i="146"/>
  <c r="P23" i="146"/>
  <c r="O23" i="146"/>
  <c r="N23" i="146"/>
  <c r="K23" i="146"/>
  <c r="I23" i="146"/>
  <c r="D23" i="146"/>
  <c r="T22" i="146"/>
  <c r="S22" i="146"/>
  <c r="Q22" i="146"/>
  <c r="E26" i="179" s="1"/>
  <c r="P22" i="146"/>
  <c r="O22" i="146"/>
  <c r="N22" i="146"/>
  <c r="K22" i="146"/>
  <c r="H22" i="179" s="1"/>
  <c r="I22" i="146"/>
  <c r="H19" i="179" s="1"/>
  <c r="E22" i="146"/>
  <c r="B22" i="146"/>
  <c r="T21" i="146"/>
  <c r="S21" i="146"/>
  <c r="Q21" i="146"/>
  <c r="P21" i="146"/>
  <c r="O21" i="146"/>
  <c r="N21" i="146"/>
  <c r="K21" i="146"/>
  <c r="I21" i="146"/>
  <c r="E21" i="146"/>
  <c r="B21" i="146"/>
  <c r="Q20" i="146"/>
  <c r="P20" i="146"/>
  <c r="N20" i="146"/>
  <c r="I20" i="146"/>
  <c r="E20" i="146"/>
  <c r="G20" i="146" s="1"/>
  <c r="Q19" i="146"/>
  <c r="P19" i="146"/>
  <c r="O19" i="146"/>
  <c r="N19" i="146"/>
  <c r="R19" i="146" s="1"/>
  <c r="E19" i="146"/>
  <c r="G19" i="146" s="1"/>
  <c r="D19" i="146"/>
  <c r="D22" i="146" l="1"/>
  <c r="E20" i="179" s="1"/>
  <c r="E19" i="179"/>
  <c r="R22" i="146"/>
  <c r="E27" i="179" s="1"/>
  <c r="E25" i="179"/>
  <c r="G22" i="146"/>
  <c r="E23" i="179" s="1"/>
  <c r="E22" i="179"/>
  <c r="R23" i="146"/>
  <c r="R20" i="146"/>
  <c r="D21" i="146"/>
  <c r="R21" i="146"/>
  <c r="G21" i="146"/>
  <c r="R24" i="146"/>
  <c r="R25" i="146"/>
  <c r="B36" i="170" l="1"/>
  <c r="B35" i="170"/>
  <c r="B30" i="170"/>
  <c r="B29" i="170"/>
  <c r="B28" i="170"/>
  <c r="B27" i="170"/>
  <c r="B26" i="170"/>
  <c r="B25" i="170"/>
  <c r="B24" i="170"/>
  <c r="B23" i="170"/>
  <c r="B22" i="170"/>
  <c r="B17" i="170"/>
  <c r="B16" i="170"/>
  <c r="B15" i="170"/>
  <c r="B14" i="170"/>
  <c r="B13" i="170"/>
  <c r="B12" i="170"/>
  <c r="B11" i="170"/>
  <c r="B10" i="170"/>
  <c r="B9" i="170"/>
  <c r="B8" i="170"/>
  <c r="B7" i="170"/>
  <c r="B6" i="170"/>
  <c r="B5" i="170"/>
  <c r="B3" i="170"/>
  <c r="A5" i="170"/>
  <c r="A6" i="170"/>
  <c r="A7" i="170"/>
  <c r="A8" i="170"/>
  <c r="A9" i="170"/>
  <c r="A10" i="170"/>
  <c r="A11" i="170"/>
  <c r="A12" i="170"/>
  <c r="A13" i="170"/>
  <c r="A14" i="170"/>
  <c r="A15" i="170"/>
  <c r="A16" i="170"/>
  <c r="A17" i="170"/>
  <c r="A22" i="170"/>
  <c r="A23" i="170"/>
  <c r="A24" i="170"/>
  <c r="A25" i="170"/>
  <c r="A26" i="170"/>
  <c r="A27" i="170"/>
  <c r="A28" i="170"/>
  <c r="A29" i="170"/>
  <c r="A30" i="170"/>
  <c r="A35" i="170"/>
  <c r="A36" i="170"/>
  <c r="A3" i="170"/>
  <c r="A1" i="179"/>
  <c r="B4" i="126" l="1"/>
  <c r="B4" i="161"/>
  <c r="B4" i="162"/>
  <c r="B4" i="163"/>
  <c r="B4" i="141" l="1"/>
  <c r="B4" i="140"/>
  <c r="B4" i="139"/>
  <c r="B4" i="120"/>
  <c r="A3" i="141"/>
  <c r="A1" i="141" s="1"/>
  <c r="A3" i="120"/>
  <c r="A1" i="120" s="1"/>
  <c r="A3" i="140"/>
  <c r="A1" i="140" s="1"/>
  <c r="A3" i="139"/>
  <c r="A1" i="139" s="1"/>
  <c r="I19" i="147" l="1"/>
  <c r="A30" i="128"/>
  <c r="A4" i="128"/>
  <c r="D34" i="108"/>
  <c r="D34" i="109"/>
  <c r="D34" i="110"/>
  <c r="I34" i="110" s="1"/>
  <c r="D34" i="111"/>
  <c r="I34" i="111" s="1"/>
  <c r="D34" i="112"/>
  <c r="D34" i="113"/>
  <c r="D34" i="107"/>
  <c r="I34" i="107" s="1"/>
  <c r="I34" i="108"/>
  <c r="I34" i="109"/>
  <c r="I34" i="112"/>
  <c r="I34" i="113"/>
  <c r="D4" i="108" l="1"/>
  <c r="D4" i="109"/>
  <c r="D4" i="110"/>
  <c r="D4" i="111"/>
  <c r="D4" i="112"/>
  <c r="D4" i="113"/>
  <c r="D4" i="107"/>
  <c r="I41" i="167"/>
  <c r="I41" i="166"/>
  <c r="I41" i="168"/>
  <c r="I41" i="165"/>
  <c r="C41" i="167"/>
  <c r="C41" i="166"/>
  <c r="C41" i="168"/>
  <c r="C41" i="165"/>
  <c r="D3" i="167"/>
  <c r="I3" i="167" s="1"/>
  <c r="D3" i="166"/>
  <c r="I3" i="166" s="1"/>
  <c r="D3" i="168"/>
  <c r="I3" i="168" s="1"/>
  <c r="D3" i="165"/>
  <c r="I3" i="165" s="1"/>
  <c r="A3" i="133" l="1"/>
  <c r="D4" i="116"/>
  <c r="A3" i="145" l="1"/>
  <c r="A3" i="147"/>
  <c r="B6" i="146"/>
  <c r="A4" i="146"/>
  <c r="A3" i="122"/>
  <c r="E4" i="170" l="1"/>
  <c r="A4" i="170" l="1"/>
  <c r="B4" i="170"/>
  <c r="B22" i="122"/>
  <c r="B23" i="147" l="1"/>
  <c r="H23" i="147"/>
  <c r="H14" i="116" l="1"/>
  <c r="F23" i="120" s="1"/>
  <c r="E28" i="165" l="1"/>
  <c r="E29" i="165"/>
  <c r="E30" i="165"/>
  <c r="E31" i="165"/>
  <c r="E32" i="165"/>
  <c r="E33" i="165"/>
  <c r="E28" i="167"/>
  <c r="E29" i="167"/>
  <c r="E30" i="167"/>
  <c r="E31" i="167"/>
  <c r="E32" i="167"/>
  <c r="E33" i="167"/>
  <c r="E28" i="166"/>
  <c r="E29" i="166"/>
  <c r="E30" i="166"/>
  <c r="E31" i="166"/>
  <c r="E32" i="166"/>
  <c r="E33" i="166"/>
  <c r="E34" i="166" l="1"/>
  <c r="E34" i="165"/>
  <c r="E34" i="167"/>
  <c r="G40" i="145"/>
  <c r="G37" i="145"/>
  <c r="G21" i="107" l="1"/>
  <c r="H56" i="113" l="1"/>
  <c r="K51" i="105" l="1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H16" i="179" s="1"/>
  <c r="K35" i="105"/>
  <c r="K34" i="105"/>
  <c r="K33" i="105"/>
  <c r="K32" i="105"/>
  <c r="K31" i="105"/>
  <c r="K30" i="105"/>
  <c r="K29" i="105"/>
  <c r="K28" i="105"/>
  <c r="K27" i="105"/>
  <c r="H14" i="179" s="1"/>
  <c r="K26" i="105"/>
  <c r="K25" i="105"/>
  <c r="K24" i="105"/>
  <c r="K23" i="105"/>
  <c r="K22" i="105"/>
  <c r="H13" i="179" s="1"/>
  <c r="K21" i="105"/>
  <c r="K20" i="105"/>
  <c r="K19" i="105"/>
  <c r="K18" i="105"/>
  <c r="H12" i="179" s="1"/>
  <c r="K17" i="105"/>
  <c r="K16" i="105"/>
  <c r="K15" i="105"/>
  <c r="K14" i="105"/>
  <c r="K13" i="105"/>
  <c r="K12" i="105"/>
  <c r="K11" i="105"/>
  <c r="H10" i="179" s="1"/>
  <c r="K10" i="105"/>
  <c r="K9" i="105"/>
  <c r="K8" i="105"/>
  <c r="H9" i="179" s="1"/>
  <c r="K7" i="105"/>
  <c r="K6" i="105"/>
  <c r="G51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E16" i="179" s="1"/>
  <c r="G35" i="105"/>
  <c r="G34" i="105"/>
  <c r="G33" i="105"/>
  <c r="G32" i="105"/>
  <c r="G31" i="105"/>
  <c r="G30" i="105"/>
  <c r="G29" i="105"/>
  <c r="G28" i="105"/>
  <c r="G27" i="105"/>
  <c r="E14" i="179" s="1"/>
  <c r="G26" i="105"/>
  <c r="G25" i="105"/>
  <c r="G24" i="105"/>
  <c r="G23" i="105"/>
  <c r="G22" i="105"/>
  <c r="E13" i="179" s="1"/>
  <c r="G21" i="105"/>
  <c r="G20" i="105"/>
  <c r="G19" i="105"/>
  <c r="G18" i="105"/>
  <c r="E12" i="179" s="1"/>
  <c r="G17" i="105"/>
  <c r="G16" i="105"/>
  <c r="G15" i="105"/>
  <c r="G14" i="105"/>
  <c r="G13" i="105"/>
  <c r="G12" i="105"/>
  <c r="G11" i="105"/>
  <c r="E10" i="179" s="1"/>
  <c r="G10" i="105"/>
  <c r="G9" i="105"/>
  <c r="G8" i="105"/>
  <c r="E9" i="179" s="1"/>
  <c r="G7" i="105"/>
  <c r="G6" i="105"/>
  <c r="E36" i="170" l="1"/>
  <c r="E30" i="170"/>
  <c r="E29" i="170"/>
  <c r="E28" i="170"/>
  <c r="E27" i="170"/>
  <c r="E26" i="170"/>
  <c r="E25" i="170"/>
  <c r="E17" i="170"/>
  <c r="E16" i="170"/>
  <c r="E15" i="170"/>
  <c r="E14" i="170"/>
  <c r="E24" i="170"/>
  <c r="E13" i="170"/>
  <c r="E9" i="170"/>
  <c r="E6" i="170"/>
  <c r="R49" i="128" l="1"/>
  <c r="Q49" i="128"/>
  <c r="P49" i="128"/>
  <c r="O49" i="128"/>
  <c r="N49" i="128"/>
  <c r="M49" i="128"/>
  <c r="L49" i="128"/>
  <c r="K49" i="128"/>
  <c r="J49" i="128"/>
  <c r="I49" i="128"/>
  <c r="H49" i="128"/>
  <c r="G49" i="128"/>
  <c r="F49" i="128"/>
  <c r="E49" i="128"/>
  <c r="D49" i="128"/>
  <c r="C49" i="128"/>
  <c r="B49" i="128"/>
  <c r="R48" i="128"/>
  <c r="Q48" i="128"/>
  <c r="P48" i="128"/>
  <c r="O48" i="128"/>
  <c r="N48" i="128"/>
  <c r="M48" i="128"/>
  <c r="L48" i="128"/>
  <c r="K48" i="128"/>
  <c r="J48" i="128"/>
  <c r="I48" i="128"/>
  <c r="H48" i="128"/>
  <c r="G48" i="128"/>
  <c r="F48" i="128"/>
  <c r="E48" i="128"/>
  <c r="D48" i="128"/>
  <c r="C48" i="128"/>
  <c r="B48" i="128"/>
  <c r="R47" i="128"/>
  <c r="Q47" i="128"/>
  <c r="P47" i="128"/>
  <c r="O47" i="128"/>
  <c r="N47" i="128"/>
  <c r="M47" i="128"/>
  <c r="L47" i="128"/>
  <c r="K47" i="128"/>
  <c r="J47" i="128"/>
  <c r="I47" i="128"/>
  <c r="H47" i="128"/>
  <c r="G47" i="128"/>
  <c r="F47" i="128"/>
  <c r="E47" i="128"/>
  <c r="D47" i="128"/>
  <c r="C47" i="128"/>
  <c r="B47" i="128"/>
  <c r="R46" i="128"/>
  <c r="Q46" i="128"/>
  <c r="P46" i="128"/>
  <c r="O46" i="128"/>
  <c r="N46" i="128"/>
  <c r="M46" i="128"/>
  <c r="L46" i="128"/>
  <c r="K46" i="128"/>
  <c r="J46" i="128"/>
  <c r="I46" i="128"/>
  <c r="H46" i="128"/>
  <c r="G46" i="128"/>
  <c r="F46" i="128"/>
  <c r="E46" i="128"/>
  <c r="D46" i="128"/>
  <c r="C46" i="128"/>
  <c r="B46" i="128"/>
  <c r="R45" i="128"/>
  <c r="Q45" i="128"/>
  <c r="P45" i="128"/>
  <c r="O45" i="128"/>
  <c r="N45" i="128"/>
  <c r="M45" i="128"/>
  <c r="L45" i="128"/>
  <c r="K45" i="128"/>
  <c r="J45" i="128"/>
  <c r="I45" i="128"/>
  <c r="H45" i="128"/>
  <c r="G45" i="128"/>
  <c r="F45" i="128"/>
  <c r="E45" i="128"/>
  <c r="D45" i="128"/>
  <c r="C45" i="128"/>
  <c r="B45" i="128"/>
  <c r="R44" i="128"/>
  <c r="Q44" i="128"/>
  <c r="P44" i="128"/>
  <c r="O44" i="128"/>
  <c r="N44" i="128"/>
  <c r="M44" i="128"/>
  <c r="L44" i="128"/>
  <c r="K44" i="128"/>
  <c r="J44" i="128"/>
  <c r="I44" i="128"/>
  <c r="H44" i="128"/>
  <c r="G44" i="128"/>
  <c r="F44" i="128"/>
  <c r="E44" i="128"/>
  <c r="D44" i="128"/>
  <c r="C44" i="128"/>
  <c r="B44" i="128"/>
  <c r="R43" i="128"/>
  <c r="Q43" i="128"/>
  <c r="P43" i="128"/>
  <c r="O43" i="128"/>
  <c r="N43" i="128"/>
  <c r="M43" i="128"/>
  <c r="L43" i="128"/>
  <c r="K43" i="128"/>
  <c r="J43" i="128"/>
  <c r="I43" i="128"/>
  <c r="H43" i="128"/>
  <c r="G43" i="128"/>
  <c r="F43" i="128"/>
  <c r="E43" i="128"/>
  <c r="D43" i="128"/>
  <c r="C43" i="128"/>
  <c r="B43" i="128"/>
  <c r="E35" i="170" l="1"/>
  <c r="E22" i="170"/>
  <c r="E11" i="170"/>
  <c r="E10" i="170"/>
  <c r="E7" i="170"/>
  <c r="N30" i="146" l="1"/>
  <c r="O30" i="146"/>
  <c r="N31" i="146"/>
  <c r="O31" i="146"/>
  <c r="N32" i="146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O29" i="146"/>
  <c r="N29" i="146"/>
  <c r="O28" i="146"/>
  <c r="N28" i="146"/>
  <c r="M30" i="146"/>
  <c r="M31" i="146"/>
  <c r="M32" i="146"/>
  <c r="M33" i="146"/>
  <c r="M34" i="146"/>
  <c r="M35" i="146"/>
  <c r="M36" i="146"/>
  <c r="M37" i="146"/>
  <c r="M38" i="146"/>
  <c r="M39" i="146"/>
  <c r="M40" i="146"/>
  <c r="M29" i="146"/>
  <c r="F30" i="146"/>
  <c r="F31" i="146"/>
  <c r="F32" i="146"/>
  <c r="F33" i="146"/>
  <c r="F34" i="146"/>
  <c r="F35" i="146"/>
  <c r="F36" i="146"/>
  <c r="F37" i="146"/>
  <c r="F38" i="146"/>
  <c r="F39" i="146"/>
  <c r="F40" i="146"/>
  <c r="F29" i="146"/>
  <c r="E30" i="146"/>
  <c r="E31" i="146"/>
  <c r="E32" i="146"/>
  <c r="E33" i="146"/>
  <c r="E34" i="146"/>
  <c r="E35" i="146"/>
  <c r="E36" i="146"/>
  <c r="E37" i="146"/>
  <c r="E38" i="146"/>
  <c r="E39" i="146"/>
  <c r="E40" i="146"/>
  <c r="E29" i="146"/>
  <c r="D40" i="146"/>
  <c r="D30" i="146"/>
  <c r="D31" i="146"/>
  <c r="D32" i="146"/>
  <c r="D33" i="146"/>
  <c r="D34" i="146"/>
  <c r="D35" i="146"/>
  <c r="D36" i="146"/>
  <c r="D37" i="146"/>
  <c r="D38" i="146"/>
  <c r="D39" i="146"/>
  <c r="D29" i="146"/>
  <c r="O31" i="122"/>
  <c r="N29" i="122"/>
  <c r="O29" i="122"/>
  <c r="N30" i="122"/>
  <c r="O30" i="122"/>
  <c r="N31" i="122"/>
  <c r="N32" i="122"/>
  <c r="O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O28" i="122"/>
  <c r="N28" i="122"/>
  <c r="M29" i="122"/>
  <c r="M30" i="122"/>
  <c r="M31" i="122"/>
  <c r="M32" i="122"/>
  <c r="M33" i="122"/>
  <c r="M34" i="122"/>
  <c r="M35" i="122"/>
  <c r="M36" i="122"/>
  <c r="M37" i="122"/>
  <c r="M38" i="122"/>
  <c r="M39" i="122"/>
  <c r="M28" i="122"/>
  <c r="F29" i="122"/>
  <c r="F30" i="122"/>
  <c r="F31" i="122"/>
  <c r="F32" i="122"/>
  <c r="F33" i="122"/>
  <c r="F34" i="122"/>
  <c r="F35" i="122"/>
  <c r="F36" i="122"/>
  <c r="F37" i="122"/>
  <c r="F38" i="122"/>
  <c r="F39" i="122"/>
  <c r="F28" i="122"/>
  <c r="E29" i="122"/>
  <c r="E30" i="122"/>
  <c r="E31" i="122"/>
  <c r="E32" i="122"/>
  <c r="E33" i="122"/>
  <c r="E34" i="122"/>
  <c r="E35" i="122"/>
  <c r="E36" i="122"/>
  <c r="E37" i="122"/>
  <c r="E38" i="122"/>
  <c r="E39" i="122"/>
  <c r="E28" i="122"/>
  <c r="D38" i="122"/>
  <c r="D39" i="122"/>
  <c r="D29" i="122"/>
  <c r="D30" i="122"/>
  <c r="D31" i="122"/>
  <c r="D32" i="122"/>
  <c r="D33" i="122"/>
  <c r="D34" i="122"/>
  <c r="D35" i="122"/>
  <c r="D36" i="122"/>
  <c r="D37" i="122"/>
  <c r="D28" i="122"/>
  <c r="E23" i="170" l="1"/>
  <c r="E12" i="170"/>
  <c r="E8" i="170"/>
  <c r="E5" i="170"/>
  <c r="E3" i="170"/>
  <c r="A57" i="108" l="1"/>
  <c r="A57" i="109"/>
  <c r="A57" i="110"/>
  <c r="A57" i="111"/>
  <c r="A57" i="112"/>
  <c r="A57" i="113"/>
  <c r="A57" i="107"/>
  <c r="A51" i="108"/>
  <c r="A51" i="109"/>
  <c r="A51" i="110"/>
  <c r="A51" i="111"/>
  <c r="A51" i="112"/>
  <c r="A51" i="113"/>
  <c r="A51" i="107"/>
  <c r="A45" i="108"/>
  <c r="A45" i="109"/>
  <c r="A45" i="110"/>
  <c r="A45" i="111"/>
  <c r="A45" i="112"/>
  <c r="A45" i="113"/>
  <c r="A45" i="107"/>
  <c r="A39" i="108"/>
  <c r="A39" i="109"/>
  <c r="A39" i="110"/>
  <c r="A39" i="111"/>
  <c r="A39" i="112"/>
  <c r="A39" i="113"/>
  <c r="A39" i="107"/>
  <c r="A27" i="108"/>
  <c r="A27" i="109"/>
  <c r="A27" i="110"/>
  <c r="A27" i="111"/>
  <c r="A27" i="112"/>
  <c r="A27" i="113"/>
  <c r="A27" i="107"/>
  <c r="A21" i="108"/>
  <c r="A21" i="109"/>
  <c r="A21" i="110"/>
  <c r="A21" i="111"/>
  <c r="A21" i="112"/>
  <c r="A21" i="113"/>
  <c r="A21" i="107"/>
  <c r="A15" i="108"/>
  <c r="A15" i="109"/>
  <c r="A15" i="110"/>
  <c r="A15" i="111"/>
  <c r="A15" i="112"/>
  <c r="A15" i="113"/>
  <c r="A15" i="107"/>
  <c r="A9" i="108"/>
  <c r="A9" i="109"/>
  <c r="A9" i="110"/>
  <c r="A9" i="111"/>
  <c r="A9" i="112"/>
  <c r="A9" i="113"/>
  <c r="A9" i="107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E34" i="170" l="1"/>
  <c r="D11" i="161"/>
  <c r="E32" i="170"/>
  <c r="E33" i="170"/>
  <c r="E31" i="170"/>
  <c r="C10" i="126"/>
  <c r="D10" i="126"/>
  <c r="B10" i="126"/>
  <c r="C9" i="126"/>
  <c r="D9" i="126"/>
  <c r="B9" i="126"/>
  <c r="C8" i="126"/>
  <c r="D8" i="126"/>
  <c r="B8" i="126"/>
  <c r="C7" i="126"/>
  <c r="D7" i="126"/>
  <c r="B7" i="126"/>
  <c r="A3" i="163"/>
  <c r="A1" i="163" s="1"/>
  <c r="A3" i="162"/>
  <c r="A3" i="161"/>
  <c r="A3" i="126"/>
  <c r="D44" i="168"/>
  <c r="C44" i="168"/>
  <c r="D43" i="168"/>
  <c r="C43" i="168"/>
  <c r="D42" i="168"/>
  <c r="C42" i="168"/>
  <c r="J33" i="168"/>
  <c r="I33" i="168"/>
  <c r="F33" i="168"/>
  <c r="E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J28" i="168"/>
  <c r="I28" i="168"/>
  <c r="F28" i="168"/>
  <c r="E28" i="168"/>
  <c r="D28" i="168"/>
  <c r="A28" i="168"/>
  <c r="A37" i="168" s="1"/>
  <c r="H27" i="168"/>
  <c r="F10" i="162" s="1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K21" i="168"/>
  <c r="H21" i="168"/>
  <c r="G21" i="168"/>
  <c r="A21" i="168"/>
  <c r="B44" i="168" s="1"/>
  <c r="H20" i="168"/>
  <c r="F10" i="161" s="1"/>
  <c r="K19" i="168"/>
  <c r="H19" i="168"/>
  <c r="G19" i="168"/>
  <c r="K18" i="168"/>
  <c r="H18" i="168"/>
  <c r="G18" i="168"/>
  <c r="K17" i="168"/>
  <c r="H17" i="168"/>
  <c r="G17" i="168"/>
  <c r="K16" i="168"/>
  <c r="H16" i="168"/>
  <c r="G16" i="168"/>
  <c r="K15" i="168"/>
  <c r="H15" i="168"/>
  <c r="G15" i="168"/>
  <c r="K14" i="168"/>
  <c r="H14" i="168"/>
  <c r="G14" i="168"/>
  <c r="A14" i="168"/>
  <c r="H43" i="168" s="1"/>
  <c r="H13" i="168"/>
  <c r="F10" i="126" s="1"/>
  <c r="K12" i="168"/>
  <c r="H12" i="168"/>
  <c r="G12" i="168"/>
  <c r="K11" i="168"/>
  <c r="H11" i="168"/>
  <c r="G11" i="168"/>
  <c r="K10" i="168"/>
  <c r="H10" i="168"/>
  <c r="G10" i="168"/>
  <c r="K9" i="168"/>
  <c r="H9" i="168"/>
  <c r="G9" i="168"/>
  <c r="K8" i="168"/>
  <c r="H8" i="168"/>
  <c r="G8" i="168"/>
  <c r="K7" i="168"/>
  <c r="H7" i="168"/>
  <c r="G7" i="168"/>
  <c r="A7" i="168"/>
  <c r="B42" i="168" s="1"/>
  <c r="D44" i="167"/>
  <c r="C44" i="167"/>
  <c r="D43" i="167"/>
  <c r="C43" i="167"/>
  <c r="D42" i="167"/>
  <c r="C42" i="167"/>
  <c r="J33" i="167"/>
  <c r="I33" i="167"/>
  <c r="F33" i="167"/>
  <c r="J32" i="167"/>
  <c r="I32" i="167"/>
  <c r="F32" i="167"/>
  <c r="D32" i="167"/>
  <c r="J31" i="167"/>
  <c r="I31" i="167"/>
  <c r="F31" i="167"/>
  <c r="D31" i="167"/>
  <c r="J30" i="167"/>
  <c r="I30" i="167"/>
  <c r="F30" i="167"/>
  <c r="D30" i="167"/>
  <c r="J29" i="167"/>
  <c r="I29" i="167"/>
  <c r="F29" i="167"/>
  <c r="D29" i="167"/>
  <c r="J28" i="167"/>
  <c r="I28" i="167"/>
  <c r="F28" i="167"/>
  <c r="D28" i="167"/>
  <c r="A28" i="167"/>
  <c r="A37" i="167" s="1"/>
  <c r="H27" i="167"/>
  <c r="F8" i="162" s="1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K21" i="167"/>
  <c r="H21" i="167"/>
  <c r="G21" i="167"/>
  <c r="A21" i="167"/>
  <c r="B44" i="167" s="1"/>
  <c r="H20" i="167"/>
  <c r="F8" i="161" s="1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K14" i="167"/>
  <c r="H14" i="167"/>
  <c r="G14" i="167"/>
  <c r="A14" i="167"/>
  <c r="H43" i="167" s="1"/>
  <c r="H13" i="167"/>
  <c r="F8" i="126" s="1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K7" i="167"/>
  <c r="H7" i="167"/>
  <c r="G7" i="167"/>
  <c r="A7" i="167"/>
  <c r="B42" i="167" s="1"/>
  <c r="D44" i="166"/>
  <c r="C44" i="166"/>
  <c r="D43" i="166"/>
  <c r="C43" i="166"/>
  <c r="D42" i="166"/>
  <c r="C42" i="166"/>
  <c r="J33" i="166"/>
  <c r="I33" i="166"/>
  <c r="F33" i="166"/>
  <c r="J32" i="166"/>
  <c r="I32" i="166"/>
  <c r="F32" i="166"/>
  <c r="D32" i="166"/>
  <c r="J31" i="166"/>
  <c r="I31" i="166"/>
  <c r="F31" i="166"/>
  <c r="D31" i="166"/>
  <c r="J30" i="166"/>
  <c r="I30" i="166"/>
  <c r="F30" i="166"/>
  <c r="D30" i="166"/>
  <c r="J29" i="166"/>
  <c r="I29" i="166"/>
  <c r="F29" i="166"/>
  <c r="D29" i="166"/>
  <c r="J28" i="166"/>
  <c r="I28" i="166"/>
  <c r="F28" i="166"/>
  <c r="D28" i="166"/>
  <c r="A28" i="166"/>
  <c r="A37" i="166" s="1"/>
  <c r="H27" i="166"/>
  <c r="F9" i="162" s="1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K21" i="166"/>
  <c r="H21" i="166"/>
  <c r="G21" i="166"/>
  <c r="A21" i="166"/>
  <c r="B44" i="166" s="1"/>
  <c r="H20" i="166"/>
  <c r="F9" i="161" s="1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K14" i="166"/>
  <c r="H14" i="166"/>
  <c r="G14" i="166"/>
  <c r="A14" i="166"/>
  <c r="H43" i="166" s="1"/>
  <c r="H13" i="166"/>
  <c r="F9" i="126" s="1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K7" i="166"/>
  <c r="H7" i="166"/>
  <c r="G7" i="166"/>
  <c r="A7" i="166"/>
  <c r="B42" i="166" s="1"/>
  <c r="D44" i="165"/>
  <c r="C44" i="165"/>
  <c r="D43" i="165"/>
  <c r="C43" i="165"/>
  <c r="D42" i="165"/>
  <c r="C42" i="165"/>
  <c r="J33" i="165"/>
  <c r="I33" i="165"/>
  <c r="F33" i="165"/>
  <c r="J32" i="165"/>
  <c r="I32" i="165"/>
  <c r="F32" i="165"/>
  <c r="D32" i="165"/>
  <c r="J31" i="165"/>
  <c r="I31" i="165"/>
  <c r="F31" i="165"/>
  <c r="D31" i="165"/>
  <c r="J30" i="165"/>
  <c r="I30" i="165"/>
  <c r="F30" i="165"/>
  <c r="D30" i="165"/>
  <c r="J29" i="165"/>
  <c r="I29" i="165"/>
  <c r="F29" i="165"/>
  <c r="D29" i="165"/>
  <c r="J28" i="165"/>
  <c r="I28" i="165"/>
  <c r="F28" i="165"/>
  <c r="D28" i="165"/>
  <c r="A28" i="165"/>
  <c r="A37" i="165" s="1"/>
  <c r="H27" i="165"/>
  <c r="F7" i="162" s="1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K21" i="165"/>
  <c r="H21" i="165"/>
  <c r="G21" i="165"/>
  <c r="A21" i="165"/>
  <c r="B44" i="165" s="1"/>
  <c r="H20" i="165"/>
  <c r="F7" i="161" s="1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K14" i="165"/>
  <c r="H14" i="165"/>
  <c r="G14" i="165"/>
  <c r="A14" i="165"/>
  <c r="B43" i="165" s="1"/>
  <c r="H13" i="165"/>
  <c r="F7" i="126" s="1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K7" i="165"/>
  <c r="H7" i="165"/>
  <c r="G7" i="165"/>
  <c r="A7" i="165"/>
  <c r="B42" i="165" s="1"/>
  <c r="A29" i="116"/>
  <c r="A22" i="116"/>
  <c r="A15" i="116"/>
  <c r="A8" i="116"/>
  <c r="H3" i="145"/>
  <c r="E3" i="145"/>
  <c r="B3" i="145"/>
  <c r="B41" i="145" s="1"/>
  <c r="A34" i="170" l="1"/>
  <c r="B34" i="170"/>
  <c r="A1" i="162"/>
  <c r="E20" i="170" s="1"/>
  <c r="B32" i="170"/>
  <c r="A32" i="170"/>
  <c r="A33" i="170"/>
  <c r="B33" i="170"/>
  <c r="A1" i="161"/>
  <c r="E19" i="170" s="1"/>
  <c r="A1" i="126"/>
  <c r="E18" i="170" s="1"/>
  <c r="A31" i="170"/>
  <c r="B31" i="170"/>
  <c r="C45" i="167"/>
  <c r="E21" i="170"/>
  <c r="H28" i="166"/>
  <c r="H32" i="166"/>
  <c r="H28" i="167"/>
  <c r="H32" i="167"/>
  <c r="H29" i="167"/>
  <c r="C11" i="126"/>
  <c r="E8" i="126" s="1"/>
  <c r="H32" i="165"/>
  <c r="H33" i="165"/>
  <c r="H28" i="168"/>
  <c r="B11" i="126"/>
  <c r="C45" i="166"/>
  <c r="D45" i="167"/>
  <c r="H30" i="166"/>
  <c r="D45" i="166"/>
  <c r="K13" i="168"/>
  <c r="K20" i="168"/>
  <c r="K27" i="168"/>
  <c r="H30" i="168"/>
  <c r="C45" i="168"/>
  <c r="K20" i="165"/>
  <c r="C7" i="163"/>
  <c r="G13" i="166"/>
  <c r="G27" i="166"/>
  <c r="D34" i="166"/>
  <c r="B9" i="163" s="1"/>
  <c r="H29" i="168"/>
  <c r="D41" i="168"/>
  <c r="G37" i="168"/>
  <c r="D34" i="167"/>
  <c r="B8" i="163" s="1"/>
  <c r="I34" i="165"/>
  <c r="K20" i="166"/>
  <c r="K27" i="166"/>
  <c r="H31" i="166"/>
  <c r="J34" i="167"/>
  <c r="H31" i="167"/>
  <c r="G13" i="168"/>
  <c r="G20" i="168"/>
  <c r="G27" i="168"/>
  <c r="D34" i="168"/>
  <c r="B10" i="163" s="1"/>
  <c r="H32" i="168"/>
  <c r="D45" i="168"/>
  <c r="H31" i="165"/>
  <c r="H29" i="166"/>
  <c r="H30" i="167"/>
  <c r="J34" i="168"/>
  <c r="G37" i="165"/>
  <c r="D41" i="166"/>
  <c r="J41" i="165"/>
  <c r="D41" i="167"/>
  <c r="G37" i="166"/>
  <c r="H43" i="165"/>
  <c r="G37" i="167"/>
  <c r="H31" i="168"/>
  <c r="F34" i="168"/>
  <c r="D10" i="163" s="1"/>
  <c r="F34" i="166"/>
  <c r="D9" i="163" s="1"/>
  <c r="G20" i="166"/>
  <c r="J34" i="166"/>
  <c r="K13" i="166"/>
  <c r="K13" i="167"/>
  <c r="K20" i="167"/>
  <c r="K27" i="167"/>
  <c r="G13" i="167"/>
  <c r="G20" i="167"/>
  <c r="G27" i="167"/>
  <c r="F34" i="167"/>
  <c r="D8" i="163" s="1"/>
  <c r="K13" i="165"/>
  <c r="K27" i="165"/>
  <c r="G20" i="165"/>
  <c r="G27" i="165"/>
  <c r="H33" i="168"/>
  <c r="B43" i="168"/>
  <c r="E34" i="168"/>
  <c r="I34" i="168"/>
  <c r="K28" i="168" s="1"/>
  <c r="H42" i="168"/>
  <c r="H44" i="168"/>
  <c r="H33" i="167"/>
  <c r="B43" i="167"/>
  <c r="I34" i="167"/>
  <c r="K32" i="167" s="1"/>
  <c r="H42" i="167"/>
  <c r="H44" i="167"/>
  <c r="H33" i="166"/>
  <c r="B43" i="166"/>
  <c r="I34" i="166"/>
  <c r="K31" i="166" s="1"/>
  <c r="H42" i="166"/>
  <c r="H44" i="166"/>
  <c r="H29" i="165"/>
  <c r="D45" i="165"/>
  <c r="H30" i="165"/>
  <c r="J34" i="165"/>
  <c r="G13" i="165"/>
  <c r="F34" i="165"/>
  <c r="C45" i="165"/>
  <c r="D34" i="165"/>
  <c r="H28" i="165"/>
  <c r="H42" i="165"/>
  <c r="H44" i="165"/>
  <c r="B21" i="170" l="1"/>
  <c r="A21" i="170"/>
  <c r="B19" i="170"/>
  <c r="A19" i="170"/>
  <c r="B20" i="170"/>
  <c r="A20" i="170"/>
  <c r="B18" i="170"/>
  <c r="A18" i="170"/>
  <c r="J41" i="166"/>
  <c r="D41" i="165"/>
  <c r="D7" i="163"/>
  <c r="B7" i="163"/>
  <c r="J43" i="165"/>
  <c r="K30" i="165"/>
  <c r="J41" i="168"/>
  <c r="G31" i="165"/>
  <c r="I44" i="165"/>
  <c r="E7" i="126"/>
  <c r="E10" i="126"/>
  <c r="E9" i="126"/>
  <c r="G30" i="165"/>
  <c r="G33" i="165"/>
  <c r="K32" i="165"/>
  <c r="I43" i="165"/>
  <c r="J42" i="165"/>
  <c r="G29" i="165"/>
  <c r="G32" i="165"/>
  <c r="G28" i="165"/>
  <c r="I42" i="165"/>
  <c r="K31" i="165"/>
  <c r="G29" i="166"/>
  <c r="C9" i="163"/>
  <c r="G31" i="167"/>
  <c r="C8" i="163"/>
  <c r="G33" i="168"/>
  <c r="C10" i="163"/>
  <c r="K28" i="165"/>
  <c r="H34" i="165"/>
  <c r="F7" i="163" s="1"/>
  <c r="H33" i="179" s="1"/>
  <c r="K29" i="165"/>
  <c r="J44" i="165"/>
  <c r="K33" i="165"/>
  <c r="J41" i="167"/>
  <c r="G30" i="168"/>
  <c r="K30" i="166"/>
  <c r="K32" i="166"/>
  <c r="G30" i="167"/>
  <c r="I44" i="168"/>
  <c r="I42" i="168"/>
  <c r="I43" i="168"/>
  <c r="H34" i="168"/>
  <c r="F10" i="163" s="1"/>
  <c r="H36" i="179" s="1"/>
  <c r="G32" i="168"/>
  <c r="K32" i="168"/>
  <c r="K29" i="168"/>
  <c r="K30" i="168"/>
  <c r="G31" i="168"/>
  <c r="G28" i="168"/>
  <c r="G29" i="168"/>
  <c r="J44" i="168"/>
  <c r="J42" i="168"/>
  <c r="J43" i="168"/>
  <c r="K33" i="168"/>
  <c r="K31" i="168"/>
  <c r="I44" i="167"/>
  <c r="I42" i="167"/>
  <c r="I43" i="167"/>
  <c r="H34" i="167"/>
  <c r="F8" i="163" s="1"/>
  <c r="H34" i="179" s="1"/>
  <c r="G32" i="167"/>
  <c r="K29" i="167"/>
  <c r="K28" i="167"/>
  <c r="K33" i="167"/>
  <c r="G28" i="167"/>
  <c r="G29" i="167"/>
  <c r="J44" i="167"/>
  <c r="J42" i="167"/>
  <c r="J43" i="167"/>
  <c r="G33" i="167"/>
  <c r="K30" i="167"/>
  <c r="K31" i="167"/>
  <c r="G32" i="166"/>
  <c r="I44" i="166"/>
  <c r="I42" i="166"/>
  <c r="I43" i="166"/>
  <c r="H34" i="166"/>
  <c r="F9" i="163" s="1"/>
  <c r="H35" i="179" s="1"/>
  <c r="G33" i="166"/>
  <c r="G28" i="166"/>
  <c r="K28" i="166"/>
  <c r="G30" i="166"/>
  <c r="J44" i="166"/>
  <c r="J42" i="166"/>
  <c r="J43" i="166"/>
  <c r="K33" i="166"/>
  <c r="G31" i="166"/>
  <c r="K29" i="166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G20" i="107" l="1"/>
  <c r="G14" i="107"/>
  <c r="G26" i="107"/>
  <c r="I45" i="165"/>
  <c r="J45" i="165"/>
  <c r="E11" i="126"/>
  <c r="G34" i="165"/>
  <c r="K34" i="165"/>
  <c r="I45" i="167"/>
  <c r="J45" i="167"/>
  <c r="G34" i="166"/>
  <c r="K34" i="168"/>
  <c r="J45" i="168"/>
  <c r="G34" i="168"/>
  <c r="I45" i="168"/>
  <c r="I45" i="166"/>
  <c r="J45" i="166"/>
  <c r="K34" i="166"/>
  <c r="K34" i="167"/>
  <c r="G34" i="167"/>
  <c r="K55" i="113"/>
  <c r="K54" i="113"/>
  <c r="K53" i="113"/>
  <c r="K52" i="113"/>
  <c r="K51" i="113"/>
  <c r="K49" i="113"/>
  <c r="K48" i="113"/>
  <c r="K47" i="113"/>
  <c r="K46" i="113"/>
  <c r="K45" i="113"/>
  <c r="K43" i="113"/>
  <c r="K42" i="113"/>
  <c r="K41" i="113"/>
  <c r="K40" i="113"/>
  <c r="K39" i="113"/>
  <c r="K55" i="112"/>
  <c r="K54" i="112"/>
  <c r="K53" i="112"/>
  <c r="K52" i="112"/>
  <c r="K51" i="112"/>
  <c r="K49" i="112"/>
  <c r="K48" i="112"/>
  <c r="K47" i="112"/>
  <c r="K46" i="112"/>
  <c r="K45" i="112"/>
  <c r="K43" i="112"/>
  <c r="K42" i="112"/>
  <c r="K41" i="112"/>
  <c r="K40" i="112"/>
  <c r="K39" i="112"/>
  <c r="K55" i="111"/>
  <c r="K54" i="111"/>
  <c r="K53" i="111"/>
  <c r="K52" i="111"/>
  <c r="K51" i="111"/>
  <c r="K49" i="111"/>
  <c r="K48" i="111"/>
  <c r="K47" i="111"/>
  <c r="K46" i="111"/>
  <c r="K45" i="111"/>
  <c r="K43" i="111"/>
  <c r="K42" i="111"/>
  <c r="K41" i="111"/>
  <c r="K40" i="111"/>
  <c r="K39" i="111"/>
  <c r="K55" i="110"/>
  <c r="K54" i="110"/>
  <c r="K53" i="110"/>
  <c r="K52" i="110"/>
  <c r="K51" i="110"/>
  <c r="K49" i="110"/>
  <c r="K48" i="110"/>
  <c r="K47" i="110"/>
  <c r="K46" i="110"/>
  <c r="K45" i="110"/>
  <c r="K43" i="110"/>
  <c r="K42" i="110"/>
  <c r="K41" i="110"/>
  <c r="K40" i="110"/>
  <c r="K39" i="110"/>
  <c r="K55" i="109"/>
  <c r="K54" i="109"/>
  <c r="K53" i="109"/>
  <c r="K52" i="109"/>
  <c r="K51" i="109"/>
  <c r="K49" i="109"/>
  <c r="K48" i="109"/>
  <c r="K47" i="109"/>
  <c r="K46" i="109"/>
  <c r="K45" i="109"/>
  <c r="K43" i="109"/>
  <c r="K42" i="109"/>
  <c r="K41" i="109"/>
  <c r="K40" i="109"/>
  <c r="K39" i="109"/>
  <c r="K55" i="108"/>
  <c r="K54" i="108"/>
  <c r="K53" i="108"/>
  <c r="K52" i="108"/>
  <c r="K51" i="108"/>
  <c r="K49" i="108"/>
  <c r="K48" i="108"/>
  <c r="K47" i="108"/>
  <c r="K46" i="108"/>
  <c r="K45" i="108"/>
  <c r="K43" i="108"/>
  <c r="K42" i="108"/>
  <c r="K41" i="108"/>
  <c r="K40" i="108"/>
  <c r="K39" i="108"/>
  <c r="K25" i="113"/>
  <c r="K24" i="113"/>
  <c r="K23" i="113"/>
  <c r="K22" i="113"/>
  <c r="K21" i="113"/>
  <c r="K19" i="113"/>
  <c r="K18" i="113"/>
  <c r="K17" i="113"/>
  <c r="K16" i="113"/>
  <c r="K15" i="113"/>
  <c r="K13" i="113"/>
  <c r="K12" i="113"/>
  <c r="K11" i="113"/>
  <c r="K10" i="113"/>
  <c r="K9" i="113"/>
  <c r="K25" i="112"/>
  <c r="K24" i="112"/>
  <c r="K23" i="112"/>
  <c r="K22" i="112"/>
  <c r="K21" i="112"/>
  <c r="K19" i="112"/>
  <c r="K18" i="112"/>
  <c r="K17" i="112"/>
  <c r="K16" i="112"/>
  <c r="K15" i="112"/>
  <c r="K13" i="112"/>
  <c r="K12" i="112"/>
  <c r="K11" i="112"/>
  <c r="K10" i="112"/>
  <c r="K9" i="112"/>
  <c r="K25" i="111"/>
  <c r="K24" i="111"/>
  <c r="K23" i="111"/>
  <c r="K22" i="111"/>
  <c r="K21" i="111"/>
  <c r="K19" i="111"/>
  <c r="K18" i="111"/>
  <c r="K17" i="111"/>
  <c r="K16" i="111"/>
  <c r="K15" i="111"/>
  <c r="K13" i="111"/>
  <c r="K12" i="111"/>
  <c r="K11" i="111"/>
  <c r="K10" i="111"/>
  <c r="K9" i="111"/>
  <c r="K25" i="110"/>
  <c r="K24" i="110"/>
  <c r="K23" i="110"/>
  <c r="K22" i="110"/>
  <c r="K21" i="110"/>
  <c r="K19" i="110"/>
  <c r="K18" i="110"/>
  <c r="K17" i="110"/>
  <c r="K16" i="110"/>
  <c r="K15" i="110"/>
  <c r="K13" i="110"/>
  <c r="K12" i="110"/>
  <c r="K11" i="110"/>
  <c r="K10" i="110"/>
  <c r="K9" i="110"/>
  <c r="K25" i="109"/>
  <c r="K24" i="109"/>
  <c r="K23" i="109"/>
  <c r="K22" i="109"/>
  <c r="K21" i="109"/>
  <c r="K19" i="109"/>
  <c r="K18" i="109"/>
  <c r="K17" i="109"/>
  <c r="K16" i="109"/>
  <c r="K15" i="109"/>
  <c r="K13" i="109"/>
  <c r="K12" i="109"/>
  <c r="K11" i="109"/>
  <c r="K10" i="109"/>
  <c r="K9" i="109"/>
  <c r="K25" i="108"/>
  <c r="K24" i="108"/>
  <c r="K23" i="108"/>
  <c r="K22" i="108"/>
  <c r="K21" i="108"/>
  <c r="K19" i="108"/>
  <c r="K18" i="108"/>
  <c r="K17" i="108"/>
  <c r="K16" i="108"/>
  <c r="K15" i="108"/>
  <c r="K13" i="108"/>
  <c r="K12" i="108"/>
  <c r="K11" i="108"/>
  <c r="K10" i="108"/>
  <c r="K9" i="108"/>
  <c r="K14" i="112" l="1"/>
  <c r="K44" i="110"/>
  <c r="K56" i="112"/>
  <c r="K26" i="110"/>
  <c r="K56" i="108"/>
  <c r="K20" i="113"/>
  <c r="K14" i="108"/>
  <c r="K44" i="113"/>
  <c r="K50" i="113"/>
  <c r="K56" i="113"/>
  <c r="K26" i="113"/>
  <c r="K14" i="113"/>
  <c r="K44" i="112"/>
  <c r="K50" i="112"/>
  <c r="K20" i="112"/>
  <c r="K26" i="112"/>
  <c r="K50" i="111"/>
  <c r="K56" i="111"/>
  <c r="K44" i="111"/>
  <c r="K14" i="111"/>
  <c r="K20" i="111"/>
  <c r="K26" i="111"/>
  <c r="K50" i="110"/>
  <c r="K56" i="110"/>
  <c r="K14" i="110"/>
  <c r="K20" i="110"/>
  <c r="K44" i="109"/>
  <c r="K50" i="109"/>
  <c r="K56" i="109"/>
  <c r="K14" i="109"/>
  <c r="K20" i="109"/>
  <c r="K26" i="109"/>
  <c r="K44" i="108"/>
  <c r="K50" i="108"/>
  <c r="K20" i="108"/>
  <c r="K26" i="108"/>
  <c r="F40" i="145" l="1"/>
  <c r="D22" i="140" l="1"/>
  <c r="C22" i="140"/>
  <c r="D22" i="139"/>
  <c r="C22" i="139"/>
  <c r="D22" i="120"/>
  <c r="C22" i="120"/>
  <c r="K17" i="107" l="1"/>
  <c r="I27" i="107"/>
  <c r="J61" i="108"/>
  <c r="I61" i="108"/>
  <c r="J60" i="108"/>
  <c r="I60" i="108"/>
  <c r="J59" i="108"/>
  <c r="I59" i="108"/>
  <c r="J58" i="108"/>
  <c r="I58" i="108"/>
  <c r="J57" i="108"/>
  <c r="I57" i="108"/>
  <c r="J61" i="109"/>
  <c r="I61" i="109"/>
  <c r="J60" i="109"/>
  <c r="I60" i="109"/>
  <c r="J59" i="109"/>
  <c r="I59" i="109"/>
  <c r="J58" i="109"/>
  <c r="I58" i="109"/>
  <c r="J57" i="109"/>
  <c r="I57" i="109"/>
  <c r="J61" i="110"/>
  <c r="I61" i="110"/>
  <c r="J60" i="110"/>
  <c r="I60" i="110"/>
  <c r="J59" i="110"/>
  <c r="I59" i="110"/>
  <c r="J58" i="110"/>
  <c r="I58" i="110"/>
  <c r="J57" i="110"/>
  <c r="I57" i="110"/>
  <c r="J61" i="111"/>
  <c r="I61" i="111"/>
  <c r="J60" i="111"/>
  <c r="I60" i="111"/>
  <c r="J59" i="111"/>
  <c r="I59" i="111"/>
  <c r="J58" i="111"/>
  <c r="I58" i="111"/>
  <c r="J57" i="111"/>
  <c r="I57" i="111"/>
  <c r="J61" i="112"/>
  <c r="I61" i="112"/>
  <c r="J60" i="112"/>
  <c r="I60" i="112"/>
  <c r="J59" i="112"/>
  <c r="I59" i="112"/>
  <c r="J58" i="112"/>
  <c r="I58" i="112"/>
  <c r="J57" i="112"/>
  <c r="I57" i="112"/>
  <c r="J61" i="113"/>
  <c r="I61" i="113"/>
  <c r="J60" i="113"/>
  <c r="I60" i="113"/>
  <c r="J59" i="113"/>
  <c r="I59" i="113"/>
  <c r="J58" i="113"/>
  <c r="I58" i="113"/>
  <c r="J57" i="113"/>
  <c r="I57" i="113"/>
  <c r="J61" i="107"/>
  <c r="I61" i="107"/>
  <c r="J60" i="107"/>
  <c r="I60" i="107"/>
  <c r="J59" i="107"/>
  <c r="I59" i="107"/>
  <c r="J58" i="107"/>
  <c r="I58" i="107"/>
  <c r="J57" i="107"/>
  <c r="I57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2" i="110" l="1"/>
  <c r="K60" i="110" s="1"/>
  <c r="I62" i="108"/>
  <c r="K59" i="108" s="1"/>
  <c r="J32" i="107"/>
  <c r="I32" i="113"/>
  <c r="K31" i="113" s="1"/>
  <c r="J32" i="113"/>
  <c r="I62" i="112"/>
  <c r="K60" i="112" s="1"/>
  <c r="J62" i="111"/>
  <c r="J32" i="111"/>
  <c r="I32" i="111"/>
  <c r="K31" i="111" s="1"/>
  <c r="J62" i="109"/>
  <c r="I32" i="109"/>
  <c r="K28" i="109" s="1"/>
  <c r="J32" i="109"/>
  <c r="I62" i="107"/>
  <c r="I32" i="107"/>
  <c r="J62" i="113"/>
  <c r="I62" i="113"/>
  <c r="K57" i="113" s="1"/>
  <c r="J62" i="112"/>
  <c r="J32" i="112"/>
  <c r="I32" i="112"/>
  <c r="K31" i="112" s="1"/>
  <c r="I62" i="111"/>
  <c r="K57" i="111" s="1"/>
  <c r="J62" i="110"/>
  <c r="J32" i="110"/>
  <c r="I32" i="110"/>
  <c r="K31" i="110" s="1"/>
  <c r="I62" i="109"/>
  <c r="K61" i="109" s="1"/>
  <c r="J62" i="108"/>
  <c r="J32" i="108"/>
  <c r="I32" i="108"/>
  <c r="K30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9" i="112" l="1"/>
  <c r="K61" i="110"/>
  <c r="K57" i="109"/>
  <c r="K31" i="109"/>
  <c r="K58" i="113"/>
  <c r="K61" i="113"/>
  <c r="K29" i="111"/>
  <c r="K27" i="111"/>
  <c r="K28" i="111"/>
  <c r="K58" i="110"/>
  <c r="K30" i="110"/>
  <c r="K29" i="110"/>
  <c r="K59" i="109"/>
  <c r="K60" i="109"/>
  <c r="K30" i="109"/>
  <c r="K27" i="109"/>
  <c r="K31" i="108"/>
  <c r="K28" i="108"/>
  <c r="K59" i="113"/>
  <c r="K60" i="113"/>
  <c r="K29" i="113"/>
  <c r="K27" i="113"/>
  <c r="K30" i="113"/>
  <c r="K28" i="113"/>
  <c r="K61" i="112"/>
  <c r="K58" i="112"/>
  <c r="K59" i="112"/>
  <c r="K57" i="112"/>
  <c r="K30" i="112"/>
  <c r="K27" i="112"/>
  <c r="K28" i="112"/>
  <c r="K61" i="111"/>
  <c r="K58" i="111"/>
  <c r="K59" i="111"/>
  <c r="K60" i="111"/>
  <c r="K30" i="111"/>
  <c r="K59" i="110"/>
  <c r="K57" i="110"/>
  <c r="K28" i="110"/>
  <c r="K27" i="110"/>
  <c r="K58" i="109"/>
  <c r="K29" i="109"/>
  <c r="K60" i="108"/>
  <c r="K58" i="108"/>
  <c r="K57" i="108"/>
  <c r="K61" i="108"/>
  <c r="K29" i="108"/>
  <c r="K27" i="108"/>
  <c r="K9" i="163"/>
  <c r="K10" i="163"/>
  <c r="K7" i="163"/>
  <c r="K8" i="163"/>
  <c r="K11" i="163"/>
  <c r="K62" i="111" l="1"/>
  <c r="K32" i="110"/>
  <c r="K62" i="113"/>
  <c r="K32" i="113"/>
  <c r="K62" i="109"/>
  <c r="K32" i="108"/>
  <c r="K62" i="108"/>
  <c r="K62" i="112"/>
  <c r="K32" i="112"/>
  <c r="K32" i="111"/>
  <c r="K62" i="110"/>
  <c r="K32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19" i="116"/>
  <c r="K18" i="116"/>
  <c r="K17" i="116"/>
  <c r="K23" i="116"/>
  <c r="K24" i="116"/>
  <c r="K25" i="116"/>
  <c r="K26" i="116"/>
  <c r="K27" i="116"/>
  <c r="K22" i="116"/>
  <c r="K16" i="116"/>
  <c r="K20" i="116"/>
  <c r="K15" i="116"/>
  <c r="K9" i="116"/>
  <c r="K10" i="116"/>
  <c r="K11" i="116"/>
  <c r="K12" i="116"/>
  <c r="K13" i="116"/>
  <c r="K8" i="116"/>
  <c r="J34" i="116"/>
  <c r="I34" i="116"/>
  <c r="J33" i="116"/>
  <c r="I33" i="116"/>
  <c r="J32" i="116"/>
  <c r="I32" i="116"/>
  <c r="J31" i="116"/>
  <c r="I31" i="116"/>
  <c r="J30" i="116"/>
  <c r="I30" i="116"/>
  <c r="J29" i="116"/>
  <c r="I29" i="116"/>
  <c r="E11" i="161" l="1"/>
  <c r="E11" i="162"/>
  <c r="K14" i="116"/>
  <c r="K21" i="116"/>
  <c r="J35" i="116"/>
  <c r="D11" i="126"/>
  <c r="I35" i="116"/>
  <c r="K28" i="116"/>
  <c r="K33" i="116" l="1"/>
  <c r="K32" i="116"/>
  <c r="K29" i="116"/>
  <c r="K30" i="116"/>
  <c r="K31" i="116"/>
  <c r="K34" i="116"/>
  <c r="K35" i="116" l="1"/>
  <c r="H55" i="113" l="1"/>
  <c r="H49" i="113"/>
  <c r="H43" i="113"/>
  <c r="H25" i="113"/>
  <c r="H19" i="113"/>
  <c r="H13" i="113"/>
  <c r="H55" i="112"/>
  <c r="H49" i="112"/>
  <c r="H43" i="112"/>
  <c r="H25" i="112"/>
  <c r="H19" i="112"/>
  <c r="H13" i="112"/>
  <c r="H55" i="111"/>
  <c r="H49" i="111"/>
  <c r="H43" i="111"/>
  <c r="H25" i="111"/>
  <c r="H19" i="111"/>
  <c r="H13" i="111"/>
  <c r="H55" i="110"/>
  <c r="H49" i="110"/>
  <c r="H43" i="110"/>
  <c r="H25" i="110"/>
  <c r="H19" i="110"/>
  <c r="H13" i="110"/>
  <c r="H55" i="109"/>
  <c r="H49" i="109"/>
  <c r="H43" i="109"/>
  <c r="H25" i="109"/>
  <c r="H19" i="109"/>
  <c r="H13" i="109"/>
  <c r="H55" i="108"/>
  <c r="H49" i="108"/>
  <c r="H43" i="108"/>
  <c r="H25" i="108"/>
  <c r="H19" i="108"/>
  <c r="H13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6" i="116"/>
  <c r="H19" i="116"/>
  <c r="H12" i="116"/>
  <c r="S21" i="122" l="1"/>
  <c r="C19" i="122" l="1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3" i="116"/>
  <c r="T27" i="147"/>
  <c r="S27" i="147"/>
  <c r="M27" i="147"/>
  <c r="L27" i="147"/>
  <c r="K27" i="147"/>
  <c r="F27" i="147"/>
  <c r="E31" i="107" l="1"/>
  <c r="H31" i="107" s="1"/>
  <c r="E33" i="116" l="1"/>
  <c r="F33" i="116"/>
  <c r="E32" i="116"/>
  <c r="D33" i="116"/>
  <c r="H33" i="116" l="1"/>
  <c r="F38" i="145"/>
  <c r="E38" i="145"/>
  <c r="G38" i="145" s="1"/>
  <c r="F61" i="113" l="1"/>
  <c r="E61" i="113"/>
  <c r="H61" i="113" s="1"/>
  <c r="D61" i="113"/>
  <c r="F60" i="113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D57" i="113"/>
  <c r="G55" i="113"/>
  <c r="H54" i="113"/>
  <c r="G54" i="113"/>
  <c r="H53" i="113"/>
  <c r="G53" i="113"/>
  <c r="H52" i="113"/>
  <c r="G52" i="113"/>
  <c r="H51" i="113"/>
  <c r="G51" i="113"/>
  <c r="H50" i="113"/>
  <c r="G49" i="113"/>
  <c r="H48" i="113"/>
  <c r="G48" i="113"/>
  <c r="H47" i="113"/>
  <c r="G47" i="113"/>
  <c r="H46" i="113"/>
  <c r="G46" i="113"/>
  <c r="H45" i="113"/>
  <c r="G45" i="113"/>
  <c r="H44" i="113"/>
  <c r="G43" i="113"/>
  <c r="H42" i="113"/>
  <c r="G42" i="113"/>
  <c r="H41" i="113"/>
  <c r="G41" i="113"/>
  <c r="H40" i="113"/>
  <c r="G40" i="113"/>
  <c r="H39" i="113"/>
  <c r="G39" i="113"/>
  <c r="F61" i="112"/>
  <c r="E61" i="112"/>
  <c r="H61" i="112" s="1"/>
  <c r="D61" i="112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D57" i="112"/>
  <c r="H56" i="112"/>
  <c r="G55" i="112"/>
  <c r="H54" i="112"/>
  <c r="G54" i="112"/>
  <c r="H53" i="112"/>
  <c r="G53" i="112"/>
  <c r="H52" i="112"/>
  <c r="G52" i="112"/>
  <c r="H51" i="112"/>
  <c r="G51" i="112"/>
  <c r="H50" i="112"/>
  <c r="G49" i="112"/>
  <c r="H48" i="112"/>
  <c r="G48" i="112"/>
  <c r="H47" i="112"/>
  <c r="G47" i="112"/>
  <c r="H46" i="112"/>
  <c r="G46" i="112"/>
  <c r="H45" i="112"/>
  <c r="G45" i="112"/>
  <c r="H44" i="112"/>
  <c r="G43" i="112"/>
  <c r="H42" i="112"/>
  <c r="G42" i="112"/>
  <c r="H41" i="112"/>
  <c r="G41" i="112"/>
  <c r="H40" i="112"/>
  <c r="G40" i="112"/>
  <c r="H39" i="112"/>
  <c r="G39" i="112"/>
  <c r="F61" i="111"/>
  <c r="E61" i="111"/>
  <c r="H61" i="111" s="1"/>
  <c r="D61" i="111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D57" i="111"/>
  <c r="H56" i="111"/>
  <c r="G55" i="111"/>
  <c r="H54" i="111"/>
  <c r="G54" i="111"/>
  <c r="H53" i="111"/>
  <c r="G53" i="111"/>
  <c r="H52" i="111"/>
  <c r="G52" i="111"/>
  <c r="H51" i="111"/>
  <c r="G51" i="111"/>
  <c r="H50" i="111"/>
  <c r="G49" i="111"/>
  <c r="H48" i="111"/>
  <c r="G48" i="111"/>
  <c r="H47" i="111"/>
  <c r="G47" i="111"/>
  <c r="H46" i="111"/>
  <c r="G46" i="111"/>
  <c r="H45" i="111"/>
  <c r="G45" i="111"/>
  <c r="H44" i="111"/>
  <c r="G43" i="111"/>
  <c r="H42" i="111"/>
  <c r="G42" i="111"/>
  <c r="H41" i="111"/>
  <c r="G41" i="111"/>
  <c r="H40" i="111"/>
  <c r="G40" i="111"/>
  <c r="H39" i="111"/>
  <c r="G39" i="111"/>
  <c r="F61" i="110"/>
  <c r="E61" i="110"/>
  <c r="H61" i="110" s="1"/>
  <c r="D61" i="110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D57" i="110"/>
  <c r="H56" i="110"/>
  <c r="G55" i="110"/>
  <c r="H54" i="110"/>
  <c r="G54" i="110"/>
  <c r="H53" i="110"/>
  <c r="G53" i="110"/>
  <c r="H52" i="110"/>
  <c r="G52" i="110"/>
  <c r="H51" i="110"/>
  <c r="G51" i="110"/>
  <c r="H50" i="110"/>
  <c r="G49" i="110"/>
  <c r="H48" i="110"/>
  <c r="G48" i="110"/>
  <c r="H47" i="110"/>
  <c r="G47" i="110"/>
  <c r="H46" i="110"/>
  <c r="G46" i="110"/>
  <c r="H45" i="110"/>
  <c r="G45" i="110"/>
  <c r="H44" i="110"/>
  <c r="G43" i="110"/>
  <c r="H42" i="110"/>
  <c r="G42" i="110"/>
  <c r="H41" i="110"/>
  <c r="G41" i="110"/>
  <c r="H40" i="110"/>
  <c r="G40" i="110"/>
  <c r="H39" i="110"/>
  <c r="G39" i="110"/>
  <c r="F61" i="109"/>
  <c r="E61" i="109"/>
  <c r="H61" i="109" s="1"/>
  <c r="D61" i="109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D57" i="109"/>
  <c r="H56" i="109"/>
  <c r="G55" i="109"/>
  <c r="H54" i="109"/>
  <c r="G54" i="109"/>
  <c r="H53" i="109"/>
  <c r="G53" i="109"/>
  <c r="H52" i="109"/>
  <c r="G52" i="109"/>
  <c r="H51" i="109"/>
  <c r="G51" i="109"/>
  <c r="H50" i="109"/>
  <c r="G49" i="109"/>
  <c r="H48" i="109"/>
  <c r="G48" i="109"/>
  <c r="H47" i="109"/>
  <c r="G47" i="109"/>
  <c r="H46" i="109"/>
  <c r="G46" i="109"/>
  <c r="H45" i="109"/>
  <c r="G45" i="109"/>
  <c r="H44" i="109"/>
  <c r="G43" i="109"/>
  <c r="H42" i="109"/>
  <c r="G42" i="109"/>
  <c r="H41" i="109"/>
  <c r="G41" i="109"/>
  <c r="H40" i="109"/>
  <c r="G40" i="109"/>
  <c r="H39" i="109"/>
  <c r="G39" i="109"/>
  <c r="G41" i="108"/>
  <c r="F61" i="108"/>
  <c r="E61" i="108"/>
  <c r="H61" i="108" s="1"/>
  <c r="D61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H56" i="108"/>
  <c r="G55" i="108"/>
  <c r="H54" i="108"/>
  <c r="G54" i="108"/>
  <c r="H53" i="108"/>
  <c r="G53" i="108"/>
  <c r="H52" i="108"/>
  <c r="G52" i="108"/>
  <c r="H51" i="108"/>
  <c r="G51" i="108"/>
  <c r="H50" i="108"/>
  <c r="G49" i="108"/>
  <c r="H48" i="108"/>
  <c r="G48" i="108"/>
  <c r="H47" i="108"/>
  <c r="G47" i="108"/>
  <c r="H46" i="108"/>
  <c r="G46" i="108"/>
  <c r="H45" i="108"/>
  <c r="G45" i="108"/>
  <c r="H44" i="108"/>
  <c r="G43" i="108"/>
  <c r="H42" i="108"/>
  <c r="G42" i="108"/>
  <c r="H41" i="108"/>
  <c r="H40" i="108"/>
  <c r="G40" i="108"/>
  <c r="H39" i="108"/>
  <c r="G39" i="108"/>
  <c r="F31" i="113"/>
  <c r="E31" i="113"/>
  <c r="H31" i="113" s="1"/>
  <c r="D31" i="113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D27" i="113"/>
  <c r="H26" i="113"/>
  <c r="G25" i="113"/>
  <c r="H24" i="113"/>
  <c r="G24" i="113"/>
  <c r="H23" i="113"/>
  <c r="G23" i="113"/>
  <c r="H22" i="113"/>
  <c r="G22" i="113"/>
  <c r="H21" i="113"/>
  <c r="G21" i="113"/>
  <c r="H20" i="113"/>
  <c r="G19" i="113"/>
  <c r="H18" i="113"/>
  <c r="G18" i="113"/>
  <c r="H17" i="113"/>
  <c r="G17" i="113"/>
  <c r="H16" i="113"/>
  <c r="G16" i="113"/>
  <c r="H15" i="113"/>
  <c r="G15" i="113"/>
  <c r="H14" i="113"/>
  <c r="G13" i="113"/>
  <c r="H12" i="113"/>
  <c r="G12" i="113"/>
  <c r="H11" i="113"/>
  <c r="G11" i="113"/>
  <c r="H10" i="113"/>
  <c r="G10" i="113"/>
  <c r="H9" i="113"/>
  <c r="G9" i="113"/>
  <c r="F31" i="112"/>
  <c r="E31" i="112"/>
  <c r="H31" i="112" s="1"/>
  <c r="D31" i="112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D27" i="112"/>
  <c r="H26" i="112"/>
  <c r="G25" i="112"/>
  <c r="H24" i="112"/>
  <c r="G24" i="112"/>
  <c r="H23" i="112"/>
  <c r="G23" i="112"/>
  <c r="H22" i="112"/>
  <c r="G22" i="112"/>
  <c r="H21" i="112"/>
  <c r="G21" i="112"/>
  <c r="H20" i="112"/>
  <c r="G19" i="112"/>
  <c r="H18" i="112"/>
  <c r="G18" i="112"/>
  <c r="H17" i="112"/>
  <c r="G17" i="112"/>
  <c r="H16" i="112"/>
  <c r="G16" i="112"/>
  <c r="H15" i="112"/>
  <c r="G15" i="112"/>
  <c r="H14" i="112"/>
  <c r="G13" i="112"/>
  <c r="H12" i="112"/>
  <c r="G12" i="112"/>
  <c r="H11" i="112"/>
  <c r="G11" i="112"/>
  <c r="H10" i="112"/>
  <c r="G10" i="112"/>
  <c r="H9" i="112"/>
  <c r="G9" i="112"/>
  <c r="F31" i="111"/>
  <c r="E31" i="111"/>
  <c r="H31" i="111" s="1"/>
  <c r="D31" i="111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D27" i="111"/>
  <c r="H26" i="111"/>
  <c r="G25" i="111"/>
  <c r="H24" i="111"/>
  <c r="G24" i="111"/>
  <c r="H23" i="111"/>
  <c r="G23" i="111"/>
  <c r="H22" i="111"/>
  <c r="G22" i="111"/>
  <c r="H21" i="111"/>
  <c r="G21" i="111"/>
  <c r="H20" i="111"/>
  <c r="G19" i="111"/>
  <c r="H18" i="111"/>
  <c r="G18" i="111"/>
  <c r="H17" i="111"/>
  <c r="G17" i="111"/>
  <c r="H16" i="111"/>
  <c r="G16" i="111"/>
  <c r="H15" i="111"/>
  <c r="G15" i="111"/>
  <c r="H14" i="111"/>
  <c r="G13" i="111"/>
  <c r="H12" i="111"/>
  <c r="G12" i="111"/>
  <c r="H11" i="111"/>
  <c r="G11" i="111"/>
  <c r="H10" i="111"/>
  <c r="G10" i="111"/>
  <c r="H9" i="111"/>
  <c r="G9" i="111"/>
  <c r="F31" i="110"/>
  <c r="E31" i="110"/>
  <c r="H31" i="110" s="1"/>
  <c r="D31" i="110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D27" i="110"/>
  <c r="H26" i="110"/>
  <c r="G25" i="110"/>
  <c r="H24" i="110"/>
  <c r="G24" i="110"/>
  <c r="H23" i="110"/>
  <c r="G23" i="110"/>
  <c r="H22" i="110"/>
  <c r="G22" i="110"/>
  <c r="H21" i="110"/>
  <c r="G21" i="110"/>
  <c r="H20" i="110"/>
  <c r="G19" i="110"/>
  <c r="H18" i="110"/>
  <c r="G18" i="110"/>
  <c r="H17" i="110"/>
  <c r="G17" i="110"/>
  <c r="H16" i="110"/>
  <c r="G16" i="110"/>
  <c r="H15" i="110"/>
  <c r="G15" i="110"/>
  <c r="H14" i="110"/>
  <c r="G13" i="110"/>
  <c r="H12" i="110"/>
  <c r="G12" i="110"/>
  <c r="H11" i="110"/>
  <c r="G11" i="110"/>
  <c r="H10" i="110"/>
  <c r="G10" i="110"/>
  <c r="H9" i="110"/>
  <c r="G9" i="110"/>
  <c r="F31" i="109"/>
  <c r="E31" i="109"/>
  <c r="H31" i="109" s="1"/>
  <c r="D31" i="109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D27" i="109"/>
  <c r="H26" i="109"/>
  <c r="G25" i="109"/>
  <c r="H24" i="109"/>
  <c r="G24" i="109"/>
  <c r="H23" i="109"/>
  <c r="G23" i="109"/>
  <c r="H22" i="109"/>
  <c r="G22" i="109"/>
  <c r="H21" i="109"/>
  <c r="G21" i="109"/>
  <c r="H20" i="109"/>
  <c r="G19" i="109"/>
  <c r="H18" i="109"/>
  <c r="G18" i="109"/>
  <c r="H17" i="109"/>
  <c r="G17" i="109"/>
  <c r="H16" i="109"/>
  <c r="G16" i="109"/>
  <c r="H15" i="109"/>
  <c r="G15" i="109"/>
  <c r="H14" i="109"/>
  <c r="G13" i="109"/>
  <c r="H12" i="109"/>
  <c r="G12" i="109"/>
  <c r="H11" i="109"/>
  <c r="G11" i="109"/>
  <c r="H10" i="109"/>
  <c r="G10" i="109"/>
  <c r="H9" i="109"/>
  <c r="G9" i="109"/>
  <c r="G25" i="108"/>
  <c r="G19" i="108"/>
  <c r="G13" i="108"/>
  <c r="G12" i="108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2" i="109" l="1"/>
  <c r="G44" i="107"/>
  <c r="K44" i="107"/>
  <c r="K50" i="107"/>
  <c r="K56" i="107"/>
  <c r="K62" i="107"/>
  <c r="G44" i="112"/>
  <c r="G56" i="112"/>
  <c r="G50" i="111"/>
  <c r="G44" i="109"/>
  <c r="G56" i="109"/>
  <c r="G14" i="109"/>
  <c r="G26" i="109"/>
  <c r="G56" i="108"/>
  <c r="G20" i="113"/>
  <c r="G20" i="111"/>
  <c r="G44" i="113"/>
  <c r="G56" i="113"/>
  <c r="G50" i="113"/>
  <c r="G14" i="113"/>
  <c r="G26" i="113"/>
  <c r="G50" i="112"/>
  <c r="G26" i="112"/>
  <c r="G14" i="112"/>
  <c r="G20" i="112"/>
  <c r="G44" i="111"/>
  <c r="G56" i="111"/>
  <c r="G14" i="111"/>
  <c r="G26" i="111"/>
  <c r="G44" i="110"/>
  <c r="G56" i="110"/>
  <c r="G50" i="110"/>
  <c r="G14" i="110"/>
  <c r="G26" i="110"/>
  <c r="G20" i="110"/>
  <c r="G50" i="109"/>
  <c r="G20" i="109"/>
  <c r="G44" i="108"/>
  <c r="G50" i="108"/>
  <c r="G50" i="107"/>
  <c r="G56" i="107"/>
  <c r="E62" i="113"/>
  <c r="G57" i="113" s="1"/>
  <c r="E32" i="113"/>
  <c r="H32" i="113" s="1"/>
  <c r="D62" i="113"/>
  <c r="E62" i="112"/>
  <c r="G60" i="112" s="1"/>
  <c r="E32" i="112"/>
  <c r="G28" i="112" s="1"/>
  <c r="D62" i="111"/>
  <c r="F62" i="111"/>
  <c r="D32" i="111"/>
  <c r="F62" i="110"/>
  <c r="D62" i="110"/>
  <c r="D32" i="110"/>
  <c r="F32" i="110"/>
  <c r="F32" i="109"/>
  <c r="D32" i="109"/>
  <c r="F62" i="108"/>
  <c r="F62" i="113"/>
  <c r="F32" i="113"/>
  <c r="D32" i="113"/>
  <c r="H57" i="112"/>
  <c r="D62" i="112"/>
  <c r="F62" i="112"/>
  <c r="D32" i="112"/>
  <c r="F32" i="112"/>
  <c r="H27" i="112"/>
  <c r="E62" i="111"/>
  <c r="H62" i="111" s="1"/>
  <c r="F32" i="111"/>
  <c r="E32" i="111"/>
  <c r="G30" i="111" s="1"/>
  <c r="E62" i="110"/>
  <c r="H62" i="110" s="1"/>
  <c r="E32" i="110"/>
  <c r="G30" i="110" s="1"/>
  <c r="D62" i="109"/>
  <c r="E62" i="109"/>
  <c r="G59" i="109" s="1"/>
  <c r="E32" i="109"/>
  <c r="H32" i="109" s="1"/>
  <c r="D62" i="108"/>
  <c r="E62" i="108"/>
  <c r="H62" i="108" s="1"/>
  <c r="H57" i="113"/>
  <c r="H57" i="111"/>
  <c r="H57" i="110"/>
  <c r="H57" i="109"/>
  <c r="H27" i="113"/>
  <c r="H27" i="111"/>
  <c r="H27" i="110"/>
  <c r="H27" i="109"/>
  <c r="G57" i="112" l="1"/>
  <c r="G58" i="112"/>
  <c r="G60" i="113"/>
  <c r="G59" i="112"/>
  <c r="G61" i="112"/>
  <c r="H62" i="112"/>
  <c r="G59" i="113"/>
  <c r="G61" i="113"/>
  <c r="G58" i="108"/>
  <c r="G59" i="111"/>
  <c r="G27" i="113"/>
  <c r="G30" i="113"/>
  <c r="G30" i="112"/>
  <c r="G57" i="110"/>
  <c r="G31" i="113"/>
  <c r="G58" i="109"/>
  <c r="G61" i="109"/>
  <c r="G29" i="109"/>
  <c r="G28" i="109"/>
  <c r="G30" i="109"/>
  <c r="G31" i="109"/>
  <c r="G57" i="108"/>
  <c r="G59" i="108"/>
  <c r="G60" i="108"/>
  <c r="G61" i="108"/>
  <c r="G58" i="113"/>
  <c r="H62" i="113"/>
  <c r="G29" i="113"/>
  <c r="G28" i="113"/>
  <c r="G29" i="112"/>
  <c r="G31" i="112"/>
  <c r="G60" i="109"/>
  <c r="G57" i="109"/>
  <c r="H62" i="109"/>
  <c r="G27" i="109"/>
  <c r="H32" i="112"/>
  <c r="G27" i="112"/>
  <c r="G57" i="111"/>
  <c r="G31" i="111"/>
  <c r="H32" i="111"/>
  <c r="G59" i="110"/>
  <c r="G31" i="110"/>
  <c r="H32" i="110"/>
  <c r="G60" i="111"/>
  <c r="G61" i="111"/>
  <c r="G58" i="111"/>
  <c r="G29" i="111"/>
  <c r="G28" i="111"/>
  <c r="G27" i="111"/>
  <c r="G60" i="110"/>
  <c r="G61" i="110"/>
  <c r="G58" i="110"/>
  <c r="G29" i="110"/>
  <c r="G28" i="110"/>
  <c r="G27" i="110"/>
  <c r="G62" i="112" l="1"/>
  <c r="G62" i="113"/>
  <c r="G62" i="109"/>
  <c r="G62" i="108"/>
  <c r="G32" i="113"/>
  <c r="G62" i="110"/>
  <c r="G32" i="110"/>
  <c r="G32" i="109"/>
  <c r="G32" i="112"/>
  <c r="G62" i="111"/>
  <c r="G32" i="111"/>
  <c r="N18" i="147" l="1"/>
  <c r="G21" i="147"/>
  <c r="G18" i="147"/>
  <c r="S18" i="147"/>
  <c r="T28" i="147" s="1"/>
  <c r="S19" i="147"/>
  <c r="T29" i="147" s="1"/>
  <c r="S20" i="147"/>
  <c r="T30" i="147" s="1"/>
  <c r="S21" i="147"/>
  <c r="T31" i="147" s="1"/>
  <c r="S22" i="147"/>
  <c r="S23" i="147"/>
  <c r="S24" i="147"/>
  <c r="L18" i="147"/>
  <c r="M28" i="147" s="1"/>
  <c r="L19" i="147"/>
  <c r="M29" i="147" s="1"/>
  <c r="L20" i="147"/>
  <c r="M30" i="147" s="1"/>
  <c r="L21" i="147"/>
  <c r="M31" i="147" s="1"/>
  <c r="L22" i="147"/>
  <c r="L23" i="147"/>
  <c r="L24" i="147"/>
  <c r="F18" i="147"/>
  <c r="F19" i="147"/>
  <c r="F28" i="147" s="1"/>
  <c r="F20" i="147"/>
  <c r="F21" i="147"/>
  <c r="F22" i="147"/>
  <c r="F23" i="147"/>
  <c r="F24" i="147"/>
  <c r="F31" i="108"/>
  <c r="E31" i="108"/>
  <c r="H31" i="108" s="1"/>
  <c r="D31" i="108"/>
  <c r="F30" i="108"/>
  <c r="E30" i="108"/>
  <c r="H30" i="108" s="1"/>
  <c r="D30" i="108"/>
  <c r="F29" i="108"/>
  <c r="E29" i="108"/>
  <c r="H29" i="108" s="1"/>
  <c r="D29" i="108"/>
  <c r="F28" i="108"/>
  <c r="E28" i="108"/>
  <c r="D28" i="108"/>
  <c r="F27" i="108"/>
  <c r="E27" i="108"/>
  <c r="H27" i="108" s="1"/>
  <c r="D27" i="108"/>
  <c r="H26" i="108"/>
  <c r="H24" i="108"/>
  <c r="G24" i="108"/>
  <c r="H23" i="108"/>
  <c r="G23" i="108"/>
  <c r="H22" i="108"/>
  <c r="G22" i="108"/>
  <c r="H21" i="108"/>
  <c r="G21" i="108"/>
  <c r="G26" i="108" s="1"/>
  <c r="H20" i="108"/>
  <c r="H18" i="108"/>
  <c r="G18" i="108"/>
  <c r="H17" i="108"/>
  <c r="G17" i="108"/>
  <c r="H16" i="108"/>
  <c r="G16" i="108"/>
  <c r="H15" i="108"/>
  <c r="G15" i="108"/>
  <c r="H14" i="108"/>
  <c r="H12" i="108"/>
  <c r="H11" i="108"/>
  <c r="G11" i="108"/>
  <c r="H10" i="108"/>
  <c r="G10" i="108"/>
  <c r="H9" i="108"/>
  <c r="G9" i="108"/>
  <c r="G14" i="108" s="1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3" i="116"/>
  <c r="G12" i="116"/>
  <c r="G11" i="116"/>
  <c r="G10" i="116"/>
  <c r="G9" i="116"/>
  <c r="G8" i="116"/>
  <c r="F32" i="108" l="1"/>
  <c r="G14" i="116"/>
  <c r="G20" i="108"/>
  <c r="E32" i="108"/>
  <c r="H32" i="108" s="1"/>
  <c r="D62" i="107"/>
  <c r="F62" i="107"/>
  <c r="H28" i="108"/>
  <c r="D32" i="108"/>
  <c r="E62" i="107"/>
  <c r="G59" i="107" s="1"/>
  <c r="G29" i="108" l="1"/>
  <c r="G31" i="108"/>
  <c r="G28" i="108"/>
  <c r="G27" i="108"/>
  <c r="G32" i="108" s="1"/>
  <c r="G30" i="108"/>
  <c r="G60" i="107"/>
  <c r="H62" i="107"/>
  <c r="G57" i="107"/>
  <c r="G61" i="107"/>
  <c r="G58" i="107"/>
  <c r="G62" i="107" l="1"/>
  <c r="H39" i="145"/>
  <c r="H40" i="145"/>
  <c r="B39" i="145"/>
  <c r="I20" i="122" l="1"/>
  <c r="B20" i="122"/>
  <c r="C27" i="147" l="1"/>
  <c r="D27" i="147"/>
  <c r="E27" i="147"/>
  <c r="B27" i="147"/>
  <c r="R18" i="128" l="1"/>
  <c r="P20" i="128"/>
  <c r="R20" i="128"/>
  <c r="B18" i="128"/>
  <c r="C18" i="128"/>
  <c r="D18" i="128"/>
  <c r="E18" i="128"/>
  <c r="F18" i="128"/>
  <c r="G18" i="128"/>
  <c r="H18" i="128"/>
  <c r="I18" i="128"/>
  <c r="J18" i="128"/>
  <c r="K18" i="128"/>
  <c r="L18" i="128"/>
  <c r="M18" i="128"/>
  <c r="N18" i="128"/>
  <c r="O18" i="128"/>
  <c r="P18" i="128"/>
  <c r="Q18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R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19" i="147"/>
  <c r="B28" i="147" s="1"/>
  <c r="C19" i="147"/>
  <c r="C28" i="147" s="1"/>
  <c r="D19" i="147"/>
  <c r="D28" i="147" s="1"/>
  <c r="E19" i="147"/>
  <c r="E28" i="147" s="1"/>
  <c r="G19" i="147"/>
  <c r="H19" i="147"/>
  <c r="I29" i="147" s="1"/>
  <c r="J29" i="147"/>
  <c r="J19" i="147"/>
  <c r="K29" i="147" s="1"/>
  <c r="K19" i="147"/>
  <c r="L29" i="147" s="1"/>
  <c r="M19" i="147"/>
  <c r="N19" i="147"/>
  <c r="O19" i="147"/>
  <c r="P29" i="147" s="1"/>
  <c r="P19" i="147"/>
  <c r="Q29" i="147" s="1"/>
  <c r="Q19" i="147"/>
  <c r="R29" i="147" s="1"/>
  <c r="R19" i="147"/>
  <c r="S29" i="147" s="1"/>
  <c r="T19" i="147"/>
  <c r="U19" i="147"/>
  <c r="B20" i="147"/>
  <c r="C20" i="147"/>
  <c r="D20" i="147"/>
  <c r="E20" i="147"/>
  <c r="G20" i="147"/>
  <c r="H20" i="147"/>
  <c r="I30" i="147" s="1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22" i="147"/>
  <c r="J22" i="147"/>
  <c r="K22" i="147"/>
  <c r="M22" i="147"/>
  <c r="N22" i="147"/>
  <c r="O22" i="147"/>
  <c r="P22" i="147"/>
  <c r="Q22" i="147"/>
  <c r="R22" i="147"/>
  <c r="T22" i="147"/>
  <c r="U22" i="147"/>
  <c r="C23" i="147"/>
  <c r="D23" i="147"/>
  <c r="E23" i="147"/>
  <c r="G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R22" i="128" l="1"/>
  <c r="H37" i="145"/>
  <c r="J37" i="145"/>
  <c r="D37" i="145"/>
  <c r="F20" i="140" l="1"/>
  <c r="F20" i="139"/>
  <c r="F20" i="120"/>
  <c r="F18" i="140"/>
  <c r="F18" i="139"/>
  <c r="F18" i="120"/>
  <c r="F16" i="140"/>
  <c r="F16" i="139"/>
  <c r="F16" i="120"/>
  <c r="F14" i="140"/>
  <c r="F14" i="139"/>
  <c r="F14" i="120"/>
  <c r="F12" i="140"/>
  <c r="F12" i="139"/>
  <c r="F12" i="120"/>
  <c r="F10" i="140"/>
  <c r="F10" i="120"/>
  <c r="F18" i="141" l="1"/>
  <c r="F10" i="141"/>
  <c r="F10" i="139"/>
  <c r="F16" i="141" l="1"/>
  <c r="F20" i="141"/>
  <c r="F12" i="141"/>
  <c r="F14" i="141"/>
  <c r="G16" i="116" l="1"/>
  <c r="G17" i="116"/>
  <c r="G18" i="116"/>
  <c r="G19" i="116"/>
  <c r="G20" i="116"/>
  <c r="G15" i="116"/>
  <c r="G21" i="116" l="1"/>
  <c r="C18" i="147" l="1"/>
  <c r="D18" i="147"/>
  <c r="E18" i="147"/>
  <c r="B18" i="147"/>
  <c r="G8" i="141" l="1"/>
  <c r="H8" i="141"/>
  <c r="I8" i="141"/>
  <c r="J8" i="141"/>
  <c r="G9" i="14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7" i="141"/>
  <c r="J7" i="141"/>
  <c r="I7" i="141"/>
  <c r="H7" i="141"/>
  <c r="K18" i="141" l="1"/>
  <c r="K16" i="141"/>
  <c r="K8" i="141"/>
  <c r="K13" i="141"/>
  <c r="K11" i="141"/>
  <c r="K23" i="141"/>
  <c r="K21" i="141"/>
  <c r="K19" i="141"/>
  <c r="K17" i="141"/>
  <c r="K14" i="141"/>
  <c r="K22" i="141"/>
  <c r="K15" i="141"/>
  <c r="K12" i="141"/>
  <c r="K10" i="141"/>
  <c r="K9" i="141"/>
  <c r="K20" i="141"/>
  <c r="K7" i="141"/>
  <c r="C10" i="141" l="1"/>
  <c r="D10" i="141"/>
  <c r="C12" i="141"/>
  <c r="D12" i="141"/>
  <c r="C14" i="141"/>
  <c r="D14" i="141"/>
  <c r="C16" i="141"/>
  <c r="D16" i="141"/>
  <c r="C18" i="141"/>
  <c r="D18" i="141"/>
  <c r="C20" i="141"/>
  <c r="D20" i="141"/>
  <c r="C7" i="140"/>
  <c r="D7" i="140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B7" i="140"/>
  <c r="C7" i="139"/>
  <c r="D7" i="139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B7" i="139"/>
  <c r="C7" i="120"/>
  <c r="D7" i="120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7" i="120"/>
  <c r="B21" i="120" l="1"/>
  <c r="D21" i="120"/>
  <c r="E7" i="120" s="1"/>
  <c r="C21" i="120"/>
  <c r="Q27" i="147" l="1"/>
  <c r="R27" i="147"/>
  <c r="P27" i="147"/>
  <c r="O29" i="147"/>
  <c r="O30" i="147"/>
  <c r="O31" i="147"/>
  <c r="O28" i="147"/>
  <c r="J27" i="147"/>
  <c r="I27" i="147"/>
  <c r="H29" i="147"/>
  <c r="H30" i="147"/>
  <c r="H31" i="147"/>
  <c r="H28" i="147"/>
  <c r="T18" i="147" l="1"/>
  <c r="M18" i="147"/>
  <c r="R18" i="147"/>
  <c r="S28" i="147" s="1"/>
  <c r="Q18" i="147"/>
  <c r="R28" i="147" s="1"/>
  <c r="P18" i="147"/>
  <c r="Q28" i="147" s="1"/>
  <c r="O18" i="147"/>
  <c r="P28" i="147" s="1"/>
  <c r="K18" i="147"/>
  <c r="L28" i="147" s="1"/>
  <c r="J18" i="147"/>
  <c r="K28" i="147" s="1"/>
  <c r="I18" i="147"/>
  <c r="J28" i="147" s="1"/>
  <c r="H18" i="147"/>
  <c r="I28" i="147" s="1"/>
  <c r="U18" i="147" l="1"/>
  <c r="K6" i="146" l="1"/>
  <c r="H6" i="146" l="1"/>
  <c r="M6" i="146"/>
  <c r="I6" i="146"/>
  <c r="C6" i="146"/>
  <c r="E6" i="146"/>
  <c r="E39" i="145"/>
  <c r="F45" i="145"/>
  <c r="J40" i="145"/>
  <c r="I40" i="145"/>
  <c r="I47" i="145"/>
  <c r="I39" i="145"/>
  <c r="I46" i="145"/>
  <c r="I38" i="145"/>
  <c r="H38" i="145"/>
  <c r="E40" i="145"/>
  <c r="F47" i="145" s="1"/>
  <c r="F39" i="145"/>
  <c r="D40" i="145"/>
  <c r="C38" i="145"/>
  <c r="H29" i="179" s="1"/>
  <c r="C39" i="145"/>
  <c r="C40" i="145"/>
  <c r="B40" i="145"/>
  <c r="C47" i="145" s="1"/>
  <c r="C46" i="145"/>
  <c r="B38" i="145"/>
  <c r="I37" i="145"/>
  <c r="F37" i="145"/>
  <c r="E37" i="145"/>
  <c r="C37" i="145"/>
  <c r="B37" i="145"/>
  <c r="H41" i="145"/>
  <c r="E41" i="145"/>
  <c r="H30" i="179" l="1"/>
  <c r="G39" i="145"/>
  <c r="E30" i="179"/>
  <c r="C45" i="145"/>
  <c r="E29" i="179"/>
  <c r="I45" i="145"/>
  <c r="J38" i="145"/>
  <c r="D39" i="145"/>
  <c r="J39" i="145"/>
  <c r="D38" i="145"/>
  <c r="L6" i="146"/>
  <c r="F6" i="146"/>
  <c r="J6" i="146"/>
  <c r="F46" i="145"/>
  <c r="I4" i="113"/>
  <c r="I4" i="112"/>
  <c r="I4" i="111"/>
  <c r="I4" i="110"/>
  <c r="I4" i="109"/>
  <c r="I4" i="108"/>
  <c r="I4" i="107"/>
  <c r="K5" i="105"/>
  <c r="J5" i="105"/>
  <c r="I5" i="105"/>
  <c r="H5" i="105"/>
  <c r="A38" i="116"/>
  <c r="I4" i="116"/>
  <c r="D21" i="140"/>
  <c r="D23" i="140" s="1"/>
  <c r="C21" i="140"/>
  <c r="C23" i="140" s="1"/>
  <c r="B21" i="140"/>
  <c r="B23" i="140" s="1"/>
  <c r="D21" i="139"/>
  <c r="D23" i="139" s="1"/>
  <c r="C21" i="139"/>
  <c r="C23" i="139" s="1"/>
  <c r="B21" i="139"/>
  <c r="B23" i="139" s="1"/>
  <c r="E7" i="140" l="1"/>
  <c r="E9" i="140"/>
  <c r="E14" i="140"/>
  <c r="E19" i="140"/>
  <c r="E10" i="140"/>
  <c r="E15" i="140"/>
  <c r="E13" i="140"/>
  <c r="E18" i="140"/>
  <c r="E11" i="140"/>
  <c r="E17" i="140"/>
  <c r="E10" i="139"/>
  <c r="E11" i="139"/>
  <c r="E19" i="139"/>
  <c r="E9" i="139"/>
  <c r="E13" i="139"/>
  <c r="E17" i="139"/>
  <c r="E14" i="139"/>
  <c r="E18" i="139"/>
  <c r="E7" i="139"/>
  <c r="E15" i="139"/>
  <c r="E8" i="139"/>
  <c r="E12" i="139"/>
  <c r="E16" i="139"/>
  <c r="E8" i="140"/>
  <c r="E12" i="140"/>
  <c r="E16" i="140"/>
  <c r="E20" i="140"/>
  <c r="E20" i="139"/>
  <c r="G38" i="116"/>
  <c r="J42" i="116"/>
  <c r="I42" i="116"/>
  <c r="H45" i="116"/>
  <c r="H44" i="116"/>
  <c r="H43" i="116"/>
  <c r="D42" i="116"/>
  <c r="C42" i="116"/>
  <c r="B45" i="116"/>
  <c r="B44" i="116"/>
  <c r="B43" i="116"/>
  <c r="D32" i="133"/>
  <c r="D33" i="133"/>
  <c r="D34" i="133"/>
  <c r="F30" i="133"/>
  <c r="G30" i="133"/>
  <c r="H30" i="133"/>
  <c r="E30" i="133"/>
  <c r="D31" i="133"/>
  <c r="C19" i="133"/>
  <c r="F33" i="133" s="1"/>
  <c r="K22" i="133"/>
  <c r="K18" i="133"/>
  <c r="F18" i="133"/>
  <c r="F22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J21" i="133"/>
  <c r="I21" i="133"/>
  <c r="H21" i="133"/>
  <c r="G21" i="133"/>
  <c r="E21" i="133"/>
  <c r="D21" i="133"/>
  <c r="C21" i="133"/>
  <c r="B21" i="133"/>
  <c r="K20" i="133"/>
  <c r="J20" i="133"/>
  <c r="I20" i="133"/>
  <c r="H20" i="133"/>
  <c r="G20" i="133"/>
  <c r="E20" i="133"/>
  <c r="H34" i="133" s="1"/>
  <c r="D20" i="133"/>
  <c r="G34" i="133" s="1"/>
  <c r="C20" i="133"/>
  <c r="F34" i="133" s="1"/>
  <c r="B20" i="133"/>
  <c r="E34" i="133" s="1"/>
  <c r="J19" i="133"/>
  <c r="I19" i="133"/>
  <c r="H19" i="133"/>
  <c r="G19" i="133"/>
  <c r="E19" i="133"/>
  <c r="H33" i="133" s="1"/>
  <c r="D19" i="133"/>
  <c r="G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J17" i="133"/>
  <c r="I17" i="133"/>
  <c r="H17" i="133"/>
  <c r="G17" i="133"/>
  <c r="E17" i="133"/>
  <c r="H31" i="133" s="1"/>
  <c r="D17" i="133"/>
  <c r="G31" i="133" s="1"/>
  <c r="C17" i="133"/>
  <c r="F31" i="133" s="1"/>
  <c r="B17" i="133"/>
  <c r="E31" i="133" s="1"/>
  <c r="F20" i="133" l="1"/>
  <c r="E21" i="139"/>
  <c r="E21" i="140"/>
  <c r="K23" i="133"/>
  <c r="K21" i="133"/>
  <c r="K19" i="133"/>
  <c r="K17" i="133"/>
  <c r="F19" i="133"/>
  <c r="F23" i="133"/>
  <c r="F17" i="133"/>
  <c r="F21" i="133"/>
  <c r="B17" i="128"/>
  <c r="R17" i="128"/>
  <c r="Q17" i="128"/>
  <c r="P17" i="128"/>
  <c r="O17" i="128"/>
  <c r="N17" i="128"/>
  <c r="M17" i="128"/>
  <c r="L17" i="128"/>
  <c r="K17" i="128"/>
  <c r="J17" i="128"/>
  <c r="I17" i="128"/>
  <c r="H17" i="128"/>
  <c r="G17" i="128"/>
  <c r="F17" i="128"/>
  <c r="E17" i="128"/>
  <c r="D17" i="128"/>
  <c r="C17" i="128"/>
  <c r="C24" i="122" l="1"/>
  <c r="C23" i="122"/>
  <c r="C22" i="122"/>
  <c r="C21" i="122"/>
  <c r="C20" i="122"/>
  <c r="C18" i="122"/>
  <c r="S24" i="122"/>
  <c r="R24" i="122"/>
  <c r="Q24" i="122"/>
  <c r="N24" i="122"/>
  <c r="M24" i="122"/>
  <c r="L24" i="122"/>
  <c r="K24" i="122"/>
  <c r="S23" i="122"/>
  <c r="R23" i="122"/>
  <c r="Q23" i="122"/>
  <c r="P23" i="122"/>
  <c r="N23" i="122"/>
  <c r="M23" i="122"/>
  <c r="L23" i="122"/>
  <c r="K23" i="122"/>
  <c r="S22" i="122"/>
  <c r="R22" i="122"/>
  <c r="Q22" i="122"/>
  <c r="N22" i="122"/>
  <c r="M22" i="122"/>
  <c r="L22" i="122"/>
  <c r="K22" i="122"/>
  <c r="R21" i="122"/>
  <c r="Q21" i="122"/>
  <c r="N21" i="122"/>
  <c r="M21" i="122"/>
  <c r="L21" i="122"/>
  <c r="K21" i="122"/>
  <c r="S20" i="122"/>
  <c r="R20" i="122"/>
  <c r="Q20" i="122"/>
  <c r="N20" i="122"/>
  <c r="M20" i="122"/>
  <c r="L20" i="122"/>
  <c r="K20" i="122"/>
  <c r="S19" i="122"/>
  <c r="R19" i="122"/>
  <c r="Q19" i="122"/>
  <c r="P19" i="122"/>
  <c r="N19" i="122"/>
  <c r="M19" i="122"/>
  <c r="L19" i="122"/>
  <c r="K19" i="122"/>
  <c r="S18" i="122"/>
  <c r="Q18" i="122"/>
  <c r="N18" i="122"/>
  <c r="M18" i="122"/>
  <c r="K18" i="122"/>
  <c r="P21" i="122"/>
  <c r="O21" i="122"/>
  <c r="P20" i="122"/>
  <c r="O20" i="122"/>
  <c r="O23" i="122"/>
  <c r="P24" i="122"/>
  <c r="O24" i="122"/>
  <c r="P22" i="122"/>
  <c r="O22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J21" i="122"/>
  <c r="I21" i="122"/>
  <c r="H21" i="122"/>
  <c r="E21" i="122"/>
  <c r="D21" i="122"/>
  <c r="B21" i="122"/>
  <c r="J20" i="122"/>
  <c r="H20" i="122"/>
  <c r="E20" i="122"/>
  <c r="D20" i="122"/>
  <c r="J19" i="122"/>
  <c r="I19" i="122"/>
  <c r="H19" i="122"/>
  <c r="E19" i="122"/>
  <c r="D19" i="122"/>
  <c r="B19" i="122"/>
  <c r="J18" i="122"/>
  <c r="I18" i="122"/>
  <c r="H18" i="122"/>
  <c r="E18" i="122"/>
  <c r="G21" i="122"/>
  <c r="G20" i="122"/>
  <c r="G19" i="122"/>
  <c r="G24" i="122"/>
  <c r="O18" i="122" l="1"/>
  <c r="P18" i="122"/>
  <c r="F24" i="122"/>
  <c r="G22" i="122"/>
  <c r="F19" i="122"/>
  <c r="F21" i="122"/>
  <c r="F23" i="122"/>
  <c r="G23" i="122"/>
  <c r="F18" i="122"/>
  <c r="F20" i="122"/>
  <c r="F22" i="122"/>
  <c r="B23" i="120" l="1"/>
  <c r="C23" i="120"/>
  <c r="E10" i="120" l="1"/>
  <c r="E13" i="120"/>
  <c r="E20" i="120"/>
  <c r="E19" i="120"/>
  <c r="E12" i="120"/>
  <c r="E17" i="120"/>
  <c r="E9" i="120"/>
  <c r="D23" i="120"/>
  <c r="E15" i="120"/>
  <c r="E8" i="120"/>
  <c r="E16" i="120"/>
  <c r="E11" i="120"/>
  <c r="E18" i="120"/>
  <c r="E14" i="120"/>
  <c r="E21" i="120" l="1"/>
  <c r="E30" i="116"/>
  <c r="F34" i="116" l="1"/>
  <c r="E34" i="116"/>
  <c r="F30" i="116"/>
  <c r="E31" i="116"/>
  <c r="F31" i="116"/>
  <c r="F32" i="116"/>
  <c r="F29" i="116"/>
  <c r="D30" i="116"/>
  <c r="D31" i="116"/>
  <c r="D32" i="116"/>
  <c r="D29" i="116"/>
  <c r="E29" i="116"/>
  <c r="H27" i="116"/>
  <c r="F22" i="140" s="1"/>
  <c r="D45" i="116"/>
  <c r="H25" i="116"/>
  <c r="H24" i="116"/>
  <c r="H23" i="116"/>
  <c r="H22" i="116"/>
  <c r="H20" i="116"/>
  <c r="F22" i="139" s="1"/>
  <c r="D44" i="116"/>
  <c r="H18" i="116"/>
  <c r="H17" i="116"/>
  <c r="H16" i="116"/>
  <c r="H15" i="116"/>
  <c r="H9" i="116"/>
  <c r="H10" i="116"/>
  <c r="H11" i="116"/>
  <c r="F22" i="120"/>
  <c r="H8" i="116"/>
  <c r="C22" i="141" l="1"/>
  <c r="D22" i="141"/>
  <c r="E35" i="116"/>
  <c r="D35" i="116"/>
  <c r="E38" i="179" s="1"/>
  <c r="F35" i="116"/>
  <c r="H34" i="116"/>
  <c r="F22" i="141" s="1"/>
  <c r="H30" i="116"/>
  <c r="H32" i="116"/>
  <c r="H21" i="116"/>
  <c r="F11" i="161" s="1"/>
  <c r="C44" i="116"/>
  <c r="H31" i="116"/>
  <c r="H29" i="116"/>
  <c r="D11" i="163" l="1"/>
  <c r="B11" i="163"/>
  <c r="C11" i="163"/>
  <c r="E10" i="163" s="1"/>
  <c r="E36" i="179" s="1"/>
  <c r="F23" i="139"/>
  <c r="G23" i="116"/>
  <c r="G27" i="116"/>
  <c r="G24" i="116"/>
  <c r="G22" i="116"/>
  <c r="G25" i="116"/>
  <c r="G26" i="116"/>
  <c r="D43" i="116"/>
  <c r="D46" i="116" s="1"/>
  <c r="J43" i="116"/>
  <c r="J44" i="116"/>
  <c r="J45" i="116"/>
  <c r="H28" i="116"/>
  <c r="F11" i="162" s="1"/>
  <c r="C45" i="116"/>
  <c r="C43" i="116"/>
  <c r="F11" i="126"/>
  <c r="E7" i="163" l="1"/>
  <c r="E33" i="179" s="1"/>
  <c r="E9" i="163"/>
  <c r="E35" i="179" s="1"/>
  <c r="E8" i="163"/>
  <c r="G28" i="116"/>
  <c r="F23" i="140"/>
  <c r="C46" i="116"/>
  <c r="I43" i="116"/>
  <c r="G30" i="116"/>
  <c r="G32" i="116"/>
  <c r="G34" i="116"/>
  <c r="G29" i="116"/>
  <c r="G31" i="116"/>
  <c r="G33" i="116"/>
  <c r="J46" i="116"/>
  <c r="H35" i="116"/>
  <c r="F11" i="163" s="1"/>
  <c r="I45" i="116"/>
  <c r="I44" i="116"/>
  <c r="E11" i="163" l="1"/>
  <c r="E34" i="179"/>
  <c r="G35" i="116"/>
  <c r="F23" i="141"/>
  <c r="I46" i="116"/>
  <c r="F15" i="140"/>
  <c r="F15" i="139"/>
  <c r="F15" i="120"/>
  <c r="F13" i="140"/>
  <c r="F13" i="139"/>
  <c r="F13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7" i="141" s="1"/>
  <c r="E32" i="107"/>
  <c r="B15" i="141"/>
  <c r="D15" i="141"/>
  <c r="C9" i="141"/>
  <c r="B8" i="141"/>
  <c r="B17" i="141"/>
  <c r="B13" i="141"/>
  <c r="D13" i="141"/>
  <c r="D19" i="141"/>
  <c r="B18" i="141"/>
  <c r="D17" i="141"/>
  <c r="B16" i="141"/>
  <c r="B14" i="141"/>
  <c r="B12" i="141"/>
  <c r="D11" i="141"/>
  <c r="B11" i="141"/>
  <c r="F11" i="141"/>
  <c r="C11" i="141"/>
  <c r="B10" i="141"/>
  <c r="D9" i="141"/>
  <c r="B9" i="141"/>
  <c r="D8" i="141"/>
  <c r="F8" i="140"/>
  <c r="B19" i="141"/>
  <c r="B20" i="141"/>
  <c r="F19" i="120"/>
  <c r="F19" i="139"/>
  <c r="F19" i="140"/>
  <c r="C19" i="141"/>
  <c r="F17" i="120"/>
  <c r="F17" i="139"/>
  <c r="F17" i="140"/>
  <c r="F11" i="120"/>
  <c r="F11" i="139"/>
  <c r="F11" i="140"/>
  <c r="F9" i="120"/>
  <c r="F9" i="139"/>
  <c r="F9" i="140"/>
  <c r="D7" i="141"/>
  <c r="F8" i="139"/>
  <c r="F8" i="120"/>
  <c r="H18" i="107"/>
  <c r="H12" i="107"/>
  <c r="H24" i="107"/>
  <c r="H27" i="107"/>
  <c r="H11" i="107"/>
  <c r="H17" i="107"/>
  <c r="H23" i="107"/>
  <c r="H26" i="107"/>
  <c r="F7" i="140" s="1"/>
  <c r="H28" i="107"/>
  <c r="H10" i="107"/>
  <c r="F7" i="120"/>
  <c r="H16" i="107"/>
  <c r="H20" i="107"/>
  <c r="F7" i="139" s="1"/>
  <c r="H22" i="107"/>
  <c r="H29" i="107"/>
  <c r="H15" i="107"/>
  <c r="H21" i="107"/>
  <c r="H30" i="107"/>
  <c r="H32" i="107" l="1"/>
  <c r="F7" i="141" s="1"/>
  <c r="G31" i="107"/>
  <c r="C7" i="141"/>
  <c r="F9" i="141"/>
  <c r="F8" i="141"/>
  <c r="F17" i="141"/>
  <c r="C17" i="141"/>
  <c r="F15" i="141"/>
  <c r="C15" i="141"/>
  <c r="B21" i="141"/>
  <c r="B23" i="141" s="1"/>
  <c r="F13" i="141"/>
  <c r="C13" i="141"/>
  <c r="D21" i="141"/>
  <c r="E8" i="141" s="1"/>
  <c r="C8" i="141"/>
  <c r="F19" i="141"/>
  <c r="G28" i="107"/>
  <c r="G30" i="107"/>
  <c r="G29" i="107"/>
  <c r="G27" i="107"/>
  <c r="G32" i="107" l="1"/>
  <c r="C21" i="141"/>
  <c r="C23" i="141" s="1"/>
  <c r="E17" i="141"/>
  <c r="E7" i="141"/>
  <c r="E18" i="141"/>
  <c r="E13" i="141"/>
  <c r="E14" i="141"/>
  <c r="E12" i="141"/>
  <c r="E15" i="141"/>
  <c r="E11" i="141"/>
  <c r="E10" i="141"/>
  <c r="E16" i="141"/>
  <c r="E9" i="141"/>
  <c r="E19" i="141"/>
  <c r="E20" i="141"/>
  <c r="D23" i="141"/>
  <c r="E21" i="141" l="1"/>
</calcChain>
</file>

<file path=xl/sharedStrings.xml><?xml version="1.0" encoding="utf-8"?>
<sst xmlns="http://schemas.openxmlformats.org/spreadsheetml/2006/main" count="1545" uniqueCount="322">
  <si>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</si>
  <si>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</si>
  <si>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</si>
  <si>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</si>
  <si>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</si>
  <si>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</si>
  <si>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</si>
  <si>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</si>
  <si>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</si>
  <si>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</si>
  <si>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</si>
  <si>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</si>
  <si>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</si>
  <si>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</si>
  <si>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</si>
  <si>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</si>
  <si>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</si>
  <si>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</si>
  <si>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</si>
  <si>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</si>
  <si>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</si>
  <si>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</si>
  <si>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</si>
  <si>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</si>
  <si>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</si>
  <si>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</si>
  <si>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</si>
  <si>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</si>
  <si>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</si>
  <si>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</si>
  <si>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</si>
  <si>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</si>
  <si>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</si>
  <si>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</si>
  <si>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</si>
  <si>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</si>
  <si>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</si>
  <si>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</si>
  <si>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</si>
  <si>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</si>
  <si>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</si>
  <si>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</si>
  <si>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</si>
  <si>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</si>
  <si>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</si>
  <si>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</si>
  <si>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</si>
  <si>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</si>
  <si>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I. čtvrtletí</t>
  </si>
  <si>
    <t>Tok plynu do/z plynárenské soustavy ČR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</si>
  <si>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</si>
  <si>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</si>
  <si>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</si>
  <si>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</si>
  <si>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</si>
  <si>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</si>
  <si>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</si>
  <si>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</si>
  <si>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</si>
  <si>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</si>
  <si>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</si>
  <si>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 xml:space="preserve">       Průměrná teplota ovzduší podle krajů (°C)</t>
  </si>
  <si>
    <t>Průměr</t>
  </si>
  <si>
    <t>III. čtvrtletí</t>
  </si>
  <si>
    <t>Spotřeba plynu
v ČR</t>
  </si>
  <si>
    <t>Moravia GS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</si>
  <si>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</si>
  <si>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</si>
  <si>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</si>
  <si>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</si>
  <si>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</si>
  <si>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</si>
  <si>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</si>
  <si>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</si>
  <si>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</si>
  <si>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</si>
  <si>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</si>
  <si>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</si>
  <si>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</si>
  <si>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</si>
  <si>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</si>
  <si>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</si>
  <si>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</si>
  <si>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</si>
  <si>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Ostatní společnosti</t>
  </si>
  <si>
    <t>zákazníci připojeni přímo k PS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</si>
  <si>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</si>
  <si>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</si>
  <si>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</si>
  <si>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</si>
  <si>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</si>
  <si>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</si>
  <si>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</si>
  <si>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</si>
  <si>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OP+VS+PKS</t>
  </si>
  <si>
    <t xml:space="preserve"> OP+VS+PKS</t>
  </si>
  <si>
    <t>VS+PKS</t>
  </si>
  <si>
    <t>Bilanční rozdíl v PS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</si>
  <si>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</si>
  <si>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</si>
  <si>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</si>
  <si>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</si>
  <si>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</si>
  <si>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</si>
  <si>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</si>
  <si>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</si>
  <si>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</si>
  <si>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</si>
  <si>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</si>
  <si>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</si>
  <si>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</si>
  <si>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</si>
  <si>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</si>
  <si>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</si>
  <si>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</si>
  <si>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</si>
  <si>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</si>
  <si>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</si>
  <si>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</si>
  <si>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</si>
  <si>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</si>
  <si>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</si>
  <si>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</si>
  <si>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</si>
  <si>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</si>
  <si>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</si>
  <si>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</si>
  <si>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</si>
  <si>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</si>
  <si>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</si>
  <si>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</si>
  <si>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</si>
  <si>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</si>
  <si>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</si>
  <si>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</si>
  <si>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</si>
  <si>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</si>
  <si>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</si>
  <si>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</si>
  <si>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</si>
  <si>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</si>
  <si>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</si>
  <si>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</si>
  <si>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</si>
  <si>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</si>
  <si>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</si>
  <si>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</si>
  <si>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</si>
  <si>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</si>
  <si>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</si>
  <si>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</si>
  <si>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</si>
  <si>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</si>
  <si>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</si>
  <si>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Spotřeba plynu 
na výrobu 
elektřiny</t>
  </si>
  <si>
    <t>Skutečná spotřeba 
plynu v ČR</t>
  </si>
  <si>
    <t>Přepočtená spotřeba 
plynu v ČR</t>
  </si>
  <si>
    <t>Teplota ovzduší v ČR (°C)</t>
  </si>
  <si>
    <t>Denní fyzické množství plynu pro pohon kompresních stanic a ostatní plyn, který představuje neměřené hodnoty rozdílového množství celkové bilance PS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</si>
  <si>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</si>
  <si>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</si>
  <si>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</si>
  <si>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</si>
  <si>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</si>
  <si>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</si>
  <si>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</si>
  <si>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</si>
  <si>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</si>
  <si>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</si>
  <si>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</si>
  <si>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</si>
  <si>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</si>
  <si>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</si>
  <si>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</si>
  <si>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</si>
  <si>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</si>
  <si>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</si>
  <si>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</si>
  <si>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</si>
  <si>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</si>
  <si>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</si>
  <si>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</si>
  <si>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</si>
  <si>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</si>
  <si>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</si>
  <si>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</si>
  <si>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Počet 
zákazníků</t>
  </si>
  <si>
    <t>Teplota ovzduší</t>
  </si>
  <si>
    <t xml:space="preserve">                           Kraje</t>
  </si>
  <si>
    <t>Přepravní soustava a zásobníky plynu ČR</t>
  </si>
  <si>
    <t>Bilanční rozdíl
v přepravní soustavě</t>
  </si>
  <si>
    <t>saldo
ze/do ZP</t>
  </si>
  <si>
    <t>saldo
do/z ČR</t>
  </si>
  <si>
    <t>Tok plynu do/z
plynárenské soustavy ČR</t>
  </si>
  <si>
    <t>Tok plynu ze/do ZP,
které náleží do PLS ČR</t>
  </si>
  <si>
    <t>Spotřeba plynu [MWh]</t>
  </si>
  <si>
    <t>připojena 
k RDS</t>
  </si>
  <si>
    <t>připojena 
k LDS</t>
  </si>
  <si>
    <t>Do ČR</t>
  </si>
  <si>
    <t>Z ČR</t>
  </si>
  <si>
    <t>Ze ZP</t>
  </si>
  <si>
    <t>Do ZP</t>
  </si>
  <si>
    <t>Poznámka: Případné rozdílné znaménko v objemových a energetických jednotkách "Bilanční rozdílu v přepravní soustavě" je způsobeno odlišným spalným teplem na vstupech a výstupech plynárenské soustavy. Tato hodnota představuje neměřené hodnoty rozdílového množství celkové bilance přepravní soustavy.</t>
  </si>
  <si>
    <t>RWE GS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</si>
  <si>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</si>
  <si>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Společnost GasNet, s.r.o. (provozovatel regionální distribuční soustavy) </t>
  </si>
  <si>
    <t>Společnost Moravia Gas Storage a.s. (provozovatel zásobníku plynu)</t>
  </si>
  <si>
    <t>Společnost NET4GAS, s.r.o. (provozovatel přepravní plynárenské soustavy)</t>
  </si>
  <si>
    <t>Společnost Pražská plynárenská Distribuce, a.s., člen koncernu Pražská plynárenská, a.s. (provozovatel regionální distribuční soustavy)</t>
  </si>
  <si>
    <t>Společnost RWE Gas Storage CZ, s.r.o. (provozovatel zásobníků plynu)</t>
  </si>
  <si>
    <t>±1,0</t>
  </si>
  <si>
    <t>EG.D, a.s.</t>
  </si>
  <si>
    <t>Společnost EG.D, a.s. (provozovatel regionální distribuční soustavy)</t>
  </si>
  <si>
    <t>EG.D</t>
  </si>
  <si>
    <t xml:space="preserve"> EG.D</t>
  </si>
  <si>
    <t>MND ES</t>
  </si>
  <si>
    <t>Společnost MND Energy Storage a.s. (provozovatel zásobníku plynu)</t>
  </si>
  <si>
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</t>
  </si>
  <si>
    <t>Tok plynu do plynárenské soustavy ČR</t>
  </si>
  <si>
    <t>/</t>
  </si>
  <si>
    <t>GWh</t>
  </si>
  <si>
    <t>Tok plynu z plynárenské soustavy ČR</t>
  </si>
  <si>
    <t>Tok plynu ze zásobníků plynu ČR (těžba)</t>
  </si>
  <si>
    <t>Tok plynu do zásobníků plynu ČR (vtláčení)</t>
  </si>
  <si>
    <t>Stav provozních zásob u zásobníků plynu ČR na konci čtrvrtletí</t>
  </si>
  <si>
    <t>Dodávky od výrobců plynu vč. vlastní spotřeby (vnitrostátní těžba)</t>
  </si>
  <si>
    <t>Skutečná spotřeba plynu v ČR</t>
  </si>
  <si>
    <t>Meziroční změna skutečné spotřeby plynu (nárůst +, pokles -)</t>
  </si>
  <si>
    <t>%</t>
  </si>
  <si>
    <t>Přepočtená spotřeba plynu v ČR</t>
  </si>
  <si>
    <t>Meziroční změna přepočtené spotřeby plynu (nárůst +, pokles -)</t>
  </si>
  <si>
    <t>Průměrná teplota za celé čtvrtletí</t>
  </si>
  <si>
    <t>°C</t>
  </si>
  <si>
    <t>Dlouhodobý teplotní normál</t>
  </si>
  <si>
    <t>Odchylka od dlouhodobého teplotního normálu</t>
  </si>
  <si>
    <t>Maximální denní spotřeba plynu v ČR</t>
  </si>
  <si>
    <t>Minimální denní spotřeba plynu v ČR</t>
  </si>
  <si>
    <t>Podíl / meziroční změna u společnosti PP Distribuce</t>
  </si>
  <si>
    <t>Podíl / meziroční změna u společnosti GasNet</t>
  </si>
  <si>
    <t>Podíl / meziroční změna u společnosti EG.D</t>
  </si>
  <si>
    <t>Podíl / meziroční změna u ostatních společností</t>
  </si>
  <si>
    <t>Celkový počet zákazníků v plynárenské soustavě ČR</t>
  </si>
  <si>
    <t>Bilanční rozdíl 
v PS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</si>
  <si>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plynárenských společností 
    na celkové spotřebě v ČR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</si>
  <si>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dlouhodobý teplotní normál</t>
    </r>
  </si>
  <si>
    <r>
      <rPr>
        <vertAlign val="superscript"/>
        <sz val="8"/>
        <rFont val="Arial"/>
        <family val="2"/>
        <charset val="238"/>
      </rPr>
      <t xml:space="preserve">3) </t>
    </r>
    <r>
      <rPr>
        <sz val="8"/>
        <rFont val="Arial"/>
        <family val="2"/>
        <charset val="238"/>
      </rPr>
      <t>odchylka od dlouhodobého teplotního normálu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</si>
  <si>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kraje na celkové spotřebě 
   zákazníků v ČR</t>
    </r>
  </si>
  <si>
    <t>OBSAH</t>
  </si>
  <si>
    <t>ÚVOD</t>
  </si>
  <si>
    <t>Výroba plynu
v ČR
(včetně VS)</t>
  </si>
  <si>
    <r>
      <t>Tok plynu do/z plynárenské soustavy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</si>
  <si>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Tok plynu ze/do ZP, které náleží do PLS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</si>
  <si>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Spotřeba plynu v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</si>
  <si>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Plynárenská soustava</t>
    </r>
    <r>
      <rPr>
        <sz val="11"/>
        <color rgb="FF233060"/>
        <rFont val="Arial"/>
        <family val="2"/>
        <charset val="238"/>
      </rPr>
      <t xml:space="preserve"> (kapitola 3)</t>
    </r>
  </si>
  <si>
    <r>
      <t xml:space="preserve">Spotřeba zemního plynu </t>
    </r>
    <r>
      <rPr>
        <sz val="11"/>
        <color rgb="FF233060"/>
        <rFont val="Arial"/>
        <family val="2"/>
        <charset val="238"/>
      </rPr>
      <t>(kapitola 4)</t>
    </r>
  </si>
  <si>
    <r>
      <t>Spotřeba zemního plynu podle distribučních soustav</t>
    </r>
    <r>
      <rPr>
        <sz val="11"/>
        <color rgb="FF233060"/>
        <rFont val="Arial"/>
        <family val="2"/>
        <charset val="238"/>
      </rPr>
      <t xml:space="preserve"> (kapitola 5)</t>
    </r>
  </si>
  <si>
    <r>
      <t>Spotřeba plynu po kategoriích 
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</si>
  <si>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Spotřeba plynu celkem 
(GWh)</t>
  </si>
  <si>
    <t>Pražská plynárenská 
Distribuce, a.s.</t>
  </si>
  <si>
    <t>Spotřeba plynu podle krajů (MWh)</t>
  </si>
  <si>
    <r>
      <t>mil. m</t>
    </r>
    <r>
      <rPr>
        <vertAlign val="superscript"/>
        <sz val="11"/>
        <rFont val="Arial"/>
        <family val="2"/>
        <charset val="238"/>
      </rPr>
      <t>3</t>
    </r>
  </si>
  <si>
    <t xml:space="preserve"> </t>
  </si>
  <si>
    <r>
      <t>mil. m</t>
    </r>
    <r>
      <rPr>
        <b/>
        <vertAlign val="superscript"/>
        <sz val="8"/>
        <rFont val="Arial"/>
        <family val="2"/>
        <charset val="238"/>
      </rPr>
      <t>3</t>
    </r>
  </si>
  <si>
    <r>
      <t>tis. m</t>
    </r>
    <r>
      <rPr>
        <b/>
        <vertAlign val="superscript"/>
        <sz val="8"/>
        <rFont val="Arial"/>
        <family val="2"/>
        <charset val="238"/>
      </rPr>
      <t>3</t>
    </r>
  </si>
  <si>
    <t>MWh</t>
  </si>
  <si>
    <t>Teplota ovzduší v ČR</t>
  </si>
  <si>
    <t xml:space="preserve"> změna</t>
  </si>
  <si>
    <t>změna</t>
  </si>
  <si>
    <t>OP
VS
PKS</t>
  </si>
  <si>
    <t>Max</t>
  </si>
  <si>
    <t>Min</t>
  </si>
  <si>
    <r>
      <t>(tis. m</t>
    </r>
    <r>
      <rPr>
        <b/>
        <vertAlign val="superscript"/>
        <sz val="8"/>
        <color rgb="FF233060"/>
        <rFont val="Arial"/>
        <family val="2"/>
        <charset val="238"/>
      </rPr>
      <t>3</t>
    </r>
    <r>
      <rPr>
        <b/>
        <sz val="8"/>
        <color rgb="FF233060"/>
        <rFont val="Arial"/>
        <family val="2"/>
        <charset val="238"/>
      </rPr>
      <t>)</t>
    </r>
  </si>
  <si>
    <t>Změna spotřeby</t>
  </si>
  <si>
    <r>
      <t>Spotřeba plynu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</si>
  <si>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Podíl jednotlivých měsíců na spotřebě plynu</t>
  </si>
  <si>
    <r>
      <t>Spotřeba plynu podle plynárenských společností 
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</si>
  <si>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Průměrná teplota ovzduší podle plynárenských společností (°C)</t>
  </si>
  <si>
    <t>Podíl spotřeby plynu 
podle plynárenských společností</t>
  </si>
  <si>
    <r>
      <t>Spotřeba plynu (tis. m</t>
    </r>
    <r>
      <rPr>
        <b/>
        <vertAlign val="superscript"/>
        <sz val="8"/>
        <rFont val="Arial"/>
        <family val="2"/>
        <charset val="238"/>
      </rPr>
      <t>3</t>
    </r>
    <r>
      <rPr>
        <b/>
        <sz val="8"/>
        <rFont val="Arial"/>
        <family val="2"/>
        <charset val="238"/>
      </rPr>
      <t>)</t>
    </r>
  </si>
  <si>
    <t>Spotřeba plynu (MWh)</t>
  </si>
  <si>
    <r>
      <t>Spotřeba zemního plynu podle plynárenských soustav v ČR po jednotlivých čtvrtletích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</si>
  <si>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Podíl</t>
    </r>
    <r>
      <rPr>
        <b/>
        <vertAlign val="superscript"/>
        <sz val="8"/>
        <rFont val="Arial"/>
        <family val="2"/>
        <charset val="238"/>
      </rPr>
      <t>1)</t>
    </r>
  </si>
  <si>
    <r>
      <t>Normál</t>
    </r>
    <r>
      <rPr>
        <b/>
        <vertAlign val="superscript"/>
        <sz val="8"/>
        <color theme="1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</si>
  <si>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color theme="1"/>
        <rFont val="Arial"/>
        <family val="2"/>
        <charset val="238"/>
      </rPr>
      <t>3)</t>
    </r>
  </si>
  <si>
    <t>Změna</t>
  </si>
  <si>
    <t>Plynárenské 
společnosti</t>
  </si>
  <si>
    <r>
      <t>Normál</t>
    </r>
    <r>
      <rPr>
        <b/>
        <vertAlign val="superscript"/>
        <sz val="8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</si>
  <si>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rFont val="Arial"/>
        <family val="2"/>
        <charset val="238"/>
      </rPr>
      <t>3)</t>
    </r>
  </si>
  <si>
    <t>1 ZKRATKY A POJMY</t>
  </si>
  <si>
    <t>3 PLYNÁRENSKÁ SOUSTAVA</t>
  </si>
  <si>
    <t>4 SPOTŘEBA ZEMNÍHO PLYNU</t>
  </si>
  <si>
    <t>5 SPOTŘEBA ZEMNÍHO PLYNU PODLE DISTRIBUČNÍCH SOUSTAV</t>
  </si>
  <si>
    <t>6 SPOTŘEBA ZEMNÍHO PLYNU PODLE KRAJŮ</t>
  </si>
  <si>
    <t>7 MAPA PLYNÁRENSKÉ SOUSTAVY ČR</t>
  </si>
  <si>
    <t>3.1 Čtvrtletní bilance plynárenské soustavy ČR</t>
  </si>
  <si>
    <t>3.2 Bilance plynárenské soustavy ČR v průběhu roku</t>
  </si>
  <si>
    <t>4.1 Spotřeba zemního plynu v ČR v průběhu roku</t>
  </si>
  <si>
    <t>4.2 Spotřeba zemního plynu v ČR podle kategorií zákazníků v průběhu roku</t>
  </si>
  <si>
    <t>4.3 Denní průběh spotřeb zemního plynu v ČR</t>
  </si>
  <si>
    <t>5.1 Spotřeba zemního plynu podle kategorií zákazníků v ČR</t>
  </si>
  <si>
    <t>5.2 Spotřeba zemního plynu u společnosti PP Distribuce</t>
  </si>
  <si>
    <t>5.3 Spotřeba zemního plynu u společnosti GasNet</t>
  </si>
  <si>
    <t>5.4 Spotřeba zemního plynu u společnosti EG.D</t>
  </si>
  <si>
    <t>5.5 Spotřeba zemního plynu u ostatních společností</t>
  </si>
  <si>
    <t>5.10 Spotřeba zemního plynu podle plynárenských soustav v průběhu roku</t>
  </si>
  <si>
    <t>6.1 Spotřeba zemního plynu: Jihočeský a Jihomoravský kraj</t>
  </si>
  <si>
    <t>6.2 Spotřeba zemního plynu: Karlovarský a Královéhradecký kraj</t>
  </si>
  <si>
    <t>6.3 Spotřeba zemního plynu: Liberecký a Moravskoslezský kraj</t>
  </si>
  <si>
    <t>6.4 Spotřeba zemního plynu: Olomoucký a Pardubický kraj</t>
  </si>
  <si>
    <t>6.5 Spotřeba zemního plynu: Plzeňský kraj a Hlavní město Praha</t>
  </si>
  <si>
    <t>6.6 Spotřeba zemního plynu: Středočeský a Ústecký kraj</t>
  </si>
  <si>
    <t>6.7 Spotřeba zemního plynu: Kraj Vysočina a Zlínský kraj</t>
  </si>
  <si>
    <t>6.12 Spotřeba zemního plynu podle krajů v ČR v průběhu roku</t>
  </si>
  <si>
    <t>* Prognóza spotřeby plynu do konce 2022 byla zpracována v červnu 2022.</t>
  </si>
  <si>
    <t xml:space="preserve">Energetický regulační úřad (ERÚ) zveřejňuje Čtvrtletní zprávu o provozu plynárenské soustavy ČR za dané čtvrtletí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 rámci ČR nebo Evropské unie a odbornou veřejnost.
ERÚ v této zprávě uvádí všechna dostupná provozně technická data, která představují fyzické toky plynu. Údaje pro čtvrtletní zprávu jsou získávány na základě vyhlášky č. 404/2016 Sb., o náležitostech a členění výkazů nezbytných pro zpracování zpráv o provozu soustav v energetických odvětvích, včetně termínů, rozsahu a pravidel pro sestavování výkazů (statistická vyhláška), ve znění pozdějších předpisů, která nabyla účinnost dnem 1. ledna 2017. V rámci svých kompetencí, určených § 20a odst. 4 písm. e) energetického zákona, zpracovává operátor trhu své měsíční a roční statistiky o trhu s 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plynárenství č. 9/2018 ze dne 14. 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2022, kterou ERÚ předpokládá zveřejnit do konce května roku 2023.
</t>
  </si>
  <si>
    <t>Podíl jednotlivých kategorií 
na celkovém počtu zákazníků</t>
  </si>
  <si>
    <t>Oddělení statistiky a sledování kvality</t>
  </si>
  <si>
    <t>plyn.statistika@eru.cz</t>
  </si>
  <si>
    <r>
      <rPr>
        <b/>
        <sz val="24"/>
        <color rgb="FF1A3366"/>
        <rFont val="Arial"/>
        <family val="2"/>
        <charset val="238"/>
      </rPr>
      <t xml:space="preserve">ČTVRTLETNÍ ZPRÁVA O PROVOZU 
PLYNÁRENSKÉ SOUSTAVY
ČESKÉ REPUBLIKY
</t>
    </r>
    <r>
      <rPr>
        <b/>
        <sz val="24"/>
        <color theme="8"/>
        <rFont val="Arial"/>
        <family val="2"/>
        <charset val="238"/>
      </rPr>
      <t>ZA IV. ČTVRTLETÍ 2022</t>
    </r>
  </si>
  <si>
    <t>spotřeba 
v LDS, která není 
v RDS</t>
  </si>
  <si>
    <t>Vydání</t>
  </si>
  <si>
    <r>
      <t>Celkové roční údaje uvedené ve zprávě v příslušných tabulkách nejsou konečné, ale jsou pouze na základě aktuálních měsíčních hodnot. Předběžná roční skutečná spotřeba zemního plynu dosáhla hodnoty 7,5 mld. m</t>
    </r>
    <r>
      <rPr>
        <vertAlign val="superscript"/>
        <sz val="11"/>
        <color theme="1"/>
        <rFont val="Arial"/>
        <family val="2"/>
        <charset val="238"/>
      </rPr>
      <t>3</t>
    </r>
    <r>
      <rPr>
        <sz val="11"/>
        <color theme="1"/>
        <rFont val="Arial"/>
        <family val="2"/>
        <charset val="238"/>
      </rPr>
      <t>, tj. 81,5 TWh, pokles o 20 % oproti předchozímu roku. Předběžná přepočtená spotřeba zemního plynu byla vypočtena na 7,8 mld. m</t>
    </r>
    <r>
      <rPr>
        <vertAlign val="superscript"/>
        <sz val="11"/>
        <color theme="1"/>
        <rFont val="Arial"/>
        <family val="2"/>
        <charset val="238"/>
      </rPr>
      <t>3</t>
    </r>
    <r>
      <rPr>
        <sz val="11"/>
        <color theme="1"/>
        <rFont val="Arial"/>
        <family val="2"/>
        <charset val="238"/>
      </rPr>
      <t>, tj. 84,1 TWh, meziroční pokles o 16,5 %. Konečná roční data budou uvedena v Roční zprávě o provozu elektrizační soustavy ČR za rok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</si>
</sst>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</numFmts>
  <fonts count="144">
    <font>
      <sz val="10"/>
      <name val="Arial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rgb="FFFF0000"/>
      <name val="Arial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FF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vertAlign val="superscript"/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16"/>
      <color rgb="FF233060"/>
      <name val="Arial"/>
      <family val="2"/>
      <charset val="238"/>
    </font>
    <font>
      <b/>
      <sz val="10"/>
      <color rgb="FF233060"/>
      <name val="Arial"/>
      <family val="2"/>
      <charset val="238"/>
    </font>
    <font>
      <sz val="10"/>
      <color rgb="FF233060"/>
      <name val="Arial"/>
      <family val="2"/>
      <charset val="238"/>
    </font>
    <font>
      <b/>
      <sz val="11"/>
      <color rgb="FF233060"/>
      <name val="Arial"/>
      <family val="2"/>
      <charset val="238"/>
    </font>
    <font>
      <sz val="11"/>
      <color rgb="FF233060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8" tint="-0.249977111117893"/>
      <name val="Arial"/>
      <family val="2"/>
      <charset val="238"/>
    </font>
    <font>
      <sz val="14"/>
      <color rgb="FF233060"/>
      <name val="Arial"/>
      <family val="2"/>
      <charset val="238"/>
    </font>
    <font>
      <sz val="26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8"/>
      <color rgb="FF000099"/>
      <name val="Arial"/>
      <family val="2"/>
      <charset val="238"/>
    </font>
    <font>
      <sz val="8"/>
      <color rgb="FF233060"/>
      <name val="Arial"/>
      <family val="2"/>
      <charset val="238"/>
    </font>
    <font>
      <b/>
      <sz val="8"/>
      <color rgb="FF233060"/>
      <name val="Arial"/>
      <family val="2"/>
      <charset val="238"/>
    </font>
    <font>
      <b/>
      <vertAlign val="superscript"/>
      <sz val="10"/>
      <color rgb="FF233060"/>
      <name val="Arial"/>
      <family val="2"/>
      <charset val="238"/>
    </font>
    <font>
      <b/>
      <sz val="10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7"/>
      <color rgb="FF153366"/>
      <name val="Arial"/>
      <family val="2"/>
      <charset val="238"/>
      <scheme val="minor"/>
    </font>
    <font>
      <b/>
      <sz val="24"/>
      <color theme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u/>
      <sz val="8"/>
      <name val="Arial"/>
      <family val="2"/>
      <charset val="238"/>
    </font>
    <font>
      <b/>
      <vertAlign val="superscript"/>
      <sz val="8"/>
      <color rgb="FF233060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14"/>
      <color rgb="FF233060"/>
      <name val="Arial"/>
      <family val="2"/>
      <charset val="238"/>
    </font>
    <font>
      <b/>
      <sz val="11"/>
      <color rgb="FFE53A2E"/>
      <name val="Arial"/>
      <family val="2"/>
      <charset val="238"/>
    </font>
    <font>
      <sz val="11"/>
      <color theme="3"/>
      <name val="Arial"/>
      <family val="2"/>
      <charset val="238"/>
    </font>
    <font>
      <vertAlign val="superscript"/>
      <sz val="11"/>
      <color theme="1"/>
      <name val="Arial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0">
    <xf numFmtId="0" fontId="0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9" fontId="9" fillId="0" borderId="0" applyFont="0" applyFill="0" applyBorder="0" applyAlignment="0" applyProtection="0"/>
    <xf numFmtId="4" fontId="12" fillId="3" borderId="3" applyNumberFormat="0" applyProtection="0">
      <alignment vertical="center"/>
    </xf>
    <xf numFmtId="4" fontId="12" fillId="4" borderId="3" applyNumberFormat="0" applyProtection="0">
      <alignment horizontal="left" vertical="center" indent="1"/>
    </xf>
    <xf numFmtId="4" fontId="12" fillId="5" borderId="0" applyNumberFormat="0" applyProtection="0">
      <alignment horizontal="left" vertical="center" indent="1"/>
    </xf>
    <xf numFmtId="4" fontId="13" fillId="6" borderId="3" applyNumberFormat="0" applyProtection="0">
      <alignment horizontal="right" vertical="center"/>
    </xf>
    <xf numFmtId="4" fontId="13" fillId="7" borderId="3" applyNumberFormat="0" applyProtection="0">
      <alignment horizontal="left" vertical="center" indent="1"/>
    </xf>
    <xf numFmtId="2" fontId="9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4" fontId="14" fillId="4" borderId="3" applyNumberFormat="0" applyProtection="0">
      <alignment vertical="center"/>
    </xf>
    <xf numFmtId="0" fontId="12" fillId="4" borderId="3" applyNumberFormat="0" applyProtection="0">
      <alignment horizontal="left" vertical="top" indent="1"/>
    </xf>
    <xf numFmtId="4" fontId="13" fillId="8" borderId="3" applyNumberFormat="0" applyProtection="0">
      <alignment horizontal="right" vertical="center"/>
    </xf>
    <xf numFmtId="4" fontId="13" fillId="9" borderId="3" applyNumberFormat="0" applyProtection="0">
      <alignment horizontal="right" vertical="center"/>
    </xf>
    <xf numFmtId="4" fontId="13" fillId="10" borderId="3" applyNumberFormat="0" applyProtection="0">
      <alignment horizontal="right" vertical="center"/>
    </xf>
    <xf numFmtId="4" fontId="13" fillId="11" borderId="3" applyNumberFormat="0" applyProtection="0">
      <alignment horizontal="right" vertical="center"/>
    </xf>
    <xf numFmtId="4" fontId="13" fillId="12" borderId="3" applyNumberFormat="0" applyProtection="0">
      <alignment horizontal="right" vertical="center"/>
    </xf>
    <xf numFmtId="4" fontId="13" fillId="13" borderId="3" applyNumberFormat="0" applyProtection="0">
      <alignment horizontal="right" vertical="center"/>
    </xf>
    <xf numFmtId="4" fontId="13" fillId="14" borderId="3" applyNumberFormat="0" applyProtection="0">
      <alignment horizontal="right" vertical="center"/>
    </xf>
    <xf numFmtId="4" fontId="13" fillId="15" borderId="3" applyNumberFormat="0" applyProtection="0">
      <alignment horizontal="right" vertical="center"/>
    </xf>
    <xf numFmtId="4" fontId="13" fillId="16" borderId="3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4" fontId="15" fillId="17" borderId="0" applyNumberFormat="0" applyProtection="0">
      <alignment horizontal="left" vertical="center" indent="1"/>
    </xf>
    <xf numFmtId="4" fontId="13" fillId="7" borderId="3" applyNumberFormat="0" applyProtection="0">
      <alignment horizontal="right" vertical="center"/>
    </xf>
    <xf numFmtId="4" fontId="16" fillId="6" borderId="0" applyNumberFormat="0" applyProtection="0">
      <alignment horizontal="left" vertical="center" indent="1"/>
    </xf>
    <xf numFmtId="4" fontId="16" fillId="5" borderId="0" applyNumberFormat="0" applyProtection="0">
      <alignment horizontal="left" vertical="center" indent="1"/>
    </xf>
    <xf numFmtId="0" fontId="9" fillId="17" borderId="3" applyNumberFormat="0" applyProtection="0">
      <alignment horizontal="left" vertical="center" indent="1"/>
    </xf>
    <xf numFmtId="0" fontId="9" fillId="17" borderId="3" applyNumberFormat="0" applyProtection="0">
      <alignment horizontal="left" vertical="top" indent="1"/>
    </xf>
    <xf numFmtId="0" fontId="9" fillId="5" borderId="3" applyNumberFormat="0" applyProtection="0">
      <alignment horizontal="left" vertical="center" indent="1"/>
    </xf>
    <xf numFmtId="0" fontId="9" fillId="5" borderId="3" applyNumberFormat="0" applyProtection="0">
      <alignment horizontal="left" vertical="top" indent="1"/>
    </xf>
    <xf numFmtId="0" fontId="9" fillId="18" borderId="3" applyNumberFormat="0" applyProtection="0">
      <alignment horizontal="left" vertical="center" indent="1"/>
    </xf>
    <xf numFmtId="0" fontId="9" fillId="18" borderId="3" applyNumberFormat="0" applyProtection="0">
      <alignment horizontal="left" vertical="top" indent="1"/>
    </xf>
    <xf numFmtId="0" fontId="9" fillId="19" borderId="3" applyNumberFormat="0" applyProtection="0">
      <alignment horizontal="left" vertical="center" indent="1"/>
    </xf>
    <xf numFmtId="0" fontId="9" fillId="19" borderId="3" applyNumberFormat="0" applyProtection="0">
      <alignment horizontal="left" vertical="top" indent="1"/>
    </xf>
    <xf numFmtId="4" fontId="13" fillId="20" borderId="3" applyNumberFormat="0" applyProtection="0">
      <alignment vertical="center"/>
    </xf>
    <xf numFmtId="4" fontId="17" fillId="20" borderId="3" applyNumberFormat="0" applyProtection="0">
      <alignment vertical="center"/>
    </xf>
    <xf numFmtId="4" fontId="13" fillId="20" borderId="3" applyNumberFormat="0" applyProtection="0">
      <alignment horizontal="left" vertical="center" indent="1"/>
    </xf>
    <xf numFmtId="0" fontId="13" fillId="20" borderId="3" applyNumberFormat="0" applyProtection="0">
      <alignment horizontal="left" vertical="top" indent="1"/>
    </xf>
    <xf numFmtId="4" fontId="17" fillId="6" borderId="3" applyNumberFormat="0" applyProtection="0">
      <alignment horizontal="right" vertical="center"/>
    </xf>
    <xf numFmtId="0" fontId="13" fillId="5" borderId="3" applyNumberFormat="0" applyProtection="0">
      <alignment horizontal="left" vertical="top" indent="1"/>
    </xf>
    <xf numFmtId="4" fontId="18" fillId="0" borderId="0" applyNumberFormat="0" applyProtection="0">
      <alignment horizontal="left" vertical="center" indent="1"/>
    </xf>
    <xf numFmtId="4" fontId="19" fillId="6" borderId="3" applyNumberFormat="0" applyProtection="0">
      <alignment horizontal="right" vertical="center"/>
    </xf>
    <xf numFmtId="0" fontId="9" fillId="0" borderId="0"/>
    <xf numFmtId="0" fontId="20" fillId="21" borderId="4" applyNumberFormat="0" applyFont="0" applyFill="0" applyAlignment="0" applyProtection="0"/>
    <xf numFmtId="0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3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168" fontId="20" fillId="21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2" fontId="20" fillId="21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21" borderId="0" applyNumberFormat="0" applyFill="0" applyBorder="0" applyAlignment="0" applyProtection="0"/>
    <xf numFmtId="0" fontId="23" fillId="21" borderId="0" applyNumberFormat="0" applyFill="0" applyBorder="0" applyAlignment="0" applyProtection="0"/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" fontId="34" fillId="0" borderId="0">
      <alignment horizontal="lef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0"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0" fontId="36" fillId="0" borderId="0"/>
    <xf numFmtId="0" fontId="37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8" fillId="0" borderId="0"/>
    <xf numFmtId="0" fontId="38" fillId="0" borderId="0"/>
    <xf numFmtId="0" fontId="39" fillId="26" borderId="0" applyNumberFormat="0" applyBorder="0" applyAlignment="0" applyProtection="0"/>
    <xf numFmtId="0" fontId="39" fillId="9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39" fillId="29" borderId="0" applyNumberFormat="0" applyBorder="0" applyAlignment="0" applyProtection="0"/>
    <xf numFmtId="0" fontId="39" fillId="9" borderId="0" applyNumberFormat="0" applyBorder="0" applyAlignment="0" applyProtection="0"/>
    <xf numFmtId="0" fontId="39" fillId="3" borderId="0" applyNumberFormat="0" applyBorder="0" applyAlignment="0" applyProtection="0"/>
    <xf numFmtId="0" fontId="39" fillId="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29" borderId="0" applyNumberFormat="0" applyBorder="0" applyAlignment="0" applyProtection="0"/>
    <xf numFmtId="0" fontId="40" fillId="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2" fillId="38" borderId="0" applyNumberFormat="0" applyBorder="0" applyAlignment="0" applyProtection="0"/>
    <xf numFmtId="0" fontId="41" fillId="33" borderId="0" applyNumberFormat="0" applyBorder="0" applyAlignment="0" applyProtection="0"/>
    <xf numFmtId="0" fontId="41" fillId="39" borderId="0" applyNumberFormat="0" applyBorder="0" applyAlignment="0" applyProtection="0"/>
    <xf numFmtId="0" fontId="42" fillId="34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2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" fontId="45" fillId="0" borderId="8" applyAlignment="0">
      <alignment horizontal="left" vertical="center"/>
    </xf>
    <xf numFmtId="173" fontId="46" fillId="4" borderId="9" applyNumberFormat="0" applyFont="0" applyFill="0" applyBorder="0" applyAlignment="0">
      <alignment horizontal="center"/>
    </xf>
    <xf numFmtId="173" fontId="46" fillId="4" borderId="9" applyNumberFormat="0" applyFont="0" applyFill="0" applyBorder="0" applyAlignment="0">
      <alignment horizontal="center"/>
    </xf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9" fillId="0" borderId="0" applyNumberForma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2" fillId="0" borderId="0" applyNumberFormat="0" applyAlignment="0"/>
    <xf numFmtId="0" fontId="53" fillId="0" borderId="0" applyNumberFormat="0" applyAlignment="0"/>
    <xf numFmtId="0" fontId="52" fillId="0" borderId="0" applyNumberFormat="0" applyAlignment="0"/>
    <xf numFmtId="0" fontId="53" fillId="0" borderId="0" applyNumberFormat="0" applyAlignment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0" fontId="54" fillId="0" borderId="0">
      <alignment horizontal="center" vertical="center"/>
    </xf>
    <xf numFmtId="0" fontId="54" fillId="44" borderId="0">
      <alignment horizontal="center" vertical="center"/>
    </xf>
    <xf numFmtId="0" fontId="54" fillId="45" borderId="0">
      <alignment horizontal="center" vertical="center"/>
    </xf>
    <xf numFmtId="0" fontId="54" fillId="46" borderId="0">
      <alignment horizontal="center" vertical="center"/>
    </xf>
    <xf numFmtId="15" fontId="38" fillId="0" borderId="0"/>
    <xf numFmtId="15" fontId="38" fillId="0" borderId="0"/>
    <xf numFmtId="15" fontId="38" fillId="0" borderId="0"/>
    <xf numFmtId="15" fontId="38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38" fontId="58" fillId="50" borderId="0" applyNumberFormat="0" applyBorder="0" applyAlignment="0" applyProtection="0"/>
    <xf numFmtId="0" fontId="59" fillId="0" borderId="12" applyNumberFormat="0" applyAlignment="0" applyProtection="0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60" fillId="51" borderId="0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76" fontId="9" fillId="52" borderId="0"/>
    <xf numFmtId="176" fontId="9" fillId="52" borderId="0"/>
    <xf numFmtId="176" fontId="9" fillId="52" borderId="0"/>
    <xf numFmtId="176" fontId="9" fillId="52" borderId="0"/>
    <xf numFmtId="0" fontId="61" fillId="53" borderId="13" applyNumberFormat="0" applyAlignment="0" applyProtection="0"/>
    <xf numFmtId="176" fontId="9" fillId="54" borderId="0"/>
    <xf numFmtId="176" fontId="9" fillId="54" borderId="0"/>
    <xf numFmtId="176" fontId="9" fillId="54" borderId="0"/>
    <xf numFmtId="176" fontId="9" fillId="54" borderId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3" borderId="0" applyNumberFormat="0" applyBorder="0" applyAlignment="0" applyProtection="0"/>
    <xf numFmtId="0" fontId="26" fillId="23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0" fontId="9" fillId="0" borderId="0" applyNumberFormat="0" applyFill="0" applyBorder="0" applyAlignment="0" applyProtection="0"/>
    <xf numFmtId="0" fontId="7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71" fillId="0" borderId="0"/>
    <xf numFmtId="0" fontId="71" fillId="0" borderId="0"/>
    <xf numFmtId="0" fontId="72" fillId="0" borderId="0"/>
    <xf numFmtId="0" fontId="3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175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0" borderId="0"/>
    <xf numFmtId="0" fontId="36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18" applyNumberFormat="0" applyFill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0" fontId="49" fillId="0" borderId="0" applyNumberFormat="0" applyFill="0" applyBorder="0" applyAlignment="0" applyProtection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0" fontId="9" fillId="0" borderId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0" fontId="9" fillId="0" borderId="0"/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9" fillId="0" borderId="0"/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9" fillId="0" borderId="0"/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0" fontId="9" fillId="0" borderId="0"/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0" fontId="9" fillId="0" borderId="0"/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0" fontId="9" fillId="0" borderId="0"/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0" fontId="9" fillId="0" borderId="0"/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0" fontId="9" fillId="0" borderId="0"/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0" fontId="9" fillId="0" borderId="0"/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0" fontId="9" fillId="0" borderId="0"/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0" fontId="9" fillId="0" borderId="0"/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0" fontId="9" fillId="0" borderId="0"/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0" fontId="9" fillId="0" borderId="0"/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0" fontId="9" fillId="0" borderId="0"/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0" fontId="9" fillId="0" borderId="0"/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9" fillId="0" borderId="0"/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58" borderId="19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0" borderId="0"/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9" fillId="0" borderId="0"/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60" borderId="19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0" borderId="0"/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9" fillId="0" borderId="0"/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9" fillId="0" borderId="0"/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9" fillId="0" borderId="0"/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9" fillId="0" borderId="0"/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0" borderId="0"/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58" fillId="62" borderId="22" applyNumberFormat="0">
      <protection locked="0"/>
    </xf>
    <xf numFmtId="0" fontId="9" fillId="0" borderId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0" fontId="9" fillId="0" borderId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9" fillId="0" borderId="0"/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0" fontId="9" fillId="0" borderId="0"/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0" borderId="0"/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79" fillId="0" borderId="0"/>
    <xf numFmtId="0" fontId="9" fillId="0" borderId="0"/>
    <xf numFmtId="0" fontId="79" fillId="0" borderId="0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9" fillId="0" borderId="0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2" fillId="29" borderId="0" applyNumberFormat="0" applyBorder="0" applyAlignment="0" applyProtection="0"/>
    <xf numFmtId="0" fontId="25" fillId="22" borderId="0" applyNumberFormat="0" applyBorder="0" applyAlignment="0" applyProtection="0"/>
    <xf numFmtId="0" fontId="83" fillId="0" borderId="0"/>
    <xf numFmtId="40" fontId="84" fillId="0" borderId="0" applyBorder="0">
      <alignment horizontal="right"/>
    </xf>
    <xf numFmtId="0" fontId="73" fillId="0" borderId="0" applyNumberFormat="0" applyFill="0" applyBorder="0" applyAlignment="0" applyProtection="0"/>
    <xf numFmtId="0" fontId="85" fillId="3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6" fillId="62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8" fillId="62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9" fillId="0" borderId="0" applyNumberFormat="0" applyFill="0" applyBorder="0" applyAlignment="0" applyProtection="0"/>
    <xf numFmtId="0" fontId="40" fillId="65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56" borderId="0" applyNumberFormat="0" applyBorder="0" applyAlignment="0" applyProtection="0"/>
    <xf numFmtId="0" fontId="40" fillId="66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9" fillId="0" borderId="0"/>
  </cellStyleXfs>
  <cellXfs count="523">
    <xf numFmtId="0" fontId="0" fillId="0" borderId="0" xfId="0"/>
    <xf numFmtId="0" fontId="92" fillId="0" borderId="0" xfId="2" applyFont="1" applyFill="1" applyBorder="1" applyAlignment="1">
      <alignment horizontal="left"/>
    </xf>
    <xf numFmtId="0" fontId="94" fillId="0" borderId="0" xfId="2" applyFont="1" applyFill="1"/>
    <xf numFmtId="0" fontId="95" fillId="0" borderId="0" xfId="2" applyFont="1" applyFill="1" applyAlignment="1"/>
    <xf numFmtId="0" fontId="45" fillId="0" borderId="0" xfId="2" applyFont="1" applyFill="1"/>
    <xf numFmtId="0" fontId="96" fillId="0" borderId="0" xfId="2" applyFont="1" applyFill="1" applyBorder="1" applyAlignment="1">
      <alignment horizontal="left"/>
    </xf>
    <xf numFmtId="0" fontId="45" fillId="0" borderId="0" xfId="2" applyFont="1" applyFill="1" applyAlignment="1"/>
    <xf numFmtId="0" fontId="45" fillId="0" borderId="0" xfId="2" applyFont="1" applyFill="1" applyAlignment="1">
      <alignment horizontal="left" vertical="top" wrapText="1"/>
    </xf>
    <xf numFmtId="0" fontId="45" fillId="0" borderId="0" xfId="2" applyFont="1" applyFill="1" applyAlignment="1">
      <alignment horizontal="center" vertical="top" wrapText="1"/>
    </xf>
    <xf numFmtId="0" fontId="45" fillId="0" borderId="0" xfId="2" applyFont="1" applyFill="1" applyAlignment="1">
      <alignment vertical="top"/>
    </xf>
    <xf numFmtId="0" fontId="45" fillId="0" borderId="0" xfId="2" applyFont="1" applyFill="1" applyBorder="1" applyAlignment="1">
      <alignment horizontal="center" vertical="top" wrapText="1"/>
    </xf>
    <xf numFmtId="0" fontId="11" fillId="0" borderId="0" xfId="2" applyFont="1" applyFill="1" applyAlignment="1">
      <alignment vertical="top" wrapText="1"/>
    </xf>
    <xf numFmtId="0" fontId="45" fillId="0" borderId="0" xfId="2" applyFont="1" applyFill="1" applyBorder="1"/>
    <xf numFmtId="0" fontId="91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horizontal="justify" vertical="top" wrapText="1"/>
    </xf>
    <xf numFmtId="0" fontId="91" fillId="0" borderId="0" xfId="2" applyFont="1" applyFill="1" applyBorder="1" applyAlignment="1">
      <alignment horizontal="left" vertical="top"/>
    </xf>
    <xf numFmtId="0" fontId="92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/>
    </xf>
    <xf numFmtId="0" fontId="92" fillId="0" borderId="0" xfId="527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 wrapText="1"/>
    </xf>
    <xf numFmtId="0" fontId="92" fillId="0" borderId="0" xfId="527" applyFont="1" applyFill="1" applyBorder="1" applyAlignment="1">
      <alignment vertical="top" wrapText="1"/>
    </xf>
    <xf numFmtId="0" fontId="98" fillId="0" borderId="0" xfId="2" applyFont="1" applyFill="1" applyBorder="1" applyAlignment="1">
      <alignment horizontal="right"/>
    </xf>
    <xf numFmtId="0" fontId="92" fillId="0" borderId="0" xfId="2" applyFont="1" applyFill="1" applyBorder="1"/>
    <xf numFmtId="0" fontId="92" fillId="0" borderId="0" xfId="2" applyFont="1" applyFill="1" applyBorder="1" applyAlignment="1">
      <alignment horizontal="left" vertical="top"/>
    </xf>
    <xf numFmtId="0" fontId="98" fillId="0" borderId="0" xfId="2" applyFont="1" applyFill="1" applyBorder="1"/>
    <xf numFmtId="0" fontId="99" fillId="0" borderId="0" xfId="2" applyFont="1" applyFill="1"/>
    <xf numFmtId="0" fontId="100" fillId="0" borderId="0" xfId="2" applyFont="1" applyFill="1" applyAlignment="1"/>
    <xf numFmtId="0" fontId="101" fillId="0" borderId="0" xfId="2" applyFont="1" applyFill="1" applyBorder="1" applyAlignment="1"/>
    <xf numFmtId="0" fontId="99" fillId="0" borderId="0" xfId="2" applyFont="1" applyFill="1" applyAlignment="1"/>
    <xf numFmtId="0" fontId="54" fillId="2" borderId="0" xfId="2" applyFont="1" applyFill="1" applyAlignment="1">
      <alignment vertical="top" wrapText="1"/>
    </xf>
    <xf numFmtId="0" fontId="99" fillId="0" borderId="0" xfId="2" applyFont="1" applyFill="1" applyAlignment="1">
      <alignment vertical="top" wrapText="1"/>
    </xf>
    <xf numFmtId="3" fontId="92" fillId="0" borderId="0" xfId="2" applyNumberFormat="1" applyFont="1" applyFill="1"/>
    <xf numFmtId="0" fontId="92" fillId="0" borderId="0" xfId="2" applyFont="1" applyFill="1"/>
    <xf numFmtId="0" fontId="54" fillId="2" borderId="0" xfId="2" applyFont="1" applyFill="1" applyAlignment="1">
      <alignment horizontal="right" vertical="top" wrapText="1"/>
    </xf>
    <xf numFmtId="0" fontId="99" fillId="0" borderId="0" xfId="2" applyFont="1" applyFill="1" applyAlignment="1">
      <alignment horizontal="right" vertical="top" wrapText="1"/>
    </xf>
    <xf numFmtId="3" fontId="99" fillId="0" borderId="0" xfId="2" applyNumberFormat="1" applyFont="1" applyFill="1"/>
    <xf numFmtId="167" fontId="92" fillId="0" borderId="0" xfId="1" applyNumberFormat="1" applyFont="1" applyFill="1"/>
    <xf numFmtId="0" fontId="92" fillId="0" borderId="0" xfId="0" applyFont="1" applyAlignment="1">
      <alignment horizontal="right"/>
    </xf>
    <xf numFmtId="165" fontId="92" fillId="0" borderId="0" xfId="2" applyNumberFormat="1" applyFont="1" applyFill="1"/>
    <xf numFmtId="0" fontId="45" fillId="0" borderId="0" xfId="0" applyFont="1" applyFill="1"/>
    <xf numFmtId="0" fontId="45" fillId="0" borderId="0" xfId="0" applyFont="1" applyFill="1" applyAlignment="1"/>
    <xf numFmtId="3" fontId="45" fillId="0" borderId="0" xfId="0" applyNumberFormat="1" applyFont="1" applyFill="1" applyBorder="1"/>
    <xf numFmtId="2" fontId="45" fillId="0" borderId="0" xfId="0" applyNumberFormat="1" applyFont="1" applyFill="1"/>
    <xf numFmtId="0" fontId="45" fillId="0" borderId="0" xfId="0" applyFont="1" applyFill="1" applyBorder="1" applyAlignment="1">
      <alignment horizontal="right"/>
    </xf>
    <xf numFmtId="0" fontId="45" fillId="0" borderId="0" xfId="0" applyFont="1" applyFill="1" applyBorder="1"/>
    <xf numFmtId="0" fontId="104" fillId="0" borderId="0" xfId="2" applyFont="1" applyFill="1"/>
    <xf numFmtId="0" fontId="105" fillId="0" borderId="0" xfId="2" applyFont="1" applyFill="1" applyBorder="1" applyAlignment="1">
      <alignment horizontal="right"/>
    </xf>
    <xf numFmtId="0" fontId="106" fillId="0" borderId="0" xfId="2" applyFont="1" applyFill="1" applyBorder="1"/>
    <xf numFmtId="0" fontId="107" fillId="0" borderId="0" xfId="2" applyFont="1" applyFill="1" applyBorder="1" applyAlignment="1">
      <alignment horizontal="right"/>
    </xf>
    <xf numFmtId="0" fontId="105" fillId="0" borderId="0" xfId="2" applyFont="1" applyFill="1" applyBorder="1" applyAlignment="1">
      <alignment horizontal="left"/>
    </xf>
    <xf numFmtId="0" fontId="106" fillId="0" borderId="0" xfId="2" applyFont="1" applyFill="1" applyBorder="1" applyAlignment="1">
      <alignment horizontal="left"/>
    </xf>
    <xf numFmtId="1" fontId="106" fillId="0" borderId="0" xfId="2" applyNumberFormat="1" applyFont="1" applyFill="1" applyBorder="1" applyAlignment="1">
      <alignment horizontal="left"/>
    </xf>
    <xf numFmtId="0" fontId="106" fillId="0" borderId="0" xfId="2" applyNumberFormat="1" applyFont="1" applyFill="1" applyBorder="1" applyAlignment="1">
      <alignment horizontal="left"/>
    </xf>
    <xf numFmtId="0" fontId="106" fillId="0" borderId="0" xfId="2" applyFont="1" applyFill="1" applyBorder="1" applyAlignment="1">
      <alignment horizontal="right"/>
    </xf>
    <xf numFmtId="0" fontId="104" fillId="0" borderId="0" xfId="2" applyFont="1" applyFill="1" applyBorder="1" applyAlignment="1">
      <alignment horizontal="left"/>
    </xf>
    <xf numFmtId="0" fontId="104" fillId="0" borderId="0" xfId="0" applyFont="1" applyFill="1"/>
    <xf numFmtId="3" fontId="45" fillId="0" borderId="0" xfId="2" applyNumberFormat="1" applyFont="1" applyFill="1" applyBorder="1" applyAlignment="1">
      <alignment horizontal="right"/>
    </xf>
    <xf numFmtId="3" fontId="45" fillId="0" borderId="0" xfId="2" applyNumberFormat="1" applyFont="1" applyFill="1" applyBorder="1"/>
    <xf numFmtId="165" fontId="45" fillId="0" borderId="0" xfId="2" applyNumberFormat="1" applyFont="1" applyFill="1" applyBorder="1" applyAlignment="1">
      <alignment horizontal="right"/>
    </xf>
    <xf numFmtId="166" fontId="45" fillId="0" borderId="0" xfId="2" applyNumberFormat="1" applyFont="1" applyFill="1" applyBorder="1" applyAlignment="1">
      <alignment horizontal="right"/>
    </xf>
    <xf numFmtId="0" fontId="45" fillId="0" borderId="0" xfId="2" applyFont="1" applyFill="1" applyBorder="1" applyAlignment="1">
      <alignment wrapText="1"/>
    </xf>
    <xf numFmtId="0" fontId="110" fillId="0" borderId="0" xfId="2" applyFont="1" applyFill="1" applyBorder="1"/>
    <xf numFmtId="165" fontId="110" fillId="0" borderId="0" xfId="2" applyNumberFormat="1" applyFont="1" applyFill="1" applyBorder="1"/>
    <xf numFmtId="165" fontId="45" fillId="0" borderId="0" xfId="2" applyNumberFormat="1" applyFont="1" applyFill="1" applyBorder="1"/>
    <xf numFmtId="0" fontId="11" fillId="0" borderId="0" xfId="2" applyFont="1" applyFill="1" applyBorder="1" applyAlignment="1"/>
    <xf numFmtId="4" fontId="45" fillId="0" borderId="0" xfId="2" applyNumberFormat="1" applyFont="1" applyFill="1" applyBorder="1"/>
    <xf numFmtId="3" fontId="116" fillId="0" borderId="0" xfId="2" applyNumberFormat="1" applyFont="1" applyFill="1" applyBorder="1"/>
    <xf numFmtId="0" fontId="118" fillId="0" borderId="0" xfId="2" applyFont="1" applyFill="1" applyBorder="1" applyAlignment="1">
      <alignment wrapText="1"/>
    </xf>
    <xf numFmtId="164" fontId="45" fillId="0" borderId="0" xfId="1" applyNumberFormat="1" applyFont="1" applyFill="1" applyBorder="1"/>
    <xf numFmtId="0" fontId="104" fillId="0" borderId="0" xfId="2" applyFont="1" applyFill="1" applyBorder="1"/>
    <xf numFmtId="1" fontId="110" fillId="0" borderId="0" xfId="2" applyNumberFormat="1" applyFont="1" applyFill="1" applyBorder="1" applyAlignment="1">
      <alignment horizontal="right" wrapText="1"/>
    </xf>
    <xf numFmtId="0" fontId="110" fillId="0" borderId="0" xfId="2" applyFont="1" applyFill="1" applyBorder="1" applyAlignment="1">
      <alignment wrapText="1"/>
    </xf>
    <xf numFmtId="0" fontId="110" fillId="0" borderId="0" xfId="2" applyFont="1" applyFill="1" applyBorder="1" applyAlignment="1">
      <alignment horizontal="right"/>
    </xf>
    <xf numFmtId="0" fontId="110" fillId="0" borderId="0" xfId="2" applyFont="1" applyFill="1" applyBorder="1" applyAlignment="1">
      <alignment horizontal="right" wrapText="1"/>
    </xf>
    <xf numFmtId="3" fontId="110" fillId="0" borderId="0" xfId="2" applyNumberFormat="1" applyFont="1" applyFill="1" applyBorder="1" applyAlignment="1">
      <alignment horizontal="right"/>
    </xf>
    <xf numFmtId="165" fontId="110" fillId="0" borderId="0" xfId="2" applyNumberFormat="1" applyFont="1" applyFill="1" applyBorder="1" applyAlignment="1">
      <alignment horizontal="right"/>
    </xf>
    <xf numFmtId="0" fontId="9" fillId="0" borderId="0" xfId="0" applyFont="1" applyFill="1" applyBorder="1"/>
    <xf numFmtId="3" fontId="9" fillId="0" borderId="0" xfId="0" applyNumberFormat="1" applyFont="1" applyFill="1" applyBorder="1"/>
    <xf numFmtId="3" fontId="45" fillId="0" borderId="0" xfId="0" applyNumberFormat="1" applyFont="1" applyFill="1" applyBorder="1" applyAlignment="1">
      <alignment vertical="center"/>
    </xf>
    <xf numFmtId="0" fontId="121" fillId="0" borderId="0" xfId="0" applyFont="1" applyFill="1" applyBorder="1"/>
    <xf numFmtId="3" fontId="118" fillId="0" borderId="0" xfId="0" applyNumberFormat="1" applyFont="1" applyFill="1" applyBorder="1" applyAlignment="1">
      <alignment horizontal="right"/>
    </xf>
    <xf numFmtId="3" fontId="118" fillId="0" borderId="0" xfId="0" applyNumberFormat="1" applyFont="1" applyFill="1" applyBorder="1"/>
    <xf numFmtId="0" fontId="118" fillId="0" borderId="0" xfId="0" applyFont="1" applyFill="1" applyBorder="1" applyAlignment="1">
      <alignment horizontal="right"/>
    </xf>
    <xf numFmtId="3" fontId="45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122" fillId="0" borderId="0" xfId="0" applyFont="1" applyFill="1"/>
    <xf numFmtId="0" fontId="123" fillId="0" borderId="0" xfId="0" applyFont="1" applyFill="1"/>
    <xf numFmtId="0" fontId="45" fillId="0" borderId="0" xfId="0" applyFont="1" applyFill="1" applyBorder="1" applyAlignment="1">
      <alignment horizontal="left" vertical="center"/>
    </xf>
    <xf numFmtId="3" fontId="45" fillId="0" borderId="0" xfId="0" applyNumberFormat="1" applyFont="1" applyFill="1" applyBorder="1" applyAlignment="1">
      <alignment horizontal="right" vertical="center"/>
    </xf>
    <xf numFmtId="165" fontId="124" fillId="0" borderId="0" xfId="0" applyNumberFormat="1" applyFont="1" applyFill="1"/>
    <xf numFmtId="165" fontId="9" fillId="0" borderId="0" xfId="0" applyNumberFormat="1" applyFont="1" applyFill="1"/>
    <xf numFmtId="3" fontId="122" fillId="0" borderId="0" xfId="0" applyNumberFormat="1" applyFont="1" applyFill="1"/>
    <xf numFmtId="1" fontId="122" fillId="0" borderId="0" xfId="0" applyNumberFormat="1" applyFont="1" applyFill="1"/>
    <xf numFmtId="3" fontId="116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/>
    <xf numFmtId="0" fontId="45" fillId="0" borderId="0" xfId="0" applyFont="1" applyFill="1" applyBorder="1" applyAlignment="1">
      <alignment vertical="center"/>
    </xf>
    <xf numFmtId="164" fontId="45" fillId="0" borderId="0" xfId="1" applyNumberFormat="1" applyFont="1" applyFill="1" applyBorder="1" applyAlignment="1">
      <alignment vertical="center"/>
    </xf>
    <xf numFmtId="164" fontId="45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/>
    <xf numFmtId="0" fontId="45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right" vertical="center"/>
    </xf>
    <xf numFmtId="0" fontId="123" fillId="0" borderId="0" xfId="0" applyFont="1" applyFill="1" applyBorder="1" applyAlignment="1">
      <alignment horizontal="left"/>
    </xf>
    <xf numFmtId="9" fontId="9" fillId="0" borderId="0" xfId="1" applyFont="1" applyFill="1" applyBorder="1"/>
    <xf numFmtId="0" fontId="9" fillId="0" borderId="0" xfId="0" applyFont="1" applyFill="1" applyAlignment="1">
      <alignment horizontal="left"/>
    </xf>
    <xf numFmtId="164" fontId="9" fillId="0" borderId="0" xfId="0" applyNumberFormat="1" applyFont="1" applyFill="1"/>
    <xf numFmtId="0" fontId="111" fillId="0" borderId="0" xfId="57" applyFont="1" applyFill="1"/>
    <xf numFmtId="0" fontId="9" fillId="0" borderId="0" xfId="2" applyFont="1" applyFill="1"/>
    <xf numFmtId="0" fontId="125" fillId="0" borderId="0" xfId="2" applyFont="1" applyFill="1" applyAlignment="1">
      <alignment horizontal="right"/>
    </xf>
    <xf numFmtId="167" fontId="110" fillId="0" borderId="0" xfId="2" applyNumberFormat="1" applyFont="1" applyFill="1" applyBorder="1" applyAlignment="1">
      <alignment horizontal="right"/>
    </xf>
    <xf numFmtId="167" fontId="45" fillId="0" borderId="0" xfId="2" applyNumberFormat="1" applyFont="1" applyFill="1" applyBorder="1" applyAlignment="1">
      <alignment horizontal="right"/>
    </xf>
    <xf numFmtId="3" fontId="124" fillId="0" borderId="0" xfId="2" applyNumberFormat="1" applyFont="1" applyFill="1" applyBorder="1"/>
    <xf numFmtId="0" fontId="9" fillId="0" borderId="0" xfId="2" applyFont="1" applyFill="1" applyBorder="1" applyAlignment="1"/>
    <xf numFmtId="0" fontId="9" fillId="0" borderId="0" xfId="2" applyFont="1" applyFill="1" applyBorder="1"/>
    <xf numFmtId="3" fontId="9" fillId="0" borderId="0" xfId="2" applyNumberFormat="1" applyFont="1" applyFill="1" applyBorder="1"/>
    <xf numFmtId="0" fontId="45" fillId="0" borderId="0" xfId="2" applyFont="1" applyFill="1" applyBorder="1" applyAlignment="1"/>
    <xf numFmtId="3" fontId="9" fillId="0" borderId="0" xfId="2" applyNumberFormat="1" applyFont="1" applyFill="1"/>
    <xf numFmtId="0" fontId="104" fillId="0" borderId="0" xfId="57" applyFont="1" applyFill="1"/>
    <xf numFmtId="0" fontId="126" fillId="0" borderId="0" xfId="2" applyFont="1" applyFill="1" applyBorder="1"/>
    <xf numFmtId="0" fontId="127" fillId="0" borderId="0" xfId="0" applyFont="1" applyFill="1" applyBorder="1" applyAlignment="1">
      <alignment vertical="center"/>
    </xf>
    <xf numFmtId="0" fontId="105" fillId="0" borderId="0" xfId="0" applyFont="1" applyFill="1" applyBorder="1"/>
    <xf numFmtId="0" fontId="127" fillId="0" borderId="0" xfId="0" applyFont="1" applyFill="1" applyBorder="1" applyAlignment="1">
      <alignment wrapText="1"/>
    </xf>
    <xf numFmtId="0" fontId="127" fillId="0" borderId="0" xfId="0" applyFont="1" applyFill="1" applyBorder="1" applyAlignment="1">
      <alignment vertical="center" wrapText="1"/>
    </xf>
    <xf numFmtId="0" fontId="105" fillId="0" borderId="0" xfId="0" applyFont="1" applyFill="1"/>
    <xf numFmtId="0" fontId="127" fillId="0" borderId="0" xfId="0" applyFont="1" applyFill="1" applyBorder="1"/>
    <xf numFmtId="0" fontId="10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vertical="center" wrapText="1"/>
    </xf>
    <xf numFmtId="0" fontId="9" fillId="2" borderId="0" xfId="0" applyFont="1" applyFill="1" applyBorder="1"/>
    <xf numFmtId="3" fontId="45" fillId="2" borderId="0" xfId="0" applyNumberFormat="1" applyFont="1" applyFill="1" applyBorder="1" applyAlignment="1">
      <alignment horizontal="right" vertical="center"/>
    </xf>
    <xf numFmtId="1" fontId="93" fillId="2" borderId="0" xfId="0" applyNumberFormat="1" applyFont="1" applyFill="1" applyBorder="1" applyAlignment="1">
      <alignment horizontal="right" vertical="center" wrapText="1"/>
    </xf>
    <xf numFmtId="0" fontId="93" fillId="2" borderId="0" xfId="0" applyFont="1" applyFill="1" applyBorder="1" applyAlignment="1">
      <alignment horizontal="right" wrapText="1"/>
    </xf>
    <xf numFmtId="0" fontId="45" fillId="0" borderId="0" xfId="0" applyFont="1" applyFill="1" applyBorder="1" applyAlignment="1">
      <alignment horizontal="left" vertical="center"/>
    </xf>
    <xf numFmtId="0" fontId="119" fillId="0" borderId="0" xfId="0" applyFont="1" applyFill="1" applyBorder="1" applyAlignment="1">
      <alignment horizontal="left" wrapText="1"/>
    </xf>
    <xf numFmtId="0" fontId="24" fillId="0" borderId="0" xfId="1535" applyFont="1"/>
    <xf numFmtId="0" fontId="27" fillId="0" borderId="0" xfId="1535" applyFont="1" applyAlignment="1">
      <alignment horizontal="left" vertical="center"/>
    </xf>
    <xf numFmtId="0" fontId="133" fillId="0" borderId="0" xfId="1538" applyFont="1" applyAlignment="1">
      <alignment horizontal="left" vertical="center" wrapText="1"/>
    </xf>
    <xf numFmtId="0" fontId="27" fillId="0" borderId="0" xfId="1535" applyFont="1" applyAlignment="1">
      <alignment horizontal="center" vertical="center"/>
    </xf>
    <xf numFmtId="49" fontId="90" fillId="0" borderId="0" xfId="1538" applyNumberFormat="1" applyFont="1" applyAlignment="1">
      <alignment vertical="top" wrapText="1"/>
    </xf>
    <xf numFmtId="49" fontId="28" fillId="0" borderId="0" xfId="1535" applyNumberFormat="1" applyFont="1" applyAlignment="1">
      <alignment vertical="center"/>
    </xf>
    <xf numFmtId="0" fontId="29" fillId="0" borderId="0" xfId="1535" applyFont="1"/>
    <xf numFmtId="0" fontId="30" fillId="0" borderId="0" xfId="1535" applyFont="1"/>
    <xf numFmtId="0" fontId="24" fillId="0" borderId="0" xfId="1535" applyFont="1" applyAlignment="1">
      <alignment horizontal="left" vertical="center"/>
    </xf>
    <xf numFmtId="0" fontId="30" fillId="0" borderId="0" xfId="1535" applyFont="1" applyAlignment="1">
      <alignment horizontal="center"/>
    </xf>
    <xf numFmtId="0" fontId="24" fillId="0" borderId="0" xfId="1535" applyFont="1" applyAlignment="1">
      <alignment horizontal="right" vertical="center"/>
    </xf>
    <xf numFmtId="0" fontId="24" fillId="0" borderId="0" xfId="1535" applyFont="1" applyAlignment="1">
      <alignment horizontal="left" vertical="center" indent="1"/>
    </xf>
    <xf numFmtId="0" fontId="31" fillId="0" borderId="0" xfId="1535" applyFont="1"/>
    <xf numFmtId="0" fontId="31" fillId="0" borderId="0" xfId="1535" applyFont="1" applyAlignment="1">
      <alignment horizontal="right" vertical="center"/>
    </xf>
    <xf numFmtId="0" fontId="31" fillId="0" borderId="0" xfId="1535" applyFont="1" applyAlignment="1">
      <alignment horizontal="left" vertical="center" indent="1"/>
    </xf>
    <xf numFmtId="49" fontId="27" fillId="0" borderId="0" xfId="1535" applyNumberFormat="1" applyFont="1" applyAlignment="1">
      <alignment vertical="center"/>
    </xf>
    <xf numFmtId="0" fontId="45" fillId="2" borderId="0" xfId="0" applyFont="1" applyFill="1" applyBorder="1" applyAlignment="1"/>
    <xf numFmtId="0" fontId="45" fillId="2" borderId="0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right" vertical="center" wrapText="1"/>
    </xf>
    <xf numFmtId="0" fontId="45" fillId="2" borderId="25" xfId="0" applyFont="1" applyFill="1" applyBorder="1"/>
    <xf numFmtId="0" fontId="45" fillId="2" borderId="0" xfId="0" applyFont="1" applyFill="1" applyBorder="1" applyAlignment="1">
      <alignment horizontal="left" vertical="center"/>
    </xf>
    <xf numFmtId="3" fontId="45" fillId="2" borderId="3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center"/>
    </xf>
    <xf numFmtId="3" fontId="109" fillId="2" borderId="33" xfId="0" applyNumberFormat="1" applyFont="1" applyFill="1" applyBorder="1" applyAlignment="1">
      <alignment vertical="center"/>
    </xf>
    <xf numFmtId="3" fontId="109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horizontal="left" vertical="center"/>
    </xf>
    <xf numFmtId="3" fontId="45" fillId="2" borderId="29" xfId="0" applyNumberFormat="1" applyFont="1" applyFill="1" applyBorder="1" applyAlignment="1">
      <alignment vertical="center"/>
    </xf>
    <xf numFmtId="3" fontId="45" fillId="2" borderId="25" xfId="0" applyNumberFormat="1" applyFont="1" applyFill="1" applyBorder="1" applyAlignment="1">
      <alignment vertical="center"/>
    </xf>
    <xf numFmtId="3" fontId="109" fillId="2" borderId="32" xfId="0" applyNumberFormat="1" applyFont="1" applyFill="1" applyBorder="1" applyAlignment="1">
      <alignment vertical="center"/>
    </xf>
    <xf numFmtId="3" fontId="109" fillId="2" borderId="25" xfId="0" applyNumberFormat="1" applyFont="1" applyFill="1" applyBorder="1" applyAlignment="1">
      <alignment vertical="center"/>
    </xf>
    <xf numFmtId="0" fontId="45" fillId="2" borderId="26" xfId="0" applyFont="1" applyFill="1" applyBorder="1" applyAlignment="1">
      <alignment horizontal="left" vertical="center"/>
    </xf>
    <xf numFmtId="3" fontId="45" fillId="2" borderId="28" xfId="0" applyNumberFormat="1" applyFont="1" applyFill="1" applyBorder="1" applyAlignment="1">
      <alignment vertical="center"/>
    </xf>
    <xf numFmtId="3" fontId="45" fillId="2" borderId="26" xfId="0" applyNumberFormat="1" applyFont="1" applyFill="1" applyBorder="1" applyAlignment="1">
      <alignment vertical="center"/>
    </xf>
    <xf numFmtId="3" fontId="109" fillId="2" borderId="31" xfId="0" applyNumberFormat="1" applyFont="1" applyFill="1" applyBorder="1" applyAlignment="1">
      <alignment vertical="center"/>
    </xf>
    <xf numFmtId="3" fontId="109" fillId="2" borderId="26" xfId="0" applyNumberFormat="1" applyFont="1" applyFill="1" applyBorder="1" applyAlignment="1">
      <alignment vertical="center"/>
    </xf>
    <xf numFmtId="3" fontId="45" fillId="2" borderId="27" xfId="0" applyNumberFormat="1" applyFont="1" applyFill="1" applyBorder="1" applyAlignment="1">
      <alignment vertical="center"/>
    </xf>
    <xf numFmtId="3" fontId="45" fillId="2" borderId="6" xfId="0" applyNumberFormat="1" applyFont="1" applyFill="1" applyBorder="1" applyAlignment="1">
      <alignment vertical="center"/>
    </xf>
    <xf numFmtId="3" fontId="109" fillId="2" borderId="34" xfId="0" applyNumberFormat="1" applyFont="1" applyFill="1" applyBorder="1" applyAlignment="1">
      <alignment vertical="center"/>
    </xf>
    <xf numFmtId="3" fontId="109" fillId="2" borderId="6" xfId="0" applyNumberFormat="1" applyFont="1" applyFill="1" applyBorder="1" applyAlignment="1">
      <alignment vertical="center"/>
    </xf>
    <xf numFmtId="0" fontId="45" fillId="2" borderId="0" xfId="0" applyFont="1" applyFill="1" applyBorder="1" applyAlignment="1">
      <alignment horizontal="right" vertical="center"/>
    </xf>
    <xf numFmtId="0" fontId="45" fillId="2" borderId="25" xfId="0" applyFont="1" applyFill="1" applyBorder="1" applyAlignment="1">
      <alignment horizontal="left" vertical="top"/>
    </xf>
    <xf numFmtId="0" fontId="109" fillId="0" borderId="0" xfId="2" applyFont="1" applyFill="1" applyBorder="1" applyAlignment="1">
      <alignment horizontal="right" vertical="top" wrapText="1"/>
    </xf>
    <xf numFmtId="0" fontId="45" fillId="2" borderId="0" xfId="2" applyFont="1" applyFill="1" applyBorder="1" applyAlignment="1">
      <alignment horizontal="left" vertical="center"/>
    </xf>
    <xf numFmtId="165" fontId="45" fillId="2" borderId="0" xfId="2" applyNumberFormat="1" applyFont="1" applyFill="1" applyBorder="1" applyAlignment="1">
      <alignment horizontal="right" vertical="center"/>
    </xf>
    <xf numFmtId="165" fontId="45" fillId="2" borderId="0" xfId="2" applyNumberFormat="1" applyFont="1" applyFill="1" applyBorder="1" applyAlignment="1">
      <alignment vertical="center"/>
    </xf>
    <xf numFmtId="0" fontId="45" fillId="2" borderId="25" xfId="2" applyFont="1" applyFill="1" applyBorder="1" applyAlignment="1">
      <alignment horizontal="left" vertical="center"/>
    </xf>
    <xf numFmtId="165" fontId="45" fillId="2" borderId="25" xfId="2" applyNumberFormat="1" applyFont="1" applyFill="1" applyBorder="1" applyAlignment="1">
      <alignment horizontal="right" vertical="center"/>
    </xf>
    <xf numFmtId="165" fontId="45" fillId="2" borderId="25" xfId="2" applyNumberFormat="1" applyFont="1" applyFill="1" applyBorder="1" applyAlignment="1">
      <alignment vertical="center"/>
    </xf>
    <xf numFmtId="0" fontId="45" fillId="2" borderId="2" xfId="2" applyFont="1" applyFill="1" applyBorder="1" applyAlignment="1">
      <alignment horizontal="left" vertical="center"/>
    </xf>
    <xf numFmtId="165" fontId="45" fillId="2" borderId="30" xfId="2" applyNumberFormat="1" applyFont="1" applyFill="1" applyBorder="1" applyAlignment="1">
      <alignment horizontal="right" vertical="center"/>
    </xf>
    <xf numFmtId="165" fontId="45" fillId="2" borderId="29" xfId="2" applyNumberFormat="1" applyFont="1" applyFill="1" applyBorder="1" applyAlignment="1">
      <alignment horizontal="right" vertical="center"/>
    </xf>
    <xf numFmtId="165" fontId="45" fillId="2" borderId="33" xfId="2" applyNumberFormat="1" applyFont="1" applyFill="1" applyBorder="1" applyAlignment="1">
      <alignment vertical="center"/>
    </xf>
    <xf numFmtId="165" fontId="45" fillId="2" borderId="32" xfId="2" applyNumberFormat="1" applyFont="1" applyFill="1" applyBorder="1" applyAlignment="1">
      <alignment vertical="center"/>
    </xf>
    <xf numFmtId="165" fontId="45" fillId="2" borderId="33" xfId="2" applyNumberFormat="1" applyFont="1" applyFill="1" applyBorder="1" applyAlignment="1">
      <alignment horizontal="right" vertical="center"/>
    </xf>
    <xf numFmtId="165" fontId="45" fillId="2" borderId="32" xfId="2" applyNumberFormat="1" applyFont="1" applyFill="1" applyBorder="1" applyAlignment="1">
      <alignment horizontal="right" vertical="center"/>
    </xf>
    <xf numFmtId="165" fontId="45" fillId="2" borderId="30" xfId="2" applyNumberFormat="1" applyFont="1" applyFill="1" applyBorder="1" applyAlignment="1">
      <alignment vertical="center"/>
    </xf>
    <xf numFmtId="165" fontId="45" fillId="2" borderId="29" xfId="2" applyNumberFormat="1" applyFont="1" applyFill="1" applyBorder="1" applyAlignment="1">
      <alignment vertical="center"/>
    </xf>
    <xf numFmtId="0" fontId="109" fillId="2" borderId="33" xfId="2" applyFont="1" applyFill="1" applyBorder="1" applyAlignment="1">
      <alignment horizontal="center" vertical="center" wrapText="1"/>
    </xf>
    <xf numFmtId="0" fontId="109" fillId="0" borderId="32" xfId="2" applyFont="1" applyFill="1" applyBorder="1"/>
    <xf numFmtId="0" fontId="109" fillId="2" borderId="29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wrapText="1"/>
    </xf>
    <xf numFmtId="0" fontId="109" fillId="2" borderId="32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0" xfId="0" applyFont="1" applyFill="1" applyBorder="1" applyAlignment="1"/>
    <xf numFmtId="0" fontId="109" fillId="2" borderId="25" xfId="0" applyFont="1" applyFill="1" applyBorder="1"/>
    <xf numFmtId="0" fontId="109" fillId="2" borderId="29" xfId="0" applyFont="1" applyFill="1" applyBorder="1" applyAlignment="1">
      <alignment horizontal="right"/>
    </xf>
    <xf numFmtId="0" fontId="109" fillId="2" borderId="25" xfId="0" applyFont="1" applyFill="1" applyBorder="1" applyAlignment="1">
      <alignment horizontal="right"/>
    </xf>
    <xf numFmtId="1" fontId="109" fillId="2" borderId="32" xfId="0" applyNumberFormat="1" applyFont="1" applyFill="1" applyBorder="1" applyAlignment="1">
      <alignment horizontal="right"/>
    </xf>
    <xf numFmtId="1" fontId="109" fillId="2" borderId="25" xfId="0" applyNumberFormat="1" applyFont="1" applyFill="1" applyBorder="1" applyAlignment="1">
      <alignment horizontal="right"/>
    </xf>
    <xf numFmtId="0" fontId="45" fillId="2" borderId="25" xfId="0" applyFont="1" applyFill="1" applyBorder="1" applyAlignment="1">
      <alignment horizontal="left" vertical="center"/>
    </xf>
    <xf numFmtId="0" fontId="109" fillId="2" borderId="31" xfId="2" applyFont="1" applyFill="1" applyBorder="1" applyAlignment="1">
      <alignment horizontal="left" vertical="center"/>
    </xf>
    <xf numFmtId="1" fontId="112" fillId="0" borderId="0" xfId="2" applyNumberFormat="1" applyFont="1" applyFill="1" applyBorder="1" applyAlignment="1">
      <alignment horizontal="left" vertical="top" wrapText="1"/>
    </xf>
    <xf numFmtId="0" fontId="109" fillId="0" borderId="0" xfId="2" applyFont="1" applyFill="1" applyBorder="1" applyAlignment="1">
      <alignment vertical="top" wrapText="1"/>
    </xf>
    <xf numFmtId="0" fontId="113" fillId="0" borderId="0" xfId="2" applyFont="1" applyFill="1" applyBorder="1" applyAlignment="1">
      <alignment horizontal="left" vertical="top" wrapText="1"/>
    </xf>
    <xf numFmtId="165" fontId="45" fillId="2" borderId="0" xfId="2" applyNumberFormat="1" applyFont="1" applyFill="1" applyBorder="1" applyAlignment="1">
      <alignment horizontal="right"/>
    </xf>
    <xf numFmtId="0" fontId="45" fillId="2" borderId="0" xfId="2" applyFont="1" applyFill="1" applyBorder="1" applyAlignment="1">
      <alignment horizontal="center" vertical="center" wrapText="1"/>
    </xf>
    <xf numFmtId="164" fontId="45" fillId="2" borderId="0" xfId="1" applyNumberFormat="1" applyFont="1" applyFill="1" applyBorder="1" applyAlignment="1">
      <alignment vertical="center"/>
    </xf>
    <xf numFmtId="165" fontId="45" fillId="2" borderId="0" xfId="20" applyNumberFormat="1" applyFont="1" applyFill="1" applyBorder="1" applyAlignment="1">
      <alignment horizontal="right" vertical="center"/>
    </xf>
    <xf numFmtId="0" fontId="45" fillId="2" borderId="25" xfId="2" applyFont="1" applyFill="1" applyBorder="1" applyAlignment="1">
      <alignment horizontal="left"/>
    </xf>
    <xf numFmtId="164" fontId="45" fillId="2" borderId="25" xfId="1" applyNumberFormat="1" applyFont="1" applyFill="1" applyBorder="1" applyAlignment="1">
      <alignment vertical="center"/>
    </xf>
    <xf numFmtId="165" fontId="45" fillId="2" borderId="25" xfId="2" applyNumberFormat="1" applyFont="1" applyFill="1" applyBorder="1" applyAlignment="1">
      <alignment horizontal="right"/>
    </xf>
    <xf numFmtId="165" fontId="45" fillId="2" borderId="25" xfId="20" applyNumberFormat="1" applyFont="1" applyFill="1" applyBorder="1" applyAlignment="1">
      <alignment horizontal="right" vertical="center"/>
    </xf>
    <xf numFmtId="0" fontId="45" fillId="2" borderId="6" xfId="2" applyFont="1" applyFill="1" applyBorder="1" applyAlignment="1">
      <alignment horizontal="left" vertical="center"/>
    </xf>
    <xf numFmtId="165" fontId="45" fillId="2" borderId="6" xfId="20" applyNumberFormat="1" applyFont="1" applyFill="1" applyBorder="1" applyAlignment="1">
      <alignment horizontal="right" vertical="center"/>
    </xf>
    <xf numFmtId="0" fontId="109" fillId="2" borderId="0" xfId="2" applyFont="1" applyFill="1" applyBorder="1" applyAlignment="1">
      <alignment horizontal="center" vertical="center" wrapText="1"/>
    </xf>
    <xf numFmtId="0" fontId="109" fillId="2" borderId="25" xfId="2" applyFont="1" applyFill="1" applyBorder="1" applyAlignment="1">
      <alignment horizontal="left"/>
    </xf>
    <xf numFmtId="0" fontId="109" fillId="2" borderId="25" xfId="0" applyFont="1" applyFill="1" applyBorder="1" applyAlignment="1">
      <alignment horizontal="right" wrapText="1"/>
    </xf>
    <xf numFmtId="165" fontId="45" fillId="2" borderId="30" xfId="20" applyNumberFormat="1" applyFont="1" applyFill="1" applyBorder="1" applyAlignment="1">
      <alignment horizontal="righ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165" fontId="45" fillId="2" borderId="33" xfId="20" applyNumberFormat="1" applyFont="1" applyFill="1" applyBorder="1" applyAlignment="1">
      <alignment horizontal="right" vertical="center"/>
    </xf>
    <xf numFmtId="165" fontId="45" fillId="2" borderId="32" xfId="20" applyNumberFormat="1" applyFont="1" applyFill="1" applyBorder="1" applyAlignment="1">
      <alignment horizontal="right" vertical="center"/>
    </xf>
    <xf numFmtId="165" fontId="45" fillId="2" borderId="34" xfId="20" applyNumberFormat="1" applyFont="1" applyFill="1" applyBorder="1" applyAlignment="1">
      <alignment horizontal="right" vertical="center"/>
    </xf>
    <xf numFmtId="0" fontId="45" fillId="0" borderId="32" xfId="2" applyFont="1" applyFill="1" applyBorder="1"/>
    <xf numFmtId="0" fontId="109" fillId="2" borderId="29" xfId="0" applyFont="1" applyFill="1" applyBorder="1" applyAlignment="1">
      <alignment horizontal="right" textRotation="90" wrapText="1"/>
    </xf>
    <xf numFmtId="0" fontId="109" fillId="2" borderId="25" xfId="0" applyFont="1" applyFill="1" applyBorder="1" applyAlignment="1">
      <alignment horizontal="right" textRotation="90" wrapText="1"/>
    </xf>
    <xf numFmtId="0" fontId="109" fillId="2" borderId="32" xfId="0" applyFont="1" applyFill="1" applyBorder="1" applyAlignment="1">
      <alignment horizontal="right" textRotation="90" wrapText="1"/>
    </xf>
    <xf numFmtId="0" fontId="109" fillId="2" borderId="6" xfId="2" applyFont="1" applyFill="1" applyBorder="1" applyAlignment="1">
      <alignment horizontal="left" vertical="center"/>
    </xf>
    <xf numFmtId="0" fontId="136" fillId="0" borderId="25" xfId="0" applyFont="1" applyFill="1" applyBorder="1"/>
    <xf numFmtId="0" fontId="136" fillId="0" borderId="25" xfId="0" applyFont="1" applyFill="1" applyBorder="1" applyAlignment="1"/>
    <xf numFmtId="1" fontId="109" fillId="2" borderId="29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1" fontId="109" fillId="2" borderId="32" xfId="2" applyNumberFormat="1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textRotation="90" wrapText="1"/>
    </xf>
    <xf numFmtId="3" fontId="45" fillId="2" borderId="0" xfId="2" applyNumberFormat="1" applyFont="1" applyFill="1" applyBorder="1" applyAlignment="1">
      <alignment horizontal="right" vertical="center"/>
    </xf>
    <xf numFmtId="3" fontId="45" fillId="2" borderId="0" xfId="2" applyNumberFormat="1" applyFont="1" applyFill="1" applyBorder="1" applyAlignment="1">
      <alignment vertical="center"/>
    </xf>
    <xf numFmtId="0" fontId="109" fillId="0" borderId="25" xfId="2" applyFont="1" applyFill="1" applyBorder="1" applyAlignment="1">
      <alignment horizontal="right" vertical="top" wrapText="1"/>
    </xf>
    <xf numFmtId="3" fontId="45" fillId="2" borderId="25" xfId="2" applyNumberFormat="1" applyFont="1" applyFill="1" applyBorder="1" applyAlignment="1">
      <alignment horizontal="right" vertical="center"/>
    </xf>
    <xf numFmtId="3" fontId="45" fillId="2" borderId="25" xfId="2" applyNumberFormat="1" applyFont="1" applyFill="1" applyBorder="1" applyAlignment="1">
      <alignment vertical="center"/>
    </xf>
    <xf numFmtId="3" fontId="45" fillId="2" borderId="30" xfId="2" applyNumberFormat="1" applyFont="1" applyFill="1" applyBorder="1" applyAlignment="1">
      <alignment horizontal="right" vertical="center"/>
    </xf>
    <xf numFmtId="3" fontId="45" fillId="2" borderId="29" xfId="2" applyNumberFormat="1" applyFont="1" applyFill="1" applyBorder="1" applyAlignment="1">
      <alignment horizontal="right" vertical="center"/>
    </xf>
    <xf numFmtId="3" fontId="45" fillId="2" borderId="33" xfId="2" applyNumberFormat="1" applyFont="1" applyFill="1" applyBorder="1" applyAlignment="1">
      <alignment vertical="center"/>
    </xf>
    <xf numFmtId="3" fontId="45" fillId="2" borderId="32" xfId="2" applyNumberFormat="1" applyFont="1" applyFill="1" applyBorder="1" applyAlignment="1">
      <alignment vertical="center"/>
    </xf>
    <xf numFmtId="3" fontId="45" fillId="2" borderId="33" xfId="2" applyNumberFormat="1" applyFont="1" applyFill="1" applyBorder="1" applyAlignment="1">
      <alignment horizontal="right" vertical="center"/>
    </xf>
    <xf numFmtId="0" fontId="109" fillId="2" borderId="30" xfId="2" applyFont="1" applyFill="1" applyBorder="1"/>
    <xf numFmtId="0" fontId="109" fillId="2" borderId="0" xfId="2" applyFont="1" applyFill="1" applyBorder="1"/>
    <xf numFmtId="0" fontId="109" fillId="2" borderId="33" xfId="2" applyFont="1" applyFill="1" applyBorder="1"/>
    <xf numFmtId="0" fontId="109" fillId="2" borderId="0" xfId="2" applyFont="1" applyFill="1" applyBorder="1" applyAlignment="1">
      <alignment horizontal="left" vertical="center" wrapText="1"/>
    </xf>
    <xf numFmtId="0" fontId="109" fillId="2" borderId="0" xfId="2" applyFont="1" applyFill="1" applyBorder="1" applyAlignment="1">
      <alignment vertical="center" wrapText="1"/>
    </xf>
    <xf numFmtId="0" fontId="109" fillId="2" borderId="30" xfId="2" applyFont="1" applyFill="1" applyBorder="1" applyAlignment="1">
      <alignment vertical="center" wrapText="1"/>
    </xf>
    <xf numFmtId="165" fontId="45" fillId="0" borderId="0" xfId="0" applyNumberFormat="1" applyFont="1" applyFill="1" applyBorder="1" applyAlignment="1">
      <alignment horizontal="center"/>
    </xf>
    <xf numFmtId="0" fontId="109" fillId="2" borderId="0" xfId="0" applyFont="1" applyFill="1" applyBorder="1" applyAlignment="1">
      <alignment vertical="center"/>
    </xf>
    <xf numFmtId="1" fontId="112" fillId="0" borderId="25" xfId="0" applyNumberFormat="1" applyFont="1" applyFill="1" applyBorder="1" applyAlignment="1">
      <alignment vertical="top"/>
    </xf>
    <xf numFmtId="0" fontId="93" fillId="0" borderId="25" xfId="0" applyFont="1" applyFill="1" applyBorder="1" applyAlignment="1">
      <alignment vertical="top" wrapText="1"/>
    </xf>
    <xf numFmtId="165" fontId="45" fillId="2" borderId="0" xfId="0" applyNumberFormat="1" applyFont="1" applyFill="1" applyBorder="1" applyAlignment="1"/>
    <xf numFmtId="165" fontId="45" fillId="2" borderId="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top" wrapText="1"/>
    </xf>
    <xf numFmtId="165" fontId="45" fillId="2" borderId="0" xfId="0" applyNumberFormat="1" applyFont="1" applyFill="1" applyBorder="1" applyAlignment="1">
      <alignment vertical="top" wrapText="1"/>
    </xf>
    <xf numFmtId="3" fontId="45" fillId="2" borderId="0" xfId="0" applyNumberFormat="1" applyFont="1" applyFill="1" applyBorder="1" applyAlignment="1"/>
    <xf numFmtId="3" fontId="45" fillId="2" borderId="0" xfId="0" applyNumberFormat="1" applyFont="1" applyFill="1" applyBorder="1" applyAlignment="1">
      <alignment vertical="top"/>
    </xf>
    <xf numFmtId="0" fontId="109" fillId="2" borderId="25" xfId="0" applyFont="1" applyFill="1" applyBorder="1" applyAlignment="1">
      <alignment horizontal="left" wrapText="1"/>
    </xf>
    <xf numFmtId="165" fontId="45" fillId="2" borderId="25" xfId="0" applyNumberFormat="1" applyFont="1" applyFill="1" applyBorder="1" applyAlignment="1">
      <alignment vertical="center"/>
    </xf>
    <xf numFmtId="0" fontId="45" fillId="2" borderId="6" xfId="0" applyFont="1" applyFill="1" applyBorder="1" applyAlignment="1">
      <alignment horizontal="left" vertical="center"/>
    </xf>
    <xf numFmtId="165" fontId="45" fillId="2" borderId="6" xfId="0" applyNumberFormat="1" applyFont="1" applyFill="1" applyBorder="1" applyAlignment="1">
      <alignment vertical="center"/>
    </xf>
    <xf numFmtId="3" fontId="45" fillId="2" borderId="30" xfId="0" applyNumberFormat="1" applyFont="1" applyFill="1" applyBorder="1" applyAlignment="1"/>
    <xf numFmtId="3" fontId="45" fillId="2" borderId="30" xfId="0" applyNumberFormat="1" applyFont="1" applyFill="1" applyBorder="1" applyAlignment="1">
      <alignment vertical="top"/>
    </xf>
    <xf numFmtId="165" fontId="45" fillId="2" borderId="33" xfId="0" applyNumberFormat="1" applyFont="1" applyFill="1" applyBorder="1" applyAlignment="1"/>
    <xf numFmtId="165" fontId="45" fillId="2" borderId="33" xfId="0" applyNumberFormat="1" applyFont="1" applyFill="1" applyBorder="1" applyAlignment="1">
      <alignment vertical="center"/>
    </xf>
    <xf numFmtId="165" fontId="45" fillId="2" borderId="33" xfId="0" applyNumberFormat="1" applyFont="1" applyFill="1" applyBorder="1" applyAlignment="1">
      <alignment vertical="top" wrapText="1"/>
    </xf>
    <xf numFmtId="165" fontId="45" fillId="2" borderId="32" xfId="0" applyNumberFormat="1" applyFont="1" applyFill="1" applyBorder="1" applyAlignment="1">
      <alignment vertical="center"/>
    </xf>
    <xf numFmtId="165" fontId="45" fillId="2" borderId="34" xfId="0" applyNumberFormat="1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wrapText="1"/>
    </xf>
    <xf numFmtId="0" fontId="120" fillId="2" borderId="32" xfId="0" applyFont="1" applyFill="1" applyBorder="1" applyAlignment="1">
      <alignment vertical="center"/>
    </xf>
    <xf numFmtId="3" fontId="4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45" fillId="0" borderId="25" xfId="0" applyFont="1" applyFill="1" applyBorder="1" applyAlignment="1">
      <alignment horizontal="left" wrapText="1"/>
    </xf>
    <xf numFmtId="3" fontId="45" fillId="0" borderId="25" xfId="0" applyNumberFormat="1" applyFont="1" applyFill="1" applyBorder="1"/>
    <xf numFmtId="3" fontId="45" fillId="0" borderId="25" xfId="0" applyNumberFormat="1" applyFont="1" applyFill="1" applyBorder="1" applyAlignment="1">
      <alignment horizontal="center"/>
    </xf>
    <xf numFmtId="0" fontId="9" fillId="0" borderId="25" xfId="0" applyFont="1" applyFill="1" applyBorder="1"/>
    <xf numFmtId="3" fontId="45" fillId="0" borderId="25" xfId="0" applyNumberFormat="1" applyFont="1" applyFill="1" applyBorder="1" applyAlignment="1">
      <alignment horizontal="right"/>
    </xf>
    <xf numFmtId="165" fontId="45" fillId="0" borderId="25" xfId="0" applyNumberFormat="1" applyFont="1" applyFill="1" applyBorder="1" applyAlignment="1">
      <alignment horizontal="center"/>
    </xf>
    <xf numFmtId="3" fontId="45" fillId="0" borderId="28" xfId="0" applyNumberFormat="1" applyFont="1" applyFill="1" applyBorder="1"/>
    <xf numFmtId="3" fontId="45" fillId="0" borderId="26" xfId="0" applyNumberFormat="1" applyFont="1" applyFill="1" applyBorder="1"/>
    <xf numFmtId="3" fontId="45" fillId="0" borderId="26" xfId="0" applyNumberFormat="1" applyFont="1" applyFill="1" applyBorder="1" applyAlignment="1">
      <alignment horizontal="center"/>
    </xf>
    <xf numFmtId="3" fontId="45" fillId="0" borderId="29" xfId="0" applyNumberFormat="1" applyFont="1" applyFill="1" applyBorder="1"/>
    <xf numFmtId="3" fontId="45" fillId="0" borderId="30" xfId="0" applyNumberFormat="1" applyFont="1" applyFill="1" applyBorder="1" applyAlignment="1">
      <alignment horizontal="right"/>
    </xf>
    <xf numFmtId="3" fontId="45" fillId="0" borderId="29" xfId="0" applyNumberFormat="1" applyFont="1" applyFill="1" applyBorder="1" applyAlignment="1">
      <alignment horizontal="right"/>
    </xf>
    <xf numFmtId="3" fontId="45" fillId="0" borderId="31" xfId="0" applyNumberFormat="1" applyFont="1" applyFill="1" applyBorder="1" applyAlignment="1">
      <alignment horizontal="center"/>
    </xf>
    <xf numFmtId="3" fontId="45" fillId="0" borderId="32" xfId="0" applyNumberFormat="1" applyFont="1" applyFill="1" applyBorder="1" applyAlignment="1">
      <alignment horizontal="center"/>
    </xf>
    <xf numFmtId="165" fontId="45" fillId="0" borderId="33" xfId="0" applyNumberFormat="1" applyFont="1" applyFill="1" applyBorder="1" applyAlignment="1">
      <alignment horizontal="center"/>
    </xf>
    <xf numFmtId="165" fontId="45" fillId="0" borderId="32" xfId="0" applyNumberFormat="1" applyFont="1" applyFill="1" applyBorder="1" applyAlignment="1">
      <alignment horizontal="center"/>
    </xf>
    <xf numFmtId="0" fontId="121" fillId="0" borderId="30" xfId="0" applyFont="1" applyFill="1" applyBorder="1"/>
    <xf numFmtId="3" fontId="118" fillId="0" borderId="30" xfId="0" applyNumberFormat="1" applyFont="1" applyFill="1" applyBorder="1" applyAlignment="1">
      <alignment horizontal="right"/>
    </xf>
    <xf numFmtId="0" fontId="118" fillId="0" borderId="30" xfId="0" applyFont="1" applyFill="1" applyBorder="1" applyAlignment="1">
      <alignment horizontal="right"/>
    </xf>
    <xf numFmtId="0" fontId="9" fillId="0" borderId="29" xfId="0" applyFont="1" applyFill="1" applyBorder="1"/>
    <xf numFmtId="0" fontId="121" fillId="0" borderId="33" xfId="0" applyFont="1" applyFill="1" applyBorder="1"/>
    <xf numFmtId="0" fontId="9" fillId="0" borderId="32" xfId="0" applyFont="1" applyFill="1" applyBorder="1"/>
    <xf numFmtId="0" fontId="127" fillId="0" borderId="30" xfId="0" applyFont="1" applyFill="1" applyBorder="1" applyAlignment="1">
      <alignment horizontal="left" vertical="top"/>
    </xf>
    <xf numFmtId="0" fontId="109" fillId="2" borderId="0" xfId="0" applyFont="1" applyFill="1" applyBorder="1" applyAlignment="1">
      <alignment horizontal="left" vertical="center"/>
    </xf>
    <xf numFmtId="1" fontId="93" fillId="0" borderId="0" xfId="0" applyNumberFormat="1" applyFont="1" applyFill="1" applyBorder="1" applyAlignment="1">
      <alignment vertical="center" wrapText="1"/>
    </xf>
    <xf numFmtId="1" fontId="93" fillId="0" borderId="0" xfId="0" applyNumberFormat="1" applyFont="1" applyFill="1" applyBorder="1" applyAlignment="1">
      <alignment horizontal="left" vertical="center" wrapText="1"/>
    </xf>
    <xf numFmtId="0" fontId="93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vertical="center" wrapText="1"/>
    </xf>
    <xf numFmtId="1" fontId="109" fillId="2" borderId="0" xfId="0" applyNumberFormat="1" applyFont="1" applyFill="1" applyBorder="1" applyAlignment="1">
      <alignment horizontal="right" vertical="center" wrapText="1"/>
    </xf>
    <xf numFmtId="0" fontId="109" fillId="2" borderId="0" xfId="0" applyFont="1" applyFill="1" applyBorder="1" applyAlignment="1">
      <alignment horizontal="left" wrapText="1"/>
    </xf>
    <xf numFmtId="0" fontId="45" fillId="2" borderId="0" xfId="0" applyFont="1" applyFill="1" applyBorder="1" applyAlignment="1">
      <alignment wrapText="1"/>
    </xf>
    <xf numFmtId="164" fontId="45" fillId="2" borderId="0" xfId="1" applyNumberFormat="1" applyFont="1" applyFill="1" applyBorder="1" applyAlignment="1">
      <alignment horizontal="right" vertical="center"/>
    </xf>
    <xf numFmtId="3" fontId="45" fillId="2" borderId="26" xfId="0" applyNumberFormat="1" applyFont="1" applyFill="1" applyBorder="1" applyAlignment="1">
      <alignment horizontal="right" vertical="center"/>
    </xf>
    <xf numFmtId="164" fontId="45" fillId="2" borderId="26" xfId="1" applyNumberFormat="1" applyFont="1" applyFill="1" applyBorder="1" applyAlignment="1">
      <alignment horizontal="right" vertical="center"/>
    </xf>
    <xf numFmtId="3" fontId="45" fillId="2" borderId="25" xfId="0" applyNumberFormat="1" applyFont="1" applyFill="1" applyBorder="1" applyAlignment="1">
      <alignment horizontal="right" vertical="center"/>
    </xf>
    <xf numFmtId="164" fontId="45" fillId="2" borderId="25" xfId="1" applyNumberFormat="1" applyFont="1" applyFill="1" applyBorder="1" applyAlignment="1">
      <alignment horizontal="right" vertical="center"/>
    </xf>
    <xf numFmtId="3" fontId="45" fillId="2" borderId="28" xfId="0" applyNumberFormat="1" applyFont="1" applyFill="1" applyBorder="1" applyAlignment="1">
      <alignment horizontal="right" vertical="center"/>
    </xf>
    <xf numFmtId="3" fontId="45" fillId="2" borderId="30" xfId="0" applyNumberFormat="1" applyFont="1" applyFill="1" applyBorder="1" applyAlignment="1">
      <alignment horizontal="right" vertical="center"/>
    </xf>
    <xf numFmtId="3" fontId="45" fillId="2" borderId="29" xfId="0" applyNumberFormat="1" applyFont="1" applyFill="1" applyBorder="1" applyAlignment="1">
      <alignment horizontal="right" vertical="center"/>
    </xf>
    <xf numFmtId="1" fontId="93" fillId="0" borderId="25" xfId="0" applyNumberFormat="1" applyFont="1" applyFill="1" applyBorder="1" applyAlignment="1">
      <alignment vertical="center" wrapText="1"/>
    </xf>
    <xf numFmtId="1" fontId="93" fillId="0" borderId="25" xfId="0" applyNumberFormat="1" applyFont="1" applyFill="1" applyBorder="1" applyAlignment="1">
      <alignment horizontal="left" vertical="center" wrapText="1"/>
    </xf>
    <xf numFmtId="0" fontId="93" fillId="0" borderId="25" xfId="0" applyFont="1" applyFill="1" applyBorder="1" applyAlignment="1">
      <alignment vertical="center" wrapText="1"/>
    </xf>
    <xf numFmtId="0" fontId="109" fillId="2" borderId="25" xfId="0" applyFont="1" applyFill="1" applyBorder="1" applyAlignment="1">
      <alignment horizontal="left" vertical="center"/>
    </xf>
    <xf numFmtId="3" fontId="109" fillId="2" borderId="25" xfId="0" applyNumberFormat="1" applyFont="1" applyFill="1" applyBorder="1" applyAlignment="1">
      <alignment horizontal="right" vertical="center"/>
    </xf>
    <xf numFmtId="164" fontId="109" fillId="2" borderId="25" xfId="1" applyNumberFormat="1" applyFont="1" applyFill="1" applyBorder="1" applyAlignment="1">
      <alignment horizontal="right" vertical="center"/>
    </xf>
    <xf numFmtId="3" fontId="109" fillId="2" borderId="29" xfId="0" applyNumberFormat="1" applyFont="1" applyFill="1" applyBorder="1" applyAlignment="1">
      <alignment horizontal="right" vertical="center"/>
    </xf>
    <xf numFmtId="0" fontId="109" fillId="2" borderId="25" xfId="0" applyFont="1" applyFill="1" applyBorder="1" applyAlignment="1">
      <alignment vertical="top" wrapText="1"/>
    </xf>
    <xf numFmtId="0" fontId="109" fillId="2" borderId="25" xfId="0" applyFont="1" applyFill="1" applyBorder="1" applyAlignment="1">
      <alignment horizontal="left" vertical="top" wrapText="1"/>
    </xf>
    <xf numFmtId="165" fontId="115" fillId="2" borderId="0" xfId="1" applyNumberFormat="1" applyFont="1" applyFill="1" applyBorder="1" applyAlignment="1">
      <alignment horizontal="right" vertical="center"/>
    </xf>
    <xf numFmtId="165" fontId="115" fillId="2" borderId="0" xfId="0" applyNumberFormat="1" applyFont="1" applyFill="1" applyBorder="1" applyAlignment="1">
      <alignment horizontal="right" vertical="center"/>
    </xf>
    <xf numFmtId="165" fontId="45" fillId="2" borderId="0" xfId="1" applyNumberFormat="1" applyFont="1" applyFill="1" applyBorder="1" applyAlignment="1">
      <alignment horizontal="right" vertical="center"/>
    </xf>
    <xf numFmtId="165" fontId="45" fillId="2" borderId="0" xfId="0" applyNumberFormat="1" applyFont="1" applyFill="1" applyBorder="1" applyAlignment="1">
      <alignment horizontal="right" vertical="center"/>
    </xf>
    <xf numFmtId="165" fontId="45" fillId="2" borderId="25" xfId="1" applyNumberFormat="1" applyFont="1" applyFill="1" applyBorder="1" applyAlignment="1">
      <alignment horizontal="right" vertical="center"/>
    </xf>
    <xf numFmtId="165" fontId="45" fillId="2" borderId="25" xfId="0" applyNumberFormat="1" applyFont="1" applyFill="1" applyBorder="1" applyAlignment="1">
      <alignment horizontal="right" vertical="center"/>
    </xf>
    <xf numFmtId="165" fontId="115" fillId="2" borderId="30" xfId="1" applyNumberFormat="1" applyFont="1" applyFill="1" applyBorder="1" applyAlignment="1">
      <alignment horizontal="right" vertical="center"/>
    </xf>
    <xf numFmtId="165" fontId="45" fillId="2" borderId="29" xfId="1" applyNumberFormat="1" applyFont="1" applyFill="1" applyBorder="1" applyAlignment="1">
      <alignment horizontal="right" vertical="center"/>
    </xf>
    <xf numFmtId="164" fontId="45" fillId="2" borderId="33" xfId="1" applyNumberFormat="1" applyFont="1" applyFill="1" applyBorder="1" applyAlignment="1">
      <alignment horizontal="right" vertical="center"/>
    </xf>
    <xf numFmtId="164" fontId="45" fillId="2" borderId="32" xfId="1" applyNumberFormat="1" applyFont="1" applyFill="1" applyBorder="1" applyAlignment="1">
      <alignment horizontal="right" vertical="center"/>
    </xf>
    <xf numFmtId="3" fontId="45" fillId="2" borderId="30" xfId="2" applyNumberFormat="1" applyFont="1" applyFill="1" applyBorder="1" applyAlignment="1">
      <alignment vertical="center"/>
    </xf>
    <xf numFmtId="3" fontId="45" fillId="2" borderId="29" xfId="2" applyNumberFormat="1" applyFont="1" applyFill="1" applyBorder="1" applyAlignment="1">
      <alignment vertical="center"/>
    </xf>
    <xf numFmtId="0" fontId="109" fillId="2" borderId="26" xfId="2" applyFont="1" applyFill="1" applyBorder="1" applyAlignment="1">
      <alignment horizontal="left" vertical="center" wrapText="1"/>
    </xf>
    <xf numFmtId="0" fontId="45" fillId="2" borderId="32" xfId="2" applyFont="1" applyFill="1" applyBorder="1" applyAlignment="1">
      <alignment horizontal="left"/>
    </xf>
    <xf numFmtId="0" fontId="109" fillId="2" borderId="29" xfId="2" applyFont="1" applyFill="1" applyBorder="1" applyAlignment="1">
      <alignment horizontal="right" textRotation="90" wrapText="1"/>
    </xf>
    <xf numFmtId="0" fontId="109" fillId="2" borderId="32" xfId="2" applyFont="1" applyFill="1" applyBorder="1" applyAlignment="1">
      <alignment horizontal="right" textRotation="90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8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vertical="center" wrapText="1"/>
    </xf>
    <xf numFmtId="0" fontId="109" fillId="2" borderId="29" xfId="0" applyFont="1" applyFill="1" applyBorder="1" applyAlignment="1">
      <alignment vertical="top" wrapText="1"/>
    </xf>
    <xf numFmtId="164" fontId="110" fillId="2" borderId="0" xfId="1" applyNumberFormat="1" applyFont="1" applyFill="1" applyBorder="1" applyAlignment="1">
      <alignment horizontal="right" vertical="center"/>
    </xf>
    <xf numFmtId="0" fontId="109" fillId="2" borderId="30" xfId="0" applyFont="1" applyFill="1" applyBorder="1" applyAlignment="1">
      <alignment horizontal="right"/>
    </xf>
    <xf numFmtId="0" fontId="109" fillId="2" borderId="0" xfId="0" applyFont="1" applyFill="1" applyBorder="1" applyAlignment="1">
      <alignment horizontal="right"/>
    </xf>
    <xf numFmtId="0" fontId="138" fillId="2" borderId="30" xfId="0" applyFont="1" applyFill="1" applyBorder="1" applyAlignment="1">
      <alignment horizontal="right" wrapText="1"/>
    </xf>
    <xf numFmtId="0" fontId="138" fillId="2" borderId="0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left" vertical="center" wrapText="1"/>
    </xf>
    <xf numFmtId="0" fontId="138" fillId="2" borderId="29" xfId="0" applyFont="1" applyFill="1" applyBorder="1" applyAlignment="1">
      <alignment horizontal="right" wrapText="1"/>
    </xf>
    <xf numFmtId="0" fontId="138" fillId="2" borderId="25" xfId="0" applyFont="1" applyFill="1" applyBorder="1" applyAlignment="1">
      <alignment horizontal="right" wrapText="1"/>
    </xf>
    <xf numFmtId="0" fontId="93" fillId="2" borderId="0" xfId="0" applyFont="1" applyFill="1" applyBorder="1" applyAlignment="1">
      <alignment horizontal="left" wrapText="1"/>
    </xf>
    <xf numFmtId="1" fontId="109" fillId="2" borderId="26" xfId="0" applyNumberFormat="1" applyFont="1" applyFill="1" applyBorder="1" applyAlignment="1">
      <alignment horizontal="left" vertical="center" wrapText="1"/>
    </xf>
    <xf numFmtId="0" fontId="45" fillId="2" borderId="0" xfId="0" applyFont="1" applyFill="1" applyBorder="1"/>
    <xf numFmtId="0" fontId="45" fillId="0" borderId="25" xfId="0" applyFont="1" applyFill="1" applyBorder="1"/>
    <xf numFmtId="0" fontId="109" fillId="2" borderId="25" xfId="0" applyFont="1" applyFill="1" applyBorder="1" applyAlignment="1">
      <alignment vertical="top"/>
    </xf>
    <xf numFmtId="0" fontId="109" fillId="2" borderId="25" xfId="0" applyFont="1" applyFill="1" applyBorder="1" applyAlignment="1">
      <alignment horizontal="center"/>
    </xf>
    <xf numFmtId="0" fontId="45" fillId="2" borderId="6" xfId="0" applyFont="1" applyFill="1" applyBorder="1" applyAlignment="1">
      <alignment vertical="center"/>
    </xf>
    <xf numFmtId="1" fontId="45" fillId="2" borderId="6" xfId="0" applyNumberFormat="1" applyFont="1" applyFill="1" applyBorder="1" applyAlignment="1">
      <alignment vertical="center" wrapText="1"/>
    </xf>
    <xf numFmtId="0" fontId="45" fillId="2" borderId="6" xfId="0" applyFont="1" applyFill="1" applyBorder="1" applyAlignment="1">
      <alignment horizontal="right" vertical="center"/>
    </xf>
    <xf numFmtId="3" fontId="45" fillId="2" borderId="6" xfId="0" applyNumberFormat="1" applyFont="1" applyFill="1" applyBorder="1" applyAlignment="1">
      <alignment horizontal="right" vertical="center"/>
    </xf>
    <xf numFmtId="164" fontId="45" fillId="2" borderId="6" xfId="1" applyNumberFormat="1" applyFont="1" applyFill="1" applyBorder="1" applyAlignment="1">
      <alignment horizontal="right" vertical="center"/>
    </xf>
    <xf numFmtId="0" fontId="109" fillId="2" borderId="6" xfId="0" applyFont="1" applyFill="1" applyBorder="1" applyAlignment="1">
      <alignment vertical="center" wrapText="1"/>
    </xf>
    <xf numFmtId="0" fontId="109" fillId="2" borderId="30" xfId="0" applyFont="1" applyFill="1" applyBorder="1" applyAlignment="1">
      <alignment vertical="top" wrapText="1"/>
    </xf>
    <xf numFmtId="0" fontId="129" fillId="0" borderId="30" xfId="0" applyFont="1" applyFill="1" applyBorder="1"/>
    <xf numFmtId="0" fontId="109" fillId="2" borderId="25" xfId="0" applyFont="1" applyFill="1" applyBorder="1" applyAlignment="1">
      <alignment horizontal="center" vertical="center" wrapText="1"/>
    </xf>
    <xf numFmtId="164" fontId="45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textRotation="90" wrapText="1"/>
    </xf>
    <xf numFmtId="0" fontId="109" fillId="2" borderId="25" xfId="2" applyFont="1" applyFill="1" applyBorder="1" applyAlignment="1">
      <alignment horizontal="center" textRotation="90" wrapText="1"/>
    </xf>
    <xf numFmtId="0" fontId="107" fillId="0" borderId="0" xfId="2" quotePrefix="1" applyFont="1" applyFill="1" applyBorder="1" applyAlignment="1">
      <alignment horizontal="left"/>
    </xf>
    <xf numFmtId="0" fontId="107" fillId="0" borderId="0" xfId="2" applyFont="1" applyFill="1" applyBorder="1" applyAlignment="1">
      <alignment horizontal="left"/>
    </xf>
    <xf numFmtId="0" fontId="140" fillId="0" borderId="0" xfId="2" applyFont="1" applyFill="1" applyBorder="1" applyAlignment="1"/>
    <xf numFmtId="0" fontId="116" fillId="0" borderId="0" xfId="2" applyFont="1" applyFill="1" applyBorder="1" applyAlignment="1">
      <alignment wrapText="1"/>
    </xf>
    <xf numFmtId="165" fontId="116" fillId="0" borderId="0" xfId="2" applyNumberFormat="1" applyFont="1" applyFill="1" applyBorder="1"/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center"/>
    </xf>
    <xf numFmtId="165" fontId="45" fillId="2" borderId="31" xfId="20" applyNumberFormat="1" applyFont="1" applyFill="1" applyBorder="1" applyAlignment="1">
      <alignment horizontal="right" vertical="center"/>
    </xf>
    <xf numFmtId="0" fontId="9" fillId="0" borderId="0" xfId="1539" applyFont="1"/>
    <xf numFmtId="0" fontId="9" fillId="0" borderId="0" xfId="1539"/>
    <xf numFmtId="0" fontId="141" fillId="0" borderId="0" xfId="1539" applyFont="1"/>
    <xf numFmtId="0" fontId="92" fillId="0" borderId="0" xfId="0" applyFont="1" applyFill="1"/>
    <xf numFmtId="0" fontId="92" fillId="0" borderId="0" xfId="1539" applyFont="1"/>
    <xf numFmtId="165" fontId="45" fillId="2" borderId="27" xfId="2" applyNumberFormat="1" applyFont="1" applyFill="1" applyBorder="1" applyAlignment="1">
      <alignment horizontal="right" vertical="center"/>
    </xf>
    <xf numFmtId="165" fontId="45" fillId="2" borderId="2" xfId="2" applyNumberFormat="1" applyFont="1" applyFill="1" applyBorder="1" applyAlignment="1">
      <alignment horizontal="right" vertical="center"/>
    </xf>
    <xf numFmtId="165" fontId="45" fillId="2" borderId="34" xfId="2" applyNumberFormat="1" applyFont="1" applyFill="1" applyBorder="1" applyAlignment="1">
      <alignment horizontal="right" vertical="center"/>
    </xf>
    <xf numFmtId="165" fontId="45" fillId="2" borderId="29" xfId="20" applyNumberFormat="1" applyFont="1" applyFill="1" applyBorder="1" applyAlignment="1">
      <alignment horizontal="right" vertical="center"/>
    </xf>
    <xf numFmtId="165" fontId="45" fillId="2" borderId="27" xfId="20" applyNumberFormat="1" applyFont="1" applyFill="1" applyBorder="1" applyAlignment="1">
      <alignment horizontal="right" vertical="center"/>
    </xf>
    <xf numFmtId="164" fontId="45" fillId="2" borderId="6" xfId="1" applyNumberFormat="1" applyFont="1" applyFill="1" applyBorder="1" applyAlignment="1">
      <alignment vertical="center"/>
    </xf>
    <xf numFmtId="3" fontId="45" fillId="2" borderId="32" xfId="2" applyNumberFormat="1" applyFont="1" applyFill="1" applyBorder="1" applyAlignment="1">
      <alignment horizontal="right" vertical="center"/>
    </xf>
    <xf numFmtId="3" fontId="45" fillId="2" borderId="27" xfId="2" applyNumberFormat="1" applyFont="1" applyFill="1" applyBorder="1" applyAlignment="1">
      <alignment horizontal="right" vertical="center"/>
    </xf>
    <xf numFmtId="3" fontId="45" fillId="2" borderId="6" xfId="2" applyNumberFormat="1" applyFont="1" applyFill="1" applyBorder="1" applyAlignment="1">
      <alignment horizontal="right" vertical="center"/>
    </xf>
    <xf numFmtId="3" fontId="45" fillId="2" borderId="34" xfId="2" applyNumberFormat="1" applyFont="1" applyFill="1" applyBorder="1" applyAlignment="1">
      <alignment horizontal="right" vertical="center"/>
    </xf>
    <xf numFmtId="0" fontId="142" fillId="0" borderId="0" xfId="1539" applyFont="1" applyAlignment="1">
      <alignment horizontal="left"/>
    </xf>
    <xf numFmtId="184" fontId="142" fillId="0" borderId="0" xfId="1539" applyNumberFormat="1" applyFont="1" applyAlignment="1">
      <alignment horizontal="left"/>
    </xf>
    <xf numFmtId="0" fontId="130" fillId="0" borderId="0" xfId="1535" applyFont="1" applyAlignment="1">
      <alignment horizontal="left" vertical="center" wrapText="1"/>
    </xf>
    <xf numFmtId="0" fontId="132" fillId="0" borderId="0" xfId="1535" applyFont="1" applyAlignment="1">
      <alignment horizontal="left" vertical="center" wrapText="1"/>
    </xf>
    <xf numFmtId="0" fontId="32" fillId="0" borderId="0" xfId="1535" applyFont="1" applyAlignment="1">
      <alignment horizontal="center"/>
    </xf>
    <xf numFmtId="49" fontId="32" fillId="0" borderId="0" xfId="1535" applyNumberFormat="1" applyFont="1" applyAlignment="1">
      <alignment horizontal="center" vertical="center"/>
    </xf>
    <xf numFmtId="49" fontId="33" fillId="0" borderId="0" xfId="1535" applyNumberFormat="1" applyFont="1" applyAlignment="1">
      <alignment horizontal="center" vertical="center"/>
    </xf>
    <xf numFmtId="0" fontId="97" fillId="0" borderId="0" xfId="0" applyFont="1" applyFill="1" applyAlignment="1">
      <alignment horizontal="justify" vertical="top" wrapText="1"/>
    </xf>
    <xf numFmtId="0" fontId="54" fillId="2" borderId="0" xfId="2" applyFont="1" applyFill="1" applyAlignment="1">
      <alignment horizontal="justify" wrapText="1"/>
    </xf>
    <xf numFmtId="3" fontId="92" fillId="0" borderId="0" xfId="2" applyNumberFormat="1" applyFont="1" applyFill="1" applyAlignment="1">
      <alignment horizontal="center"/>
    </xf>
    <xf numFmtId="0" fontId="107" fillId="0" borderId="25" xfId="2" applyFont="1" applyFill="1" applyBorder="1" applyAlignment="1">
      <alignment horizontal="left"/>
    </xf>
    <xf numFmtId="0" fontId="92" fillId="0" borderId="0" xfId="0" applyFont="1" applyBorder="1" applyAlignment="1">
      <alignment horizontal="right"/>
    </xf>
    <xf numFmtId="0" fontId="92" fillId="0" borderId="0" xfId="0" applyFont="1" applyAlignment="1">
      <alignment horizontal="right"/>
    </xf>
    <xf numFmtId="0" fontId="107" fillId="0" borderId="0" xfId="2" applyFont="1" applyFill="1" applyBorder="1" applyAlignment="1">
      <alignment horizontal="left"/>
    </xf>
    <xf numFmtId="0" fontId="54" fillId="2" borderId="0" xfId="2" applyFont="1" applyFill="1" applyAlignment="1">
      <alignment horizontal="justify" vertical="top" wrapText="1"/>
    </xf>
    <xf numFmtId="0" fontId="107" fillId="2" borderId="25" xfId="2" applyFont="1" applyFill="1" applyBorder="1" applyAlignment="1">
      <alignment horizontal="left" wrapText="1"/>
    </xf>
    <xf numFmtId="0" fontId="45" fillId="2" borderId="25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center" vertical="center" textRotation="90" wrapText="1"/>
    </xf>
    <xf numFmtId="0" fontId="109" fillId="2" borderId="0" xfId="0" applyFont="1" applyFill="1" applyBorder="1" applyAlignment="1">
      <alignment horizontal="center" vertical="center" textRotation="90" wrapText="1"/>
    </xf>
    <xf numFmtId="0" fontId="109" fillId="2" borderId="25" xfId="0" applyFont="1" applyFill="1" applyBorder="1" applyAlignment="1">
      <alignment horizontal="center" vertical="center" textRotation="90" wrapText="1"/>
    </xf>
    <xf numFmtId="0" fontId="45" fillId="2" borderId="26" xfId="0" applyFont="1" applyFill="1" applyBorder="1" applyAlignment="1">
      <alignment horizontal="left" vertical="top" wrapText="1"/>
    </xf>
    <xf numFmtId="0" fontId="45" fillId="2" borderId="0" xfId="0" applyFont="1" applyFill="1" applyBorder="1" applyAlignment="1">
      <alignment horizontal="left" vertical="top" wrapText="1"/>
    </xf>
    <xf numFmtId="0" fontId="45" fillId="2" borderId="25" xfId="0" applyFont="1" applyFill="1" applyBorder="1" applyAlignment="1">
      <alignment horizontal="left" vertical="top" wrapText="1"/>
    </xf>
    <xf numFmtId="0" fontId="45" fillId="2" borderId="6" xfId="0" applyFont="1" applyFill="1" applyBorder="1" applyAlignment="1">
      <alignment horizontal="left" vertical="center" wrapText="1"/>
    </xf>
    <xf numFmtId="0" fontId="103" fillId="0" borderId="0" xfId="0" applyFont="1" applyFill="1" applyAlignment="1">
      <alignment horizontal="justify" vertical="top" wrapText="1"/>
    </xf>
    <xf numFmtId="0" fontId="140" fillId="0" borderId="0" xfId="0" applyFont="1" applyFill="1" applyBorder="1" applyAlignment="1">
      <alignment horizontal="left"/>
    </xf>
    <xf numFmtId="1" fontId="93" fillId="0" borderId="0" xfId="0" applyNumberFormat="1" applyFont="1" applyFill="1" applyBorder="1" applyAlignment="1">
      <alignment horizontal="center" vertical="center"/>
    </xf>
    <xf numFmtId="0" fontId="93" fillId="0" borderId="0" xfId="0" applyFont="1" applyFill="1" applyBorder="1" applyAlignment="1">
      <alignment horizontal="center" vertical="center"/>
    </xf>
    <xf numFmtId="0" fontId="109" fillId="2" borderId="28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left" vertical="center"/>
    </xf>
    <xf numFmtId="0" fontId="109" fillId="2" borderId="31" xfId="0" applyFont="1" applyFill="1" applyBorder="1" applyAlignment="1">
      <alignment horizontal="left" vertical="center"/>
    </xf>
    <xf numFmtId="0" fontId="45" fillId="2" borderId="0" xfId="0" applyFont="1" applyFill="1" applyBorder="1" applyAlignment="1">
      <alignment horizontal="left" vertical="top"/>
    </xf>
    <xf numFmtId="0" fontId="45" fillId="2" borderId="25" xfId="0" applyFont="1" applyFill="1" applyBorder="1" applyAlignment="1">
      <alignment horizontal="left" vertical="top"/>
    </xf>
    <xf numFmtId="0" fontId="45" fillId="2" borderId="26" xfId="0" applyFont="1" applyFill="1" applyBorder="1" applyAlignment="1">
      <alignment horizontal="left" vertical="top"/>
    </xf>
    <xf numFmtId="0" fontId="109" fillId="2" borderId="27" xfId="2" applyFont="1" applyFill="1" applyBorder="1" applyAlignment="1">
      <alignment horizontal="left" vertical="top" wrapText="1"/>
    </xf>
    <xf numFmtId="0" fontId="109" fillId="2" borderId="6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 wrapText="1"/>
    </xf>
    <xf numFmtId="1" fontId="93" fillId="0" borderId="0" xfId="2" applyNumberFormat="1" applyFont="1" applyFill="1" applyBorder="1" applyAlignment="1">
      <alignment horizontal="center" vertical="center" wrapText="1"/>
    </xf>
    <xf numFmtId="0" fontId="93" fillId="0" borderId="0" xfId="2" applyFont="1" applyFill="1" applyBorder="1" applyAlignment="1">
      <alignment horizontal="center" vertical="center" wrapText="1"/>
    </xf>
    <xf numFmtId="0" fontId="140" fillId="0" borderId="0" xfId="2" applyFont="1" applyFill="1" applyBorder="1" applyAlignment="1">
      <alignment horizontal="left"/>
    </xf>
    <xf numFmtId="0" fontId="109" fillId="2" borderId="34" xfId="2" applyFont="1" applyFill="1" applyBorder="1" applyAlignment="1">
      <alignment horizontal="left" vertical="top" wrapText="1"/>
    </xf>
    <xf numFmtId="0" fontId="109" fillId="2" borderId="0" xfId="2" applyFont="1" applyFill="1" applyBorder="1" applyAlignment="1">
      <alignment horizontal="left" vertical="top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3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27" xfId="2" applyFont="1" applyFill="1" applyBorder="1" applyAlignment="1">
      <alignment horizontal="left" vertical="center" wrapText="1"/>
    </xf>
    <xf numFmtId="0" fontId="109" fillId="2" borderId="2" xfId="2" applyFont="1" applyFill="1" applyBorder="1" applyAlignment="1">
      <alignment horizontal="left" vertical="center" wrapText="1"/>
    </xf>
    <xf numFmtId="0" fontId="109" fillId="2" borderId="34" xfId="2" applyFont="1" applyFill="1" applyBorder="1" applyAlignment="1">
      <alignment horizontal="left" vertical="center" wrapText="1"/>
    </xf>
    <xf numFmtId="0" fontId="109" fillId="2" borderId="6" xfId="2" applyFont="1" applyFill="1" applyBorder="1" applyAlignment="1">
      <alignment horizontal="left" vertical="center" wrapText="1"/>
    </xf>
    <xf numFmtId="0" fontId="109" fillId="2" borderId="29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/>
    </xf>
    <xf numFmtId="0" fontId="117" fillId="0" borderId="0" xfId="2" applyFont="1" applyFill="1" applyBorder="1" applyAlignment="1">
      <alignment horizontal="right" vertical="center" wrapText="1"/>
    </xf>
    <xf numFmtId="1" fontId="45" fillId="0" borderId="0" xfId="2" applyNumberFormat="1" applyFont="1" applyFill="1" applyBorder="1" applyAlignment="1">
      <alignment horizontal="center" vertical="center"/>
    </xf>
    <xf numFmtId="1" fontId="93" fillId="0" borderId="25" xfId="2" applyNumberFormat="1" applyFont="1" applyFill="1" applyBorder="1" applyAlignment="1">
      <alignment horizontal="center" wrapText="1"/>
    </xf>
    <xf numFmtId="0" fontId="93" fillId="0" borderId="25" xfId="2" applyFont="1" applyFill="1" applyBorder="1" applyAlignment="1">
      <alignment horizontal="center" wrapText="1"/>
    </xf>
    <xf numFmtId="1" fontId="109" fillId="2" borderId="26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0" fontId="127" fillId="0" borderId="28" xfId="0" applyFont="1" applyFill="1" applyBorder="1" applyAlignment="1">
      <alignment horizontal="left"/>
    </xf>
    <xf numFmtId="0" fontId="127" fillId="0" borderId="26" xfId="0" applyFont="1" applyFill="1" applyBorder="1" applyAlignment="1">
      <alignment horizontal="left"/>
    </xf>
    <xf numFmtId="0" fontId="127" fillId="0" borderId="31" xfId="0" applyFont="1" applyFill="1" applyBorder="1" applyAlignment="1">
      <alignment horizontal="left"/>
    </xf>
    <xf numFmtId="0" fontId="140" fillId="0" borderId="0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/>
    </xf>
    <xf numFmtId="0" fontId="109" fillId="2" borderId="27" xfId="0" applyFont="1" applyFill="1" applyBorder="1" applyAlignment="1">
      <alignment horizontal="left" vertical="center"/>
    </xf>
    <xf numFmtId="0" fontId="109" fillId="2" borderId="34" xfId="0" applyFont="1" applyFill="1" applyBorder="1" applyAlignment="1">
      <alignment horizontal="lef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right" wrapText="1"/>
    </xf>
    <xf numFmtId="0" fontId="105" fillId="0" borderId="0" xfId="0" applyFont="1" applyFill="1" applyBorder="1" applyAlignment="1">
      <alignment horizontal="left"/>
    </xf>
    <xf numFmtId="1" fontId="105" fillId="0" borderId="0" xfId="0" applyNumberFormat="1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center"/>
    </xf>
    <xf numFmtId="0" fontId="45" fillId="2" borderId="26" xfId="0" applyFont="1" applyFill="1" applyBorder="1" applyAlignment="1">
      <alignment vertical="top" wrapText="1"/>
    </xf>
    <xf numFmtId="0" fontId="45" fillId="2" borderId="0" xfId="0" applyFont="1" applyFill="1" applyBorder="1" applyAlignment="1">
      <alignment vertical="top" wrapText="1"/>
    </xf>
    <xf numFmtId="0" fontId="45" fillId="2" borderId="25" xfId="0" applyFont="1" applyFill="1" applyBorder="1" applyAlignment="1">
      <alignment vertical="top" wrapText="1"/>
    </xf>
    <xf numFmtId="1" fontId="45" fillId="2" borderId="26" xfId="0" applyNumberFormat="1" applyFont="1" applyFill="1" applyBorder="1" applyAlignment="1">
      <alignment vertical="top" wrapText="1"/>
    </xf>
    <xf numFmtId="0" fontId="105" fillId="0" borderId="0" xfId="0" applyFont="1" applyFill="1" applyBorder="1" applyAlignment="1">
      <alignment horizontal="left" wrapText="1"/>
    </xf>
    <xf numFmtId="1" fontId="112" fillId="0" borderId="25" xfId="0" applyNumberFormat="1" applyFont="1" applyFill="1" applyBorder="1" applyAlignment="1">
      <alignment horizontal="left" vertical="center"/>
    </xf>
    <xf numFmtId="0" fontId="109" fillId="2" borderId="3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right" wrapText="1"/>
    </xf>
    <xf numFmtId="1" fontId="109" fillId="2" borderId="28" xfId="0" applyNumberFormat="1" applyFont="1" applyFill="1" applyBorder="1" applyAlignment="1">
      <alignment horizontal="left" vertical="top"/>
    </xf>
    <xf numFmtId="1" fontId="109" fillId="2" borderId="26" xfId="0" applyNumberFormat="1" applyFont="1" applyFill="1" applyBorder="1" applyAlignment="1">
      <alignment horizontal="left" vertical="top"/>
    </xf>
    <xf numFmtId="1" fontId="109" fillId="2" borderId="29" xfId="0" applyNumberFormat="1" applyFont="1" applyFill="1" applyBorder="1" applyAlignment="1">
      <alignment horizontal="left" vertical="top"/>
    </xf>
    <xf numFmtId="1" fontId="109" fillId="2" borderId="25" xfId="0" applyNumberFormat="1" applyFont="1" applyFill="1" applyBorder="1" applyAlignment="1">
      <alignment horizontal="left" vertical="top"/>
    </xf>
    <xf numFmtId="0" fontId="109" fillId="2" borderId="28" xfId="0" applyFont="1" applyFill="1" applyBorder="1" applyAlignment="1">
      <alignment horizontal="left" vertical="top" wrapText="1"/>
    </xf>
    <xf numFmtId="0" fontId="109" fillId="2" borderId="29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5" xfId="0" applyFont="1" applyFill="1" applyBorder="1" applyAlignment="1">
      <alignment horizontal="left" vertical="top" wrapText="1"/>
    </xf>
    <xf numFmtId="0" fontId="109" fillId="2" borderId="31" xfId="0" applyFont="1" applyFill="1" applyBorder="1" applyAlignment="1">
      <alignment horizontal="left" vertical="top" wrapText="1"/>
    </xf>
    <xf numFmtId="0" fontId="109" fillId="2" borderId="32" xfId="0" applyFont="1" applyFill="1" applyBorder="1" applyAlignment="1">
      <alignment horizontal="left" vertical="top" wrapText="1"/>
    </xf>
    <xf numFmtId="1" fontId="45" fillId="2" borderId="26" xfId="0" applyNumberFormat="1" applyFont="1" applyFill="1" applyBorder="1" applyAlignment="1">
      <alignment horizontal="left" vertical="top" wrapText="1"/>
    </xf>
    <xf numFmtId="1" fontId="45" fillId="2" borderId="0" xfId="0" applyNumberFormat="1" applyFont="1" applyFill="1" applyBorder="1" applyAlignment="1">
      <alignment horizontal="left" vertical="top" wrapText="1"/>
    </xf>
    <xf numFmtId="1" fontId="45" fillId="2" borderId="25" xfId="0" applyNumberFormat="1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horizontal="justify" vertical="top" wrapText="1"/>
    </xf>
    <xf numFmtId="0" fontId="140" fillId="0" borderId="0" xfId="0" applyFont="1" applyFill="1" applyBorder="1" applyAlignment="1">
      <alignment horizontal="left" wrapText="1"/>
    </xf>
    <xf numFmtId="0" fontId="109" fillId="2" borderId="27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 wrapText="1"/>
    </xf>
    <xf numFmtId="0" fontId="109" fillId="2" borderId="34" xfId="0" applyFont="1" applyFill="1" applyBorder="1" applyAlignment="1">
      <alignment horizontal="left" vertical="center" wrapText="1"/>
    </xf>
    <xf numFmtId="0" fontId="112" fillId="0" borderId="0" xfId="0" applyFont="1" applyFill="1" applyBorder="1" applyAlignment="1">
      <alignment horizontal="left" vertical="center"/>
    </xf>
    <xf numFmtId="0" fontId="109" fillId="2" borderId="33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0" fontId="107" fillId="2" borderId="25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top" wrapText="1"/>
    </xf>
    <xf numFmtId="0" fontId="105" fillId="0" borderId="0" xfId="0" applyFont="1" applyFill="1" applyBorder="1" applyAlignment="1">
      <alignment horizontal="center" vertical="top"/>
    </xf>
    <xf numFmtId="0" fontId="105" fillId="0" borderId="0" xfId="0" applyFont="1" applyFill="1" applyBorder="1" applyAlignment="1">
      <alignment horizontal="center" vertical="top" wrapText="1"/>
    </xf>
    <xf numFmtId="0" fontId="45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left" vertical="top" wrapText="1"/>
    </xf>
    <xf numFmtId="1" fontId="105" fillId="0" borderId="0" xfId="0" applyNumberFormat="1" applyFont="1" applyFill="1" applyBorder="1" applyAlignment="1">
      <alignment horizontal="center" vertical="top" wrapText="1"/>
    </xf>
    <xf numFmtId="1" fontId="105" fillId="0" borderId="0" xfId="0" applyNumberFormat="1" applyFont="1" applyFill="1" applyBorder="1" applyAlignment="1">
      <alignment horizontal="center" vertical="top"/>
    </xf>
    <xf numFmtId="0" fontId="109" fillId="2" borderId="26" xfId="0" applyFont="1" applyFill="1" applyBorder="1" applyAlignment="1">
      <alignment horizontal="right" wrapText="1"/>
    </xf>
    <xf numFmtId="0" fontId="109" fillId="2" borderId="31" xfId="0" applyFont="1" applyFill="1" applyBorder="1" applyAlignment="1">
      <alignment horizontal="right" wrapText="1"/>
    </xf>
    <xf numFmtId="0" fontId="105" fillId="0" borderId="0" xfId="0" applyFont="1" applyAlignment="1">
      <alignment horizontal="left" vertical="center" readingOrder="1"/>
    </xf>
    <xf numFmtId="1" fontId="112" fillId="0" borderId="0" xfId="2" applyNumberFormat="1" applyFont="1" applyFill="1" applyBorder="1" applyAlignment="1">
      <alignment horizontal="left" vertical="top" wrapText="1"/>
    </xf>
    <xf numFmtId="0" fontId="112" fillId="0" borderId="0" xfId="2" applyFont="1" applyFill="1" applyBorder="1" applyAlignment="1">
      <alignment horizontal="left" vertical="top" wrapText="1"/>
    </xf>
    <xf numFmtId="1" fontId="112" fillId="0" borderId="0" xfId="0" applyNumberFormat="1" applyFont="1" applyFill="1" applyBorder="1" applyAlignment="1">
      <alignment horizontal="left" vertical="center"/>
    </xf>
    <xf numFmtId="0" fontId="109" fillId="2" borderId="0" xfId="0" applyFont="1" applyFill="1" applyBorder="1" applyAlignment="1">
      <alignment horizontal="left" vertical="center"/>
    </xf>
    <xf numFmtId="0" fontId="109" fillId="2" borderId="25" xfId="0" applyFont="1" applyFill="1" applyBorder="1" applyAlignment="1">
      <alignment horizontal="left" vertical="center" wrapText="1"/>
    </xf>
    <xf numFmtId="0" fontId="109" fillId="2" borderId="28" xfId="0" applyFont="1" applyFill="1" applyBorder="1" applyAlignment="1">
      <alignment horizontal="left" vertical="center" wrapText="1"/>
    </xf>
    <xf numFmtId="0" fontId="109" fillId="2" borderId="26" xfId="0" applyFont="1" applyFill="1" applyBorder="1" applyAlignment="1">
      <alignment horizontal="left" vertical="center" wrapText="1"/>
    </xf>
    <xf numFmtId="0" fontId="109" fillId="2" borderId="31" xfId="0" applyFont="1" applyFill="1" applyBorder="1" applyAlignment="1">
      <alignment horizontal="left" vertical="center" wrapText="1"/>
    </xf>
    <xf numFmtId="0" fontId="109" fillId="2" borderId="0" xfId="0" applyFont="1" applyFill="1" applyBorder="1" applyAlignment="1">
      <alignment horizontal="left" vertical="center" wrapText="1"/>
    </xf>
    <xf numFmtId="1" fontId="109" fillId="2" borderId="6" xfId="0" applyNumberFormat="1" applyFont="1" applyFill="1" applyBorder="1" applyAlignment="1">
      <alignment horizontal="left" vertical="center"/>
    </xf>
    <xf numFmtId="0" fontId="105" fillId="0" borderId="0" xfId="2" applyFont="1" applyFill="1" applyAlignment="1">
      <alignment horizontal="left"/>
    </xf>
    <xf numFmtId="0" fontId="45" fillId="0" borderId="0" xfId="2" applyFont="1" applyFill="1" applyBorder="1" applyAlignment="1">
      <alignment horizontal="left"/>
    </xf>
    <xf numFmtId="0" fontId="45" fillId="0" borderId="0" xfId="2" applyFont="1" applyFill="1" applyBorder="1" applyAlignment="1">
      <alignment horizontal="left" vertical="top" wrapText="1"/>
    </xf>
  </cellXfs>
  <cellStyles count="1540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2 3" xfId="1539" xr:uid="{EC41200C-39F2-41F2-929E-0094D727D8BB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19 2" xfId="1537" xr:uid="{00000000-0005-0000-0000-0000CE010000}"/>
    <cellStyle name="Normální 19 3" xfId="1538" xr:uid="{FC2DA9EE-F984-412E-A44C-5D4015995987}"/>
    <cellStyle name="Normální 2" xfId="2" xr:uid="{00000000-0005-0000-0000-0000CF010000}"/>
    <cellStyle name="Normální 2 2" xfId="14" xr:uid="{00000000-0005-0000-0000-0000D0010000}"/>
    <cellStyle name="Normální 2 2 2" xfId="15" xr:uid="{00000000-0005-0000-0000-0000D1010000}"/>
    <cellStyle name="Normální 2 2 3" xfId="529" xr:uid="{00000000-0005-0000-0000-0000D2010000}"/>
    <cellStyle name="Normální 2 2 4" xfId="530" xr:uid="{00000000-0005-0000-0000-0000D3010000}"/>
    <cellStyle name="Normální 2 3" xfId="20" xr:uid="{00000000-0005-0000-0000-0000D4010000}"/>
    <cellStyle name="normální 2 4" xfId="531" xr:uid="{00000000-0005-0000-0000-0000D5010000}"/>
    <cellStyle name="Normální 2 5" xfId="532" xr:uid="{00000000-0005-0000-0000-0000D6010000}"/>
    <cellStyle name="Normální 2 6" xfId="533" xr:uid="{00000000-0005-0000-0000-0000D7010000}"/>
    <cellStyle name="Normální 2 7" xfId="1535" xr:uid="{00000000-0005-0000-0000-0000D8010000}"/>
    <cellStyle name="normální 2_120301 Výkazy PDS 11" xfId="534" xr:uid="{00000000-0005-0000-0000-0000D9010000}"/>
    <cellStyle name="Normální 3" xfId="5" xr:uid="{00000000-0005-0000-0000-0000DA010000}"/>
    <cellStyle name="Normální 3 2" xfId="535" xr:uid="{00000000-0005-0000-0000-0000DB010000}"/>
    <cellStyle name="Normální 3 2 2" xfId="536" xr:uid="{00000000-0005-0000-0000-0000DC010000}"/>
    <cellStyle name="normální 3 3" xfId="537" xr:uid="{00000000-0005-0000-0000-0000DD010000}"/>
    <cellStyle name="Normální 3 4" xfId="538" xr:uid="{00000000-0005-0000-0000-0000DE010000}"/>
    <cellStyle name="Normální 3 5" xfId="539" xr:uid="{00000000-0005-0000-0000-0000DF010000}"/>
    <cellStyle name="Normální 4" xfId="6" xr:uid="{00000000-0005-0000-0000-0000E0010000}"/>
    <cellStyle name="Normální 4 2" xfId="75" xr:uid="{00000000-0005-0000-0000-0000E1010000}"/>
    <cellStyle name="Normální 4 2 2" xfId="540" xr:uid="{00000000-0005-0000-0000-0000E2010000}"/>
    <cellStyle name="Normální 4 2 3" xfId="541" xr:uid="{00000000-0005-0000-0000-0000E3010000}"/>
    <cellStyle name="Normální 5" xfId="16" xr:uid="{00000000-0005-0000-0000-0000E4010000}"/>
    <cellStyle name="Normální 5 2" xfId="17" xr:uid="{00000000-0005-0000-0000-0000E5010000}"/>
    <cellStyle name="Normální 5 2 2" xfId="76" xr:uid="{00000000-0005-0000-0000-0000E6010000}"/>
    <cellStyle name="Normální 5 3" xfId="19" xr:uid="{00000000-0005-0000-0000-0000E7010000}"/>
    <cellStyle name="Normální 5 4" xfId="77" xr:uid="{00000000-0005-0000-0000-0000E8010000}"/>
    <cellStyle name="Normální 6" xfId="18" xr:uid="{00000000-0005-0000-0000-0000E9010000}"/>
    <cellStyle name="Normální 6 2" xfId="78" xr:uid="{00000000-0005-0000-0000-0000EA010000}"/>
    <cellStyle name="Normální 6 3" xfId="542" xr:uid="{00000000-0005-0000-0000-0000EB010000}"/>
    <cellStyle name="Normální 7" xfId="21" xr:uid="{00000000-0005-0000-0000-0000EC010000}"/>
    <cellStyle name="Normální 7 2" xfId="57" xr:uid="{00000000-0005-0000-0000-0000ED010000}"/>
    <cellStyle name="Normální 7 3" xfId="79" xr:uid="{00000000-0005-0000-0000-0000EE010000}"/>
    <cellStyle name="Normální 8" xfId="22" xr:uid="{00000000-0005-0000-0000-0000EF010000}"/>
    <cellStyle name="Normální 8 2" xfId="80" xr:uid="{00000000-0005-0000-0000-0000F0010000}"/>
    <cellStyle name="Normální 9" xfId="23" xr:uid="{00000000-0005-0000-0000-0000F1010000}"/>
    <cellStyle name="Normální 9 2" xfId="81" xr:uid="{00000000-0005-0000-0000-0000F2010000}"/>
    <cellStyle name="Normální 9 3" xfId="543" xr:uid="{00000000-0005-0000-0000-0000F3010000}"/>
    <cellStyle name="Normální 91" xfId="544" xr:uid="{00000000-0005-0000-0000-0000F4010000}"/>
    <cellStyle name="O…‹aO‚e [0.00]_Region Orders (2)" xfId="545" xr:uid="{00000000-0005-0000-0000-0000F5010000}"/>
    <cellStyle name="O…‹aO‚e_Region Orders (2)" xfId="546" xr:uid="{00000000-0005-0000-0000-0000F6010000}"/>
    <cellStyle name="per.style" xfId="547" xr:uid="{00000000-0005-0000-0000-0000F7010000}"/>
    <cellStyle name="per.style 2" xfId="548" xr:uid="{00000000-0005-0000-0000-0000F8010000}"/>
    <cellStyle name="per.style 3" xfId="549" xr:uid="{00000000-0005-0000-0000-0000F9010000}"/>
    <cellStyle name="per.style_110310_Výkazy CEPS 10_13062011" xfId="550" xr:uid="{00000000-0005-0000-0000-0000FA010000}"/>
    <cellStyle name="Percent [2]" xfId="551" xr:uid="{00000000-0005-0000-0000-0000FB010000}"/>
    <cellStyle name="Percent [2] 2" xfId="552" xr:uid="{00000000-0005-0000-0000-0000FC010000}"/>
    <cellStyle name="Percent [2] 3" xfId="553" xr:uid="{00000000-0005-0000-0000-0000FD010000}"/>
    <cellStyle name="Pevný" xfId="82" xr:uid="{00000000-0005-0000-0000-0000FE010000}"/>
    <cellStyle name="PEVNÝ 2" xfId="554" xr:uid="{00000000-0005-0000-0000-0000FF010000}"/>
    <cellStyle name="PEVNÝ 2 2" xfId="555" xr:uid="{00000000-0005-0000-0000-000000020000}"/>
    <cellStyle name="PEVNÝ 2 3" xfId="556" xr:uid="{00000000-0005-0000-0000-000001020000}"/>
    <cellStyle name="Poznámka 2" xfId="557" xr:uid="{00000000-0005-0000-0000-000002020000}"/>
    <cellStyle name="Poznámka 2 10" xfId="558" xr:uid="{00000000-0005-0000-0000-000003020000}"/>
    <cellStyle name="Poznámka 2 11" xfId="559" xr:uid="{00000000-0005-0000-0000-000004020000}"/>
    <cellStyle name="Poznámka 2 12" xfId="560" xr:uid="{00000000-0005-0000-0000-000005020000}"/>
    <cellStyle name="Poznámka 2 2" xfId="561" xr:uid="{00000000-0005-0000-0000-000006020000}"/>
    <cellStyle name="Poznámka 2 2 10" xfId="562" xr:uid="{00000000-0005-0000-0000-000007020000}"/>
    <cellStyle name="Poznámka 2 2 2" xfId="563" xr:uid="{00000000-0005-0000-0000-000008020000}"/>
    <cellStyle name="Poznámka 2 2 3" xfId="564" xr:uid="{00000000-0005-0000-0000-000009020000}"/>
    <cellStyle name="Poznámka 2 2 4" xfId="565" xr:uid="{00000000-0005-0000-0000-00000A020000}"/>
    <cellStyle name="Poznámka 2 2 5" xfId="566" xr:uid="{00000000-0005-0000-0000-00000B020000}"/>
    <cellStyle name="Poznámka 2 2 6" xfId="567" xr:uid="{00000000-0005-0000-0000-00000C020000}"/>
    <cellStyle name="Poznámka 2 2 7" xfId="568" xr:uid="{00000000-0005-0000-0000-00000D020000}"/>
    <cellStyle name="Poznámka 2 2 8" xfId="569" xr:uid="{00000000-0005-0000-0000-00000E020000}"/>
    <cellStyle name="Poznámka 2 2 9" xfId="570" xr:uid="{00000000-0005-0000-0000-00000F020000}"/>
    <cellStyle name="Poznámka 2 3" xfId="571" xr:uid="{00000000-0005-0000-0000-000010020000}"/>
    <cellStyle name="Poznámka 2 3 10" xfId="572" xr:uid="{00000000-0005-0000-0000-000011020000}"/>
    <cellStyle name="Poznámka 2 3 2" xfId="573" xr:uid="{00000000-0005-0000-0000-000012020000}"/>
    <cellStyle name="Poznámka 2 3 3" xfId="574" xr:uid="{00000000-0005-0000-0000-000013020000}"/>
    <cellStyle name="Poznámka 2 3 4" xfId="575" xr:uid="{00000000-0005-0000-0000-000014020000}"/>
    <cellStyle name="Poznámka 2 3 5" xfId="576" xr:uid="{00000000-0005-0000-0000-000015020000}"/>
    <cellStyle name="Poznámka 2 3 6" xfId="577" xr:uid="{00000000-0005-0000-0000-000016020000}"/>
    <cellStyle name="Poznámka 2 3 7" xfId="578" xr:uid="{00000000-0005-0000-0000-000017020000}"/>
    <cellStyle name="Poznámka 2 3 8" xfId="579" xr:uid="{00000000-0005-0000-0000-000018020000}"/>
    <cellStyle name="Poznámka 2 3 9" xfId="580" xr:uid="{00000000-0005-0000-0000-000019020000}"/>
    <cellStyle name="Poznámka 2 4" xfId="581" xr:uid="{00000000-0005-0000-0000-00001A020000}"/>
    <cellStyle name="Poznámka 2 5" xfId="582" xr:uid="{00000000-0005-0000-0000-00001B020000}"/>
    <cellStyle name="Poznámka 2 6" xfId="583" xr:uid="{00000000-0005-0000-0000-00001C020000}"/>
    <cellStyle name="Poznámka 2 7" xfId="584" xr:uid="{00000000-0005-0000-0000-00001D020000}"/>
    <cellStyle name="Poznámka 2 8" xfId="585" xr:uid="{00000000-0005-0000-0000-00001E020000}"/>
    <cellStyle name="Poznámka 2 9" xfId="586" xr:uid="{00000000-0005-0000-0000-00001F020000}"/>
    <cellStyle name="pricing" xfId="587" xr:uid="{00000000-0005-0000-0000-000020020000}"/>
    <cellStyle name="pricing 2" xfId="588" xr:uid="{00000000-0005-0000-0000-000021020000}"/>
    <cellStyle name="procent 2" xfId="589" xr:uid="{00000000-0005-0000-0000-000022020000}"/>
    <cellStyle name="procent 2 2" xfId="590" xr:uid="{00000000-0005-0000-0000-000023020000}"/>
    <cellStyle name="Procenta" xfId="1" builtinId="5"/>
    <cellStyle name="Procenta 2" xfId="7" xr:uid="{00000000-0005-0000-0000-000025020000}"/>
    <cellStyle name="Procenta 2 2" xfId="3" xr:uid="{00000000-0005-0000-0000-000026020000}"/>
    <cellStyle name="Procenta 2 3" xfId="83" xr:uid="{00000000-0005-0000-0000-000027020000}"/>
    <cellStyle name="Procenta 2 4" xfId="591" xr:uid="{00000000-0005-0000-0000-000028020000}"/>
    <cellStyle name="Procenta 2 5" xfId="592" xr:uid="{00000000-0005-0000-0000-000029020000}"/>
    <cellStyle name="Procenta 3" xfId="84" xr:uid="{00000000-0005-0000-0000-00002A020000}"/>
    <cellStyle name="Procenta 3 2" xfId="85" xr:uid="{00000000-0005-0000-0000-00002B020000}"/>
    <cellStyle name="Procenta 4" xfId="593" xr:uid="{00000000-0005-0000-0000-00002C020000}"/>
    <cellStyle name="Propojená buňka 2" xfId="594" xr:uid="{00000000-0005-0000-0000-00002D020000}"/>
    <cellStyle name="PSChar" xfId="595" xr:uid="{00000000-0005-0000-0000-00002E020000}"/>
    <cellStyle name="PSChar 2" xfId="596" xr:uid="{00000000-0005-0000-0000-00002F020000}"/>
    <cellStyle name="PSChar 3" xfId="597" xr:uid="{00000000-0005-0000-0000-000030020000}"/>
    <cellStyle name="RevList" xfId="598" xr:uid="{00000000-0005-0000-0000-000031020000}"/>
    <cellStyle name="RevList 2" xfId="599" xr:uid="{00000000-0005-0000-0000-000032020000}"/>
    <cellStyle name="RevList 3" xfId="600" xr:uid="{00000000-0005-0000-0000-000033020000}"/>
    <cellStyle name="RevList_110310_Výkazy CEPS 10_13062011" xfId="601" xr:uid="{00000000-0005-0000-0000-000034020000}"/>
    <cellStyle name="RowLevel_1_BE (2)" xfId="602" xr:uid="{00000000-0005-0000-0000-000035020000}"/>
    <cellStyle name="SAPBEXaggData" xfId="8" xr:uid="{00000000-0005-0000-0000-000036020000}"/>
    <cellStyle name="SAPBEXaggData 10" xfId="603" xr:uid="{00000000-0005-0000-0000-000037020000}"/>
    <cellStyle name="SAPBEXaggData 11" xfId="604" xr:uid="{00000000-0005-0000-0000-000038020000}"/>
    <cellStyle name="SAPBEXaggData 2" xfId="605" xr:uid="{00000000-0005-0000-0000-000039020000}"/>
    <cellStyle name="SAPBEXaggData 2 10" xfId="606" xr:uid="{00000000-0005-0000-0000-00003A020000}"/>
    <cellStyle name="SAPBEXaggData 2 11" xfId="607" xr:uid="{00000000-0005-0000-0000-00003B020000}"/>
    <cellStyle name="SAPBEXaggData 2 2" xfId="608" xr:uid="{00000000-0005-0000-0000-00003C020000}"/>
    <cellStyle name="SAPBEXaggData 2 3" xfId="609" xr:uid="{00000000-0005-0000-0000-00003D020000}"/>
    <cellStyle name="SAPBEXaggData 2 4" xfId="610" xr:uid="{00000000-0005-0000-0000-00003E020000}"/>
    <cellStyle name="SAPBEXaggData 2 5" xfId="611" xr:uid="{00000000-0005-0000-0000-00003F020000}"/>
    <cellStyle name="SAPBEXaggData 2 6" xfId="612" xr:uid="{00000000-0005-0000-0000-000040020000}"/>
    <cellStyle name="SAPBEXaggData 2 7" xfId="613" xr:uid="{00000000-0005-0000-0000-000041020000}"/>
    <cellStyle name="SAPBEXaggData 2 8" xfId="614" xr:uid="{00000000-0005-0000-0000-000042020000}"/>
    <cellStyle name="SAPBEXaggData 2 9" xfId="615" xr:uid="{00000000-0005-0000-0000-000043020000}"/>
    <cellStyle name="SAPBEXaggData 3" xfId="616" xr:uid="{00000000-0005-0000-0000-000044020000}"/>
    <cellStyle name="SAPBEXaggData 4" xfId="617" xr:uid="{00000000-0005-0000-0000-000045020000}"/>
    <cellStyle name="SAPBEXaggData 5" xfId="618" xr:uid="{00000000-0005-0000-0000-000046020000}"/>
    <cellStyle name="SAPBEXaggData 6" xfId="619" xr:uid="{00000000-0005-0000-0000-000047020000}"/>
    <cellStyle name="SAPBEXaggData 7" xfId="620" xr:uid="{00000000-0005-0000-0000-000048020000}"/>
    <cellStyle name="SAPBEXaggData 8" xfId="621" xr:uid="{00000000-0005-0000-0000-000049020000}"/>
    <cellStyle name="SAPBEXaggData 9" xfId="622" xr:uid="{00000000-0005-0000-0000-00004A020000}"/>
    <cellStyle name="SAPBEXaggDataEmph" xfId="24" xr:uid="{00000000-0005-0000-0000-00004B020000}"/>
    <cellStyle name="SAPBEXaggDataEmph 10" xfId="623" xr:uid="{00000000-0005-0000-0000-00004C020000}"/>
    <cellStyle name="SAPBEXaggDataEmph 11" xfId="624" xr:uid="{00000000-0005-0000-0000-00004D020000}"/>
    <cellStyle name="SAPBEXaggDataEmph 12" xfId="625" xr:uid="{00000000-0005-0000-0000-00004E020000}"/>
    <cellStyle name="SAPBEXaggDataEmph 2" xfId="626" xr:uid="{00000000-0005-0000-0000-00004F020000}"/>
    <cellStyle name="SAPBEXaggDataEmph 2 10" xfId="627" xr:uid="{00000000-0005-0000-0000-000050020000}"/>
    <cellStyle name="SAPBEXaggDataEmph 2 2" xfId="628" xr:uid="{00000000-0005-0000-0000-000051020000}"/>
    <cellStyle name="SAPBEXaggDataEmph 2 3" xfId="629" xr:uid="{00000000-0005-0000-0000-000052020000}"/>
    <cellStyle name="SAPBEXaggDataEmph 2 4" xfId="630" xr:uid="{00000000-0005-0000-0000-000053020000}"/>
    <cellStyle name="SAPBEXaggDataEmph 2 5" xfId="631" xr:uid="{00000000-0005-0000-0000-000054020000}"/>
    <cellStyle name="SAPBEXaggDataEmph 2 6" xfId="632" xr:uid="{00000000-0005-0000-0000-000055020000}"/>
    <cellStyle name="SAPBEXaggDataEmph 2 7" xfId="633" xr:uid="{00000000-0005-0000-0000-000056020000}"/>
    <cellStyle name="SAPBEXaggDataEmph 2 8" xfId="634" xr:uid="{00000000-0005-0000-0000-000057020000}"/>
    <cellStyle name="SAPBEXaggDataEmph 2 9" xfId="635" xr:uid="{00000000-0005-0000-0000-000058020000}"/>
    <cellStyle name="SAPBEXaggDataEmph 3" xfId="636" xr:uid="{00000000-0005-0000-0000-000059020000}"/>
    <cellStyle name="SAPBEXaggDataEmph 4" xfId="637" xr:uid="{00000000-0005-0000-0000-00005A020000}"/>
    <cellStyle name="SAPBEXaggDataEmph 5" xfId="638" xr:uid="{00000000-0005-0000-0000-00005B020000}"/>
    <cellStyle name="SAPBEXaggDataEmph 6" xfId="639" xr:uid="{00000000-0005-0000-0000-00005C020000}"/>
    <cellStyle name="SAPBEXaggDataEmph 7" xfId="640" xr:uid="{00000000-0005-0000-0000-00005D020000}"/>
    <cellStyle name="SAPBEXaggDataEmph 8" xfId="641" xr:uid="{00000000-0005-0000-0000-00005E020000}"/>
    <cellStyle name="SAPBEXaggDataEmph 9" xfId="642" xr:uid="{00000000-0005-0000-0000-00005F020000}"/>
    <cellStyle name="SAPBEXaggItem" xfId="9" xr:uid="{00000000-0005-0000-0000-000060020000}"/>
    <cellStyle name="SAPBEXaggItem 10" xfId="643" xr:uid="{00000000-0005-0000-0000-000061020000}"/>
    <cellStyle name="SAPBEXaggItem 11" xfId="644" xr:uid="{00000000-0005-0000-0000-000062020000}"/>
    <cellStyle name="SAPBEXaggItem 2" xfId="645" xr:uid="{00000000-0005-0000-0000-000063020000}"/>
    <cellStyle name="SAPBEXaggItem 2 10" xfId="646" xr:uid="{00000000-0005-0000-0000-000064020000}"/>
    <cellStyle name="SAPBEXaggItem 2 11" xfId="647" xr:uid="{00000000-0005-0000-0000-000065020000}"/>
    <cellStyle name="SAPBEXaggItem 2 2" xfId="648" xr:uid="{00000000-0005-0000-0000-000066020000}"/>
    <cellStyle name="SAPBEXaggItem 2 3" xfId="649" xr:uid="{00000000-0005-0000-0000-000067020000}"/>
    <cellStyle name="SAPBEXaggItem 2 4" xfId="650" xr:uid="{00000000-0005-0000-0000-000068020000}"/>
    <cellStyle name="SAPBEXaggItem 2 5" xfId="651" xr:uid="{00000000-0005-0000-0000-000069020000}"/>
    <cellStyle name="SAPBEXaggItem 2 6" xfId="652" xr:uid="{00000000-0005-0000-0000-00006A020000}"/>
    <cellStyle name="SAPBEXaggItem 2 7" xfId="653" xr:uid="{00000000-0005-0000-0000-00006B020000}"/>
    <cellStyle name="SAPBEXaggItem 2 8" xfId="654" xr:uid="{00000000-0005-0000-0000-00006C020000}"/>
    <cellStyle name="SAPBEXaggItem 2 9" xfId="655" xr:uid="{00000000-0005-0000-0000-00006D020000}"/>
    <cellStyle name="SAPBEXaggItem 3" xfId="656" xr:uid="{00000000-0005-0000-0000-00006E020000}"/>
    <cellStyle name="SAPBEXaggItem 4" xfId="657" xr:uid="{00000000-0005-0000-0000-00006F020000}"/>
    <cellStyle name="SAPBEXaggItem 5" xfId="658" xr:uid="{00000000-0005-0000-0000-000070020000}"/>
    <cellStyle name="SAPBEXaggItem 6" xfId="659" xr:uid="{00000000-0005-0000-0000-000071020000}"/>
    <cellStyle name="SAPBEXaggItem 7" xfId="660" xr:uid="{00000000-0005-0000-0000-000072020000}"/>
    <cellStyle name="SAPBEXaggItem 8" xfId="661" xr:uid="{00000000-0005-0000-0000-000073020000}"/>
    <cellStyle name="SAPBEXaggItem 9" xfId="662" xr:uid="{00000000-0005-0000-0000-000074020000}"/>
    <cellStyle name="SAPBEXaggItemX" xfId="25" xr:uid="{00000000-0005-0000-0000-000075020000}"/>
    <cellStyle name="SAPBEXaggItemX 10" xfId="663" xr:uid="{00000000-0005-0000-0000-000076020000}"/>
    <cellStyle name="SAPBEXaggItemX 11" xfId="664" xr:uid="{00000000-0005-0000-0000-000077020000}"/>
    <cellStyle name="SAPBEXaggItemX 12" xfId="665" xr:uid="{00000000-0005-0000-0000-000078020000}"/>
    <cellStyle name="SAPBEXaggItemX 2" xfId="666" xr:uid="{00000000-0005-0000-0000-000079020000}"/>
    <cellStyle name="SAPBEXaggItemX 2 10" xfId="667" xr:uid="{00000000-0005-0000-0000-00007A020000}"/>
    <cellStyle name="SAPBEXaggItemX 2 2" xfId="668" xr:uid="{00000000-0005-0000-0000-00007B020000}"/>
    <cellStyle name="SAPBEXaggItemX 2 3" xfId="669" xr:uid="{00000000-0005-0000-0000-00007C020000}"/>
    <cellStyle name="SAPBEXaggItemX 2 4" xfId="670" xr:uid="{00000000-0005-0000-0000-00007D020000}"/>
    <cellStyle name="SAPBEXaggItemX 2 5" xfId="671" xr:uid="{00000000-0005-0000-0000-00007E020000}"/>
    <cellStyle name="SAPBEXaggItemX 2 6" xfId="672" xr:uid="{00000000-0005-0000-0000-00007F020000}"/>
    <cellStyle name="SAPBEXaggItemX 2 7" xfId="673" xr:uid="{00000000-0005-0000-0000-000080020000}"/>
    <cellStyle name="SAPBEXaggItemX 2 8" xfId="674" xr:uid="{00000000-0005-0000-0000-000081020000}"/>
    <cellStyle name="SAPBEXaggItemX 2 9" xfId="675" xr:uid="{00000000-0005-0000-0000-000082020000}"/>
    <cellStyle name="SAPBEXaggItemX 3" xfId="676" xr:uid="{00000000-0005-0000-0000-000083020000}"/>
    <cellStyle name="SAPBEXaggItemX 4" xfId="677" xr:uid="{00000000-0005-0000-0000-000084020000}"/>
    <cellStyle name="SAPBEXaggItemX 5" xfId="678" xr:uid="{00000000-0005-0000-0000-000085020000}"/>
    <cellStyle name="SAPBEXaggItemX 6" xfId="679" xr:uid="{00000000-0005-0000-0000-000086020000}"/>
    <cellStyle name="SAPBEXaggItemX 7" xfId="680" xr:uid="{00000000-0005-0000-0000-000087020000}"/>
    <cellStyle name="SAPBEXaggItemX 8" xfId="681" xr:uid="{00000000-0005-0000-0000-000088020000}"/>
    <cellStyle name="SAPBEXaggItemX 9" xfId="682" xr:uid="{00000000-0005-0000-0000-000089020000}"/>
    <cellStyle name="SAPBEXexcBad7" xfId="26" xr:uid="{00000000-0005-0000-0000-00008A020000}"/>
    <cellStyle name="SAPBEXexcBad7 10" xfId="683" xr:uid="{00000000-0005-0000-0000-00008B020000}"/>
    <cellStyle name="SAPBEXexcBad7 11" xfId="684" xr:uid="{00000000-0005-0000-0000-00008C020000}"/>
    <cellStyle name="SAPBEXexcBad7 12" xfId="685" xr:uid="{00000000-0005-0000-0000-00008D020000}"/>
    <cellStyle name="SAPBEXexcBad7 2" xfId="686" xr:uid="{00000000-0005-0000-0000-00008E020000}"/>
    <cellStyle name="SAPBEXexcBad7 2 10" xfId="687" xr:uid="{00000000-0005-0000-0000-00008F020000}"/>
    <cellStyle name="SAPBEXexcBad7 2 2" xfId="688" xr:uid="{00000000-0005-0000-0000-000090020000}"/>
    <cellStyle name="SAPBEXexcBad7 2 3" xfId="689" xr:uid="{00000000-0005-0000-0000-000091020000}"/>
    <cellStyle name="SAPBEXexcBad7 2 4" xfId="690" xr:uid="{00000000-0005-0000-0000-000092020000}"/>
    <cellStyle name="SAPBEXexcBad7 2 5" xfId="691" xr:uid="{00000000-0005-0000-0000-000093020000}"/>
    <cellStyle name="SAPBEXexcBad7 2 6" xfId="692" xr:uid="{00000000-0005-0000-0000-000094020000}"/>
    <cellStyle name="SAPBEXexcBad7 2 7" xfId="693" xr:uid="{00000000-0005-0000-0000-000095020000}"/>
    <cellStyle name="SAPBEXexcBad7 2 8" xfId="694" xr:uid="{00000000-0005-0000-0000-000096020000}"/>
    <cellStyle name="SAPBEXexcBad7 2 9" xfId="695" xr:uid="{00000000-0005-0000-0000-000097020000}"/>
    <cellStyle name="SAPBEXexcBad7 3" xfId="696" xr:uid="{00000000-0005-0000-0000-000098020000}"/>
    <cellStyle name="SAPBEXexcBad7 4" xfId="697" xr:uid="{00000000-0005-0000-0000-000099020000}"/>
    <cellStyle name="SAPBEXexcBad7 5" xfId="698" xr:uid="{00000000-0005-0000-0000-00009A020000}"/>
    <cellStyle name="SAPBEXexcBad7 6" xfId="699" xr:uid="{00000000-0005-0000-0000-00009B020000}"/>
    <cellStyle name="SAPBEXexcBad7 7" xfId="700" xr:uid="{00000000-0005-0000-0000-00009C020000}"/>
    <cellStyle name="SAPBEXexcBad7 8" xfId="701" xr:uid="{00000000-0005-0000-0000-00009D020000}"/>
    <cellStyle name="SAPBEXexcBad7 9" xfId="702" xr:uid="{00000000-0005-0000-0000-00009E020000}"/>
    <cellStyle name="SAPBEXexcBad8" xfId="27" xr:uid="{00000000-0005-0000-0000-00009F020000}"/>
    <cellStyle name="SAPBEXexcBad8 10" xfId="703" xr:uid="{00000000-0005-0000-0000-0000A0020000}"/>
    <cellStyle name="SAPBEXexcBad8 11" xfId="704" xr:uid="{00000000-0005-0000-0000-0000A1020000}"/>
    <cellStyle name="SAPBEXexcBad8 12" xfId="705" xr:uid="{00000000-0005-0000-0000-0000A2020000}"/>
    <cellStyle name="SAPBEXexcBad8 2" xfId="706" xr:uid="{00000000-0005-0000-0000-0000A3020000}"/>
    <cellStyle name="SAPBEXexcBad8 2 10" xfId="707" xr:uid="{00000000-0005-0000-0000-0000A4020000}"/>
    <cellStyle name="SAPBEXexcBad8 2 2" xfId="708" xr:uid="{00000000-0005-0000-0000-0000A5020000}"/>
    <cellStyle name="SAPBEXexcBad8 2 3" xfId="709" xr:uid="{00000000-0005-0000-0000-0000A6020000}"/>
    <cellStyle name="SAPBEXexcBad8 2 4" xfId="710" xr:uid="{00000000-0005-0000-0000-0000A7020000}"/>
    <cellStyle name="SAPBEXexcBad8 2 5" xfId="711" xr:uid="{00000000-0005-0000-0000-0000A8020000}"/>
    <cellStyle name="SAPBEXexcBad8 2 6" xfId="712" xr:uid="{00000000-0005-0000-0000-0000A9020000}"/>
    <cellStyle name="SAPBEXexcBad8 2 7" xfId="713" xr:uid="{00000000-0005-0000-0000-0000AA020000}"/>
    <cellStyle name="SAPBEXexcBad8 2 8" xfId="714" xr:uid="{00000000-0005-0000-0000-0000AB020000}"/>
    <cellStyle name="SAPBEXexcBad8 2 9" xfId="715" xr:uid="{00000000-0005-0000-0000-0000AC020000}"/>
    <cellStyle name="SAPBEXexcBad8 3" xfId="716" xr:uid="{00000000-0005-0000-0000-0000AD020000}"/>
    <cellStyle name="SAPBEXexcBad8 4" xfId="717" xr:uid="{00000000-0005-0000-0000-0000AE020000}"/>
    <cellStyle name="SAPBEXexcBad8 5" xfId="718" xr:uid="{00000000-0005-0000-0000-0000AF020000}"/>
    <cellStyle name="SAPBEXexcBad8 6" xfId="719" xr:uid="{00000000-0005-0000-0000-0000B0020000}"/>
    <cellStyle name="SAPBEXexcBad8 7" xfId="720" xr:uid="{00000000-0005-0000-0000-0000B1020000}"/>
    <cellStyle name="SAPBEXexcBad8 8" xfId="721" xr:uid="{00000000-0005-0000-0000-0000B2020000}"/>
    <cellStyle name="SAPBEXexcBad8 9" xfId="722" xr:uid="{00000000-0005-0000-0000-0000B3020000}"/>
    <cellStyle name="SAPBEXexcBad9" xfId="28" xr:uid="{00000000-0005-0000-0000-0000B4020000}"/>
    <cellStyle name="SAPBEXexcBad9 10" xfId="723" xr:uid="{00000000-0005-0000-0000-0000B5020000}"/>
    <cellStyle name="SAPBEXexcBad9 11" xfId="724" xr:uid="{00000000-0005-0000-0000-0000B6020000}"/>
    <cellStyle name="SAPBEXexcBad9 12" xfId="725" xr:uid="{00000000-0005-0000-0000-0000B7020000}"/>
    <cellStyle name="SAPBEXexcBad9 2" xfId="726" xr:uid="{00000000-0005-0000-0000-0000B8020000}"/>
    <cellStyle name="SAPBEXexcBad9 2 10" xfId="727" xr:uid="{00000000-0005-0000-0000-0000B9020000}"/>
    <cellStyle name="SAPBEXexcBad9 2 2" xfId="728" xr:uid="{00000000-0005-0000-0000-0000BA020000}"/>
    <cellStyle name="SAPBEXexcBad9 2 3" xfId="729" xr:uid="{00000000-0005-0000-0000-0000BB020000}"/>
    <cellStyle name="SAPBEXexcBad9 2 4" xfId="730" xr:uid="{00000000-0005-0000-0000-0000BC020000}"/>
    <cellStyle name="SAPBEXexcBad9 2 5" xfId="731" xr:uid="{00000000-0005-0000-0000-0000BD020000}"/>
    <cellStyle name="SAPBEXexcBad9 2 6" xfId="732" xr:uid="{00000000-0005-0000-0000-0000BE020000}"/>
    <cellStyle name="SAPBEXexcBad9 2 7" xfId="733" xr:uid="{00000000-0005-0000-0000-0000BF020000}"/>
    <cellStyle name="SAPBEXexcBad9 2 8" xfId="734" xr:uid="{00000000-0005-0000-0000-0000C0020000}"/>
    <cellStyle name="SAPBEXexcBad9 2 9" xfId="735" xr:uid="{00000000-0005-0000-0000-0000C1020000}"/>
    <cellStyle name="SAPBEXexcBad9 3" xfId="736" xr:uid="{00000000-0005-0000-0000-0000C2020000}"/>
    <cellStyle name="SAPBEXexcBad9 4" xfId="737" xr:uid="{00000000-0005-0000-0000-0000C3020000}"/>
    <cellStyle name="SAPBEXexcBad9 5" xfId="738" xr:uid="{00000000-0005-0000-0000-0000C4020000}"/>
    <cellStyle name="SAPBEXexcBad9 6" xfId="739" xr:uid="{00000000-0005-0000-0000-0000C5020000}"/>
    <cellStyle name="SAPBEXexcBad9 7" xfId="740" xr:uid="{00000000-0005-0000-0000-0000C6020000}"/>
    <cellStyle name="SAPBEXexcBad9 8" xfId="741" xr:uid="{00000000-0005-0000-0000-0000C7020000}"/>
    <cellStyle name="SAPBEXexcBad9 9" xfId="742" xr:uid="{00000000-0005-0000-0000-0000C8020000}"/>
    <cellStyle name="SAPBEXexcCritical4" xfId="29" xr:uid="{00000000-0005-0000-0000-0000C9020000}"/>
    <cellStyle name="SAPBEXexcCritical4 10" xfId="743" xr:uid="{00000000-0005-0000-0000-0000CA020000}"/>
    <cellStyle name="SAPBEXexcCritical4 11" xfId="744" xr:uid="{00000000-0005-0000-0000-0000CB020000}"/>
    <cellStyle name="SAPBEXexcCritical4 12" xfId="745" xr:uid="{00000000-0005-0000-0000-0000CC020000}"/>
    <cellStyle name="SAPBEXexcCritical4 2" xfId="746" xr:uid="{00000000-0005-0000-0000-0000CD020000}"/>
    <cellStyle name="SAPBEXexcCritical4 2 10" xfId="747" xr:uid="{00000000-0005-0000-0000-0000CE020000}"/>
    <cellStyle name="SAPBEXexcCritical4 2 2" xfId="748" xr:uid="{00000000-0005-0000-0000-0000CF020000}"/>
    <cellStyle name="SAPBEXexcCritical4 2 3" xfId="749" xr:uid="{00000000-0005-0000-0000-0000D0020000}"/>
    <cellStyle name="SAPBEXexcCritical4 2 4" xfId="750" xr:uid="{00000000-0005-0000-0000-0000D1020000}"/>
    <cellStyle name="SAPBEXexcCritical4 2 5" xfId="751" xr:uid="{00000000-0005-0000-0000-0000D2020000}"/>
    <cellStyle name="SAPBEXexcCritical4 2 6" xfId="752" xr:uid="{00000000-0005-0000-0000-0000D3020000}"/>
    <cellStyle name="SAPBEXexcCritical4 2 7" xfId="753" xr:uid="{00000000-0005-0000-0000-0000D4020000}"/>
    <cellStyle name="SAPBEXexcCritical4 2 8" xfId="754" xr:uid="{00000000-0005-0000-0000-0000D5020000}"/>
    <cellStyle name="SAPBEXexcCritical4 2 9" xfId="755" xr:uid="{00000000-0005-0000-0000-0000D6020000}"/>
    <cellStyle name="SAPBEXexcCritical4 3" xfId="756" xr:uid="{00000000-0005-0000-0000-0000D7020000}"/>
    <cellStyle name="SAPBEXexcCritical4 4" xfId="757" xr:uid="{00000000-0005-0000-0000-0000D8020000}"/>
    <cellStyle name="SAPBEXexcCritical4 5" xfId="758" xr:uid="{00000000-0005-0000-0000-0000D9020000}"/>
    <cellStyle name="SAPBEXexcCritical4 6" xfId="759" xr:uid="{00000000-0005-0000-0000-0000DA020000}"/>
    <cellStyle name="SAPBEXexcCritical4 7" xfId="760" xr:uid="{00000000-0005-0000-0000-0000DB020000}"/>
    <cellStyle name="SAPBEXexcCritical4 8" xfId="761" xr:uid="{00000000-0005-0000-0000-0000DC020000}"/>
    <cellStyle name="SAPBEXexcCritical4 9" xfId="762" xr:uid="{00000000-0005-0000-0000-0000DD020000}"/>
    <cellStyle name="SAPBEXexcCritical5" xfId="30" xr:uid="{00000000-0005-0000-0000-0000DE020000}"/>
    <cellStyle name="SAPBEXexcCritical5 10" xfId="763" xr:uid="{00000000-0005-0000-0000-0000DF020000}"/>
    <cellStyle name="SAPBEXexcCritical5 11" xfId="764" xr:uid="{00000000-0005-0000-0000-0000E0020000}"/>
    <cellStyle name="SAPBEXexcCritical5 12" xfId="765" xr:uid="{00000000-0005-0000-0000-0000E1020000}"/>
    <cellStyle name="SAPBEXexcCritical5 2" xfId="766" xr:uid="{00000000-0005-0000-0000-0000E2020000}"/>
    <cellStyle name="SAPBEXexcCritical5 2 10" xfId="767" xr:uid="{00000000-0005-0000-0000-0000E3020000}"/>
    <cellStyle name="SAPBEXexcCritical5 2 2" xfId="768" xr:uid="{00000000-0005-0000-0000-0000E4020000}"/>
    <cellStyle name="SAPBEXexcCritical5 2 3" xfId="769" xr:uid="{00000000-0005-0000-0000-0000E5020000}"/>
    <cellStyle name="SAPBEXexcCritical5 2 4" xfId="770" xr:uid="{00000000-0005-0000-0000-0000E6020000}"/>
    <cellStyle name="SAPBEXexcCritical5 2 5" xfId="771" xr:uid="{00000000-0005-0000-0000-0000E7020000}"/>
    <cellStyle name="SAPBEXexcCritical5 2 6" xfId="772" xr:uid="{00000000-0005-0000-0000-0000E8020000}"/>
    <cellStyle name="SAPBEXexcCritical5 2 7" xfId="773" xr:uid="{00000000-0005-0000-0000-0000E9020000}"/>
    <cellStyle name="SAPBEXexcCritical5 2 8" xfId="774" xr:uid="{00000000-0005-0000-0000-0000EA020000}"/>
    <cellStyle name="SAPBEXexcCritical5 2 9" xfId="775" xr:uid="{00000000-0005-0000-0000-0000EB020000}"/>
    <cellStyle name="SAPBEXexcCritical5 3" xfId="776" xr:uid="{00000000-0005-0000-0000-0000EC020000}"/>
    <cellStyle name="SAPBEXexcCritical5 4" xfId="777" xr:uid="{00000000-0005-0000-0000-0000ED020000}"/>
    <cellStyle name="SAPBEXexcCritical5 5" xfId="778" xr:uid="{00000000-0005-0000-0000-0000EE020000}"/>
    <cellStyle name="SAPBEXexcCritical5 6" xfId="779" xr:uid="{00000000-0005-0000-0000-0000EF020000}"/>
    <cellStyle name="SAPBEXexcCritical5 7" xfId="780" xr:uid="{00000000-0005-0000-0000-0000F0020000}"/>
    <cellStyle name="SAPBEXexcCritical5 8" xfId="781" xr:uid="{00000000-0005-0000-0000-0000F1020000}"/>
    <cellStyle name="SAPBEXexcCritical5 9" xfId="782" xr:uid="{00000000-0005-0000-0000-0000F2020000}"/>
    <cellStyle name="SAPBEXexcCritical6" xfId="31" xr:uid="{00000000-0005-0000-0000-0000F3020000}"/>
    <cellStyle name="SAPBEXexcCritical6 10" xfId="783" xr:uid="{00000000-0005-0000-0000-0000F4020000}"/>
    <cellStyle name="SAPBEXexcCritical6 11" xfId="784" xr:uid="{00000000-0005-0000-0000-0000F5020000}"/>
    <cellStyle name="SAPBEXexcCritical6 12" xfId="785" xr:uid="{00000000-0005-0000-0000-0000F6020000}"/>
    <cellStyle name="SAPBEXexcCritical6 2" xfId="786" xr:uid="{00000000-0005-0000-0000-0000F7020000}"/>
    <cellStyle name="SAPBEXexcCritical6 2 10" xfId="787" xr:uid="{00000000-0005-0000-0000-0000F8020000}"/>
    <cellStyle name="SAPBEXexcCritical6 2 2" xfId="788" xr:uid="{00000000-0005-0000-0000-0000F9020000}"/>
    <cellStyle name="SAPBEXexcCritical6 2 3" xfId="789" xr:uid="{00000000-0005-0000-0000-0000FA020000}"/>
    <cellStyle name="SAPBEXexcCritical6 2 4" xfId="790" xr:uid="{00000000-0005-0000-0000-0000FB020000}"/>
    <cellStyle name="SAPBEXexcCritical6 2 5" xfId="791" xr:uid="{00000000-0005-0000-0000-0000FC020000}"/>
    <cellStyle name="SAPBEXexcCritical6 2 6" xfId="792" xr:uid="{00000000-0005-0000-0000-0000FD020000}"/>
    <cellStyle name="SAPBEXexcCritical6 2 7" xfId="793" xr:uid="{00000000-0005-0000-0000-0000FE020000}"/>
    <cellStyle name="SAPBEXexcCritical6 2 8" xfId="794" xr:uid="{00000000-0005-0000-0000-0000FF020000}"/>
    <cellStyle name="SAPBEXexcCritical6 2 9" xfId="795" xr:uid="{00000000-0005-0000-0000-000000030000}"/>
    <cellStyle name="SAPBEXexcCritical6 3" xfId="796" xr:uid="{00000000-0005-0000-0000-000001030000}"/>
    <cellStyle name="SAPBEXexcCritical6 4" xfId="797" xr:uid="{00000000-0005-0000-0000-000002030000}"/>
    <cellStyle name="SAPBEXexcCritical6 5" xfId="798" xr:uid="{00000000-0005-0000-0000-000003030000}"/>
    <cellStyle name="SAPBEXexcCritical6 6" xfId="799" xr:uid="{00000000-0005-0000-0000-000004030000}"/>
    <cellStyle name="SAPBEXexcCritical6 7" xfId="800" xr:uid="{00000000-0005-0000-0000-000005030000}"/>
    <cellStyle name="SAPBEXexcCritical6 8" xfId="801" xr:uid="{00000000-0005-0000-0000-000006030000}"/>
    <cellStyle name="SAPBEXexcCritical6 9" xfId="802" xr:uid="{00000000-0005-0000-0000-000007030000}"/>
    <cellStyle name="SAPBEXexcGood1" xfId="32" xr:uid="{00000000-0005-0000-0000-000008030000}"/>
    <cellStyle name="SAPBEXexcGood1 10" xfId="803" xr:uid="{00000000-0005-0000-0000-000009030000}"/>
    <cellStyle name="SAPBEXexcGood1 11" xfId="804" xr:uid="{00000000-0005-0000-0000-00000A030000}"/>
    <cellStyle name="SAPBEXexcGood1 12" xfId="805" xr:uid="{00000000-0005-0000-0000-00000B030000}"/>
    <cellStyle name="SAPBEXexcGood1 2" xfId="806" xr:uid="{00000000-0005-0000-0000-00000C030000}"/>
    <cellStyle name="SAPBEXexcGood1 2 10" xfId="807" xr:uid="{00000000-0005-0000-0000-00000D030000}"/>
    <cellStyle name="SAPBEXexcGood1 2 2" xfId="808" xr:uid="{00000000-0005-0000-0000-00000E030000}"/>
    <cellStyle name="SAPBEXexcGood1 2 3" xfId="809" xr:uid="{00000000-0005-0000-0000-00000F030000}"/>
    <cellStyle name="SAPBEXexcGood1 2 4" xfId="810" xr:uid="{00000000-0005-0000-0000-000010030000}"/>
    <cellStyle name="SAPBEXexcGood1 2 5" xfId="811" xr:uid="{00000000-0005-0000-0000-000011030000}"/>
    <cellStyle name="SAPBEXexcGood1 2 6" xfId="812" xr:uid="{00000000-0005-0000-0000-000012030000}"/>
    <cellStyle name="SAPBEXexcGood1 2 7" xfId="813" xr:uid="{00000000-0005-0000-0000-000013030000}"/>
    <cellStyle name="SAPBEXexcGood1 2 8" xfId="814" xr:uid="{00000000-0005-0000-0000-000014030000}"/>
    <cellStyle name="SAPBEXexcGood1 2 9" xfId="815" xr:uid="{00000000-0005-0000-0000-000015030000}"/>
    <cellStyle name="SAPBEXexcGood1 3" xfId="816" xr:uid="{00000000-0005-0000-0000-000016030000}"/>
    <cellStyle name="SAPBEXexcGood1 4" xfId="817" xr:uid="{00000000-0005-0000-0000-000017030000}"/>
    <cellStyle name="SAPBEXexcGood1 5" xfId="818" xr:uid="{00000000-0005-0000-0000-000018030000}"/>
    <cellStyle name="SAPBEXexcGood1 6" xfId="819" xr:uid="{00000000-0005-0000-0000-000019030000}"/>
    <cellStyle name="SAPBEXexcGood1 7" xfId="820" xr:uid="{00000000-0005-0000-0000-00001A030000}"/>
    <cellStyle name="SAPBEXexcGood1 8" xfId="821" xr:uid="{00000000-0005-0000-0000-00001B030000}"/>
    <cellStyle name="SAPBEXexcGood1 9" xfId="822" xr:uid="{00000000-0005-0000-0000-00001C030000}"/>
    <cellStyle name="SAPBEXexcGood2" xfId="33" xr:uid="{00000000-0005-0000-0000-00001D030000}"/>
    <cellStyle name="SAPBEXexcGood2 10" xfId="823" xr:uid="{00000000-0005-0000-0000-00001E030000}"/>
    <cellStyle name="SAPBEXexcGood2 11" xfId="824" xr:uid="{00000000-0005-0000-0000-00001F030000}"/>
    <cellStyle name="SAPBEXexcGood2 12" xfId="825" xr:uid="{00000000-0005-0000-0000-000020030000}"/>
    <cellStyle name="SAPBEXexcGood2 2" xfId="826" xr:uid="{00000000-0005-0000-0000-000021030000}"/>
    <cellStyle name="SAPBEXexcGood2 2 10" xfId="827" xr:uid="{00000000-0005-0000-0000-000022030000}"/>
    <cellStyle name="SAPBEXexcGood2 2 2" xfId="828" xr:uid="{00000000-0005-0000-0000-000023030000}"/>
    <cellStyle name="SAPBEXexcGood2 2 3" xfId="829" xr:uid="{00000000-0005-0000-0000-000024030000}"/>
    <cellStyle name="SAPBEXexcGood2 2 4" xfId="830" xr:uid="{00000000-0005-0000-0000-000025030000}"/>
    <cellStyle name="SAPBEXexcGood2 2 5" xfId="831" xr:uid="{00000000-0005-0000-0000-000026030000}"/>
    <cellStyle name="SAPBEXexcGood2 2 6" xfId="832" xr:uid="{00000000-0005-0000-0000-000027030000}"/>
    <cellStyle name="SAPBEXexcGood2 2 7" xfId="833" xr:uid="{00000000-0005-0000-0000-000028030000}"/>
    <cellStyle name="SAPBEXexcGood2 2 8" xfId="834" xr:uid="{00000000-0005-0000-0000-000029030000}"/>
    <cellStyle name="SAPBEXexcGood2 2 9" xfId="835" xr:uid="{00000000-0005-0000-0000-00002A030000}"/>
    <cellStyle name="SAPBEXexcGood2 3" xfId="836" xr:uid="{00000000-0005-0000-0000-00002B030000}"/>
    <cellStyle name="SAPBEXexcGood2 4" xfId="837" xr:uid="{00000000-0005-0000-0000-00002C030000}"/>
    <cellStyle name="SAPBEXexcGood2 5" xfId="838" xr:uid="{00000000-0005-0000-0000-00002D030000}"/>
    <cellStyle name="SAPBEXexcGood2 6" xfId="839" xr:uid="{00000000-0005-0000-0000-00002E030000}"/>
    <cellStyle name="SAPBEXexcGood2 7" xfId="840" xr:uid="{00000000-0005-0000-0000-00002F030000}"/>
    <cellStyle name="SAPBEXexcGood2 8" xfId="841" xr:uid="{00000000-0005-0000-0000-000030030000}"/>
    <cellStyle name="SAPBEXexcGood2 9" xfId="842" xr:uid="{00000000-0005-0000-0000-000031030000}"/>
    <cellStyle name="SAPBEXexcGood3" xfId="34" xr:uid="{00000000-0005-0000-0000-000032030000}"/>
    <cellStyle name="SAPBEXexcGood3 10" xfId="843" xr:uid="{00000000-0005-0000-0000-000033030000}"/>
    <cellStyle name="SAPBEXexcGood3 11" xfId="844" xr:uid="{00000000-0005-0000-0000-000034030000}"/>
    <cellStyle name="SAPBEXexcGood3 12" xfId="845" xr:uid="{00000000-0005-0000-0000-000035030000}"/>
    <cellStyle name="SAPBEXexcGood3 2" xfId="846" xr:uid="{00000000-0005-0000-0000-000036030000}"/>
    <cellStyle name="SAPBEXexcGood3 2 10" xfId="847" xr:uid="{00000000-0005-0000-0000-000037030000}"/>
    <cellStyle name="SAPBEXexcGood3 2 2" xfId="848" xr:uid="{00000000-0005-0000-0000-000038030000}"/>
    <cellStyle name="SAPBEXexcGood3 2 3" xfId="849" xr:uid="{00000000-0005-0000-0000-000039030000}"/>
    <cellStyle name="SAPBEXexcGood3 2 4" xfId="850" xr:uid="{00000000-0005-0000-0000-00003A030000}"/>
    <cellStyle name="SAPBEXexcGood3 2 5" xfId="851" xr:uid="{00000000-0005-0000-0000-00003B030000}"/>
    <cellStyle name="SAPBEXexcGood3 2 6" xfId="852" xr:uid="{00000000-0005-0000-0000-00003C030000}"/>
    <cellStyle name="SAPBEXexcGood3 2 7" xfId="853" xr:uid="{00000000-0005-0000-0000-00003D030000}"/>
    <cellStyle name="SAPBEXexcGood3 2 8" xfId="854" xr:uid="{00000000-0005-0000-0000-00003E030000}"/>
    <cellStyle name="SAPBEXexcGood3 2 9" xfId="855" xr:uid="{00000000-0005-0000-0000-00003F030000}"/>
    <cellStyle name="SAPBEXexcGood3 3" xfId="856" xr:uid="{00000000-0005-0000-0000-000040030000}"/>
    <cellStyle name="SAPBEXexcGood3 4" xfId="857" xr:uid="{00000000-0005-0000-0000-000041030000}"/>
    <cellStyle name="SAPBEXexcGood3 5" xfId="858" xr:uid="{00000000-0005-0000-0000-000042030000}"/>
    <cellStyle name="SAPBEXexcGood3 6" xfId="859" xr:uid="{00000000-0005-0000-0000-000043030000}"/>
    <cellStyle name="SAPBEXexcGood3 7" xfId="860" xr:uid="{00000000-0005-0000-0000-000044030000}"/>
    <cellStyle name="SAPBEXexcGood3 8" xfId="861" xr:uid="{00000000-0005-0000-0000-000045030000}"/>
    <cellStyle name="SAPBEXexcGood3 9" xfId="862" xr:uid="{00000000-0005-0000-0000-000046030000}"/>
    <cellStyle name="SAPBEXfilterDrill" xfId="35" xr:uid="{00000000-0005-0000-0000-000047030000}"/>
    <cellStyle name="SAPBEXfilterDrill 10" xfId="863" xr:uid="{00000000-0005-0000-0000-000048030000}"/>
    <cellStyle name="SAPBEXfilterDrill 11" xfId="864" xr:uid="{00000000-0005-0000-0000-000049030000}"/>
    <cellStyle name="SAPBEXfilterDrill 12" xfId="865" xr:uid="{00000000-0005-0000-0000-00004A030000}"/>
    <cellStyle name="SAPBEXfilterDrill 2" xfId="866" xr:uid="{00000000-0005-0000-0000-00004B030000}"/>
    <cellStyle name="SAPBEXfilterDrill 2 10" xfId="867" xr:uid="{00000000-0005-0000-0000-00004C030000}"/>
    <cellStyle name="SAPBEXfilterDrill 2 2" xfId="868" xr:uid="{00000000-0005-0000-0000-00004D030000}"/>
    <cellStyle name="SAPBEXfilterDrill 2 3" xfId="869" xr:uid="{00000000-0005-0000-0000-00004E030000}"/>
    <cellStyle name="SAPBEXfilterDrill 2 4" xfId="870" xr:uid="{00000000-0005-0000-0000-00004F030000}"/>
    <cellStyle name="SAPBEXfilterDrill 2 5" xfId="871" xr:uid="{00000000-0005-0000-0000-000050030000}"/>
    <cellStyle name="SAPBEXfilterDrill 2 6" xfId="872" xr:uid="{00000000-0005-0000-0000-000051030000}"/>
    <cellStyle name="SAPBEXfilterDrill 2 7" xfId="873" xr:uid="{00000000-0005-0000-0000-000052030000}"/>
    <cellStyle name="SAPBEXfilterDrill 2 8" xfId="874" xr:uid="{00000000-0005-0000-0000-000053030000}"/>
    <cellStyle name="SAPBEXfilterDrill 2 9" xfId="875" xr:uid="{00000000-0005-0000-0000-000054030000}"/>
    <cellStyle name="SAPBEXfilterDrill 3" xfId="876" xr:uid="{00000000-0005-0000-0000-000055030000}"/>
    <cellStyle name="SAPBEXfilterDrill 4" xfId="877" xr:uid="{00000000-0005-0000-0000-000056030000}"/>
    <cellStyle name="SAPBEXfilterDrill 5" xfId="878" xr:uid="{00000000-0005-0000-0000-000057030000}"/>
    <cellStyle name="SAPBEXfilterDrill 6" xfId="879" xr:uid="{00000000-0005-0000-0000-000058030000}"/>
    <cellStyle name="SAPBEXfilterDrill 7" xfId="880" xr:uid="{00000000-0005-0000-0000-000059030000}"/>
    <cellStyle name="SAPBEXfilterDrill 8" xfId="881" xr:uid="{00000000-0005-0000-0000-00005A030000}"/>
    <cellStyle name="SAPBEXfilterDrill 9" xfId="882" xr:uid="{00000000-0005-0000-0000-00005B030000}"/>
    <cellStyle name="SAPBEXfilterItem" xfId="36" xr:uid="{00000000-0005-0000-0000-00005C030000}"/>
    <cellStyle name="SAPBEXfilterItem 10" xfId="883" xr:uid="{00000000-0005-0000-0000-00005D030000}"/>
    <cellStyle name="SAPBEXfilterItem 11" xfId="884" xr:uid="{00000000-0005-0000-0000-00005E030000}"/>
    <cellStyle name="SAPBEXfilterItem 12" xfId="885" xr:uid="{00000000-0005-0000-0000-00005F030000}"/>
    <cellStyle name="SAPBEXfilterItem 2" xfId="886" xr:uid="{00000000-0005-0000-0000-000060030000}"/>
    <cellStyle name="SAPBEXfilterItem 2 10" xfId="887" xr:uid="{00000000-0005-0000-0000-000061030000}"/>
    <cellStyle name="SAPBEXfilterItem 2 2" xfId="888" xr:uid="{00000000-0005-0000-0000-000062030000}"/>
    <cellStyle name="SAPBEXfilterItem 2 3" xfId="889" xr:uid="{00000000-0005-0000-0000-000063030000}"/>
    <cellStyle name="SAPBEXfilterItem 2 4" xfId="890" xr:uid="{00000000-0005-0000-0000-000064030000}"/>
    <cellStyle name="SAPBEXfilterItem 2 5" xfId="891" xr:uid="{00000000-0005-0000-0000-000065030000}"/>
    <cellStyle name="SAPBEXfilterItem 2 6" xfId="892" xr:uid="{00000000-0005-0000-0000-000066030000}"/>
    <cellStyle name="SAPBEXfilterItem 2 7" xfId="893" xr:uid="{00000000-0005-0000-0000-000067030000}"/>
    <cellStyle name="SAPBEXfilterItem 2 8" xfId="894" xr:uid="{00000000-0005-0000-0000-000068030000}"/>
    <cellStyle name="SAPBEXfilterItem 2 9" xfId="895" xr:uid="{00000000-0005-0000-0000-000069030000}"/>
    <cellStyle name="SAPBEXfilterItem 3" xfId="896" xr:uid="{00000000-0005-0000-0000-00006A030000}"/>
    <cellStyle name="SAPBEXfilterItem 4" xfId="897" xr:uid="{00000000-0005-0000-0000-00006B030000}"/>
    <cellStyle name="SAPBEXfilterItem 5" xfId="898" xr:uid="{00000000-0005-0000-0000-00006C030000}"/>
    <cellStyle name="SAPBEXfilterItem 6" xfId="899" xr:uid="{00000000-0005-0000-0000-00006D030000}"/>
    <cellStyle name="SAPBEXfilterItem 7" xfId="900" xr:uid="{00000000-0005-0000-0000-00006E030000}"/>
    <cellStyle name="SAPBEXfilterItem 8" xfId="901" xr:uid="{00000000-0005-0000-0000-00006F030000}"/>
    <cellStyle name="SAPBEXfilterItem 9" xfId="902" xr:uid="{00000000-0005-0000-0000-000070030000}"/>
    <cellStyle name="SAPBEXfilterText" xfId="37" xr:uid="{00000000-0005-0000-0000-000071030000}"/>
    <cellStyle name="SAPBEXfilterText 10" xfId="903" xr:uid="{00000000-0005-0000-0000-000072030000}"/>
    <cellStyle name="SAPBEXfilterText 11" xfId="904" xr:uid="{00000000-0005-0000-0000-000073030000}"/>
    <cellStyle name="SAPBEXfilterText 12" xfId="905" xr:uid="{00000000-0005-0000-0000-000074030000}"/>
    <cellStyle name="SAPBEXfilterText 2" xfId="906" xr:uid="{00000000-0005-0000-0000-000075030000}"/>
    <cellStyle name="SAPBEXfilterText 2 10" xfId="907" xr:uid="{00000000-0005-0000-0000-000076030000}"/>
    <cellStyle name="SAPBEXfilterText 2 2" xfId="908" xr:uid="{00000000-0005-0000-0000-000077030000}"/>
    <cellStyle name="SAPBEXfilterText 2 3" xfId="909" xr:uid="{00000000-0005-0000-0000-000078030000}"/>
    <cellStyle name="SAPBEXfilterText 2 4" xfId="910" xr:uid="{00000000-0005-0000-0000-000079030000}"/>
    <cellStyle name="SAPBEXfilterText 2 5" xfId="911" xr:uid="{00000000-0005-0000-0000-00007A030000}"/>
    <cellStyle name="SAPBEXfilterText 2 6" xfId="912" xr:uid="{00000000-0005-0000-0000-00007B030000}"/>
    <cellStyle name="SAPBEXfilterText 2 7" xfId="913" xr:uid="{00000000-0005-0000-0000-00007C030000}"/>
    <cellStyle name="SAPBEXfilterText 2 8" xfId="914" xr:uid="{00000000-0005-0000-0000-00007D030000}"/>
    <cellStyle name="SAPBEXfilterText 2 9" xfId="915" xr:uid="{00000000-0005-0000-0000-00007E030000}"/>
    <cellStyle name="SAPBEXfilterText 3" xfId="916" xr:uid="{00000000-0005-0000-0000-00007F030000}"/>
    <cellStyle name="SAPBEXfilterText 4" xfId="917" xr:uid="{00000000-0005-0000-0000-000080030000}"/>
    <cellStyle name="SAPBEXfilterText 5" xfId="918" xr:uid="{00000000-0005-0000-0000-000081030000}"/>
    <cellStyle name="SAPBEXfilterText 6" xfId="919" xr:uid="{00000000-0005-0000-0000-000082030000}"/>
    <cellStyle name="SAPBEXfilterText 7" xfId="920" xr:uid="{00000000-0005-0000-0000-000083030000}"/>
    <cellStyle name="SAPBEXfilterText 8" xfId="921" xr:uid="{00000000-0005-0000-0000-000084030000}"/>
    <cellStyle name="SAPBEXfilterText 9" xfId="922" xr:uid="{00000000-0005-0000-0000-000085030000}"/>
    <cellStyle name="SAPBEXformats" xfId="38" xr:uid="{00000000-0005-0000-0000-000086030000}"/>
    <cellStyle name="SAPBEXformats 10" xfId="923" xr:uid="{00000000-0005-0000-0000-000087030000}"/>
    <cellStyle name="SAPBEXformats 11" xfId="924" xr:uid="{00000000-0005-0000-0000-000088030000}"/>
    <cellStyle name="SAPBEXformats 12" xfId="925" xr:uid="{00000000-0005-0000-0000-000089030000}"/>
    <cellStyle name="SAPBEXformats 2" xfId="926" xr:uid="{00000000-0005-0000-0000-00008A030000}"/>
    <cellStyle name="SAPBEXformats 2 10" xfId="927" xr:uid="{00000000-0005-0000-0000-00008B030000}"/>
    <cellStyle name="SAPBEXformats 2 2" xfId="928" xr:uid="{00000000-0005-0000-0000-00008C030000}"/>
    <cellStyle name="SAPBEXformats 2 3" xfId="929" xr:uid="{00000000-0005-0000-0000-00008D030000}"/>
    <cellStyle name="SAPBEXformats 2 4" xfId="930" xr:uid="{00000000-0005-0000-0000-00008E030000}"/>
    <cellStyle name="SAPBEXformats 2 5" xfId="931" xr:uid="{00000000-0005-0000-0000-00008F030000}"/>
    <cellStyle name="SAPBEXformats 2 6" xfId="932" xr:uid="{00000000-0005-0000-0000-000090030000}"/>
    <cellStyle name="SAPBEXformats 2 7" xfId="933" xr:uid="{00000000-0005-0000-0000-000091030000}"/>
    <cellStyle name="SAPBEXformats 2 8" xfId="934" xr:uid="{00000000-0005-0000-0000-000092030000}"/>
    <cellStyle name="SAPBEXformats 2 9" xfId="935" xr:uid="{00000000-0005-0000-0000-000093030000}"/>
    <cellStyle name="SAPBEXformats 3" xfId="936" xr:uid="{00000000-0005-0000-0000-000094030000}"/>
    <cellStyle name="SAPBEXformats 4" xfId="937" xr:uid="{00000000-0005-0000-0000-000095030000}"/>
    <cellStyle name="SAPBEXformats 5" xfId="938" xr:uid="{00000000-0005-0000-0000-000096030000}"/>
    <cellStyle name="SAPBEXformats 6" xfId="939" xr:uid="{00000000-0005-0000-0000-000097030000}"/>
    <cellStyle name="SAPBEXformats 7" xfId="940" xr:uid="{00000000-0005-0000-0000-000098030000}"/>
    <cellStyle name="SAPBEXformats 8" xfId="941" xr:uid="{00000000-0005-0000-0000-000099030000}"/>
    <cellStyle name="SAPBEXformats 9" xfId="942" xr:uid="{00000000-0005-0000-0000-00009A030000}"/>
    <cellStyle name="SAPBEXheaderItem" xfId="39" xr:uid="{00000000-0005-0000-0000-00009B030000}"/>
    <cellStyle name="SAPBEXheaderItem 10" xfId="943" xr:uid="{00000000-0005-0000-0000-00009C030000}"/>
    <cellStyle name="SAPBEXheaderItem 11" xfId="944" xr:uid="{00000000-0005-0000-0000-00009D030000}"/>
    <cellStyle name="SAPBEXheaderItem 12" xfId="945" xr:uid="{00000000-0005-0000-0000-00009E030000}"/>
    <cellStyle name="SAPBEXheaderItem 2" xfId="946" xr:uid="{00000000-0005-0000-0000-00009F030000}"/>
    <cellStyle name="SAPBEXheaderItem 2 10" xfId="947" xr:uid="{00000000-0005-0000-0000-0000A0030000}"/>
    <cellStyle name="SAPBEXheaderItem 2 2" xfId="948" xr:uid="{00000000-0005-0000-0000-0000A1030000}"/>
    <cellStyle name="SAPBEXheaderItem 2 3" xfId="949" xr:uid="{00000000-0005-0000-0000-0000A2030000}"/>
    <cellStyle name="SAPBEXheaderItem 2 4" xfId="950" xr:uid="{00000000-0005-0000-0000-0000A3030000}"/>
    <cellStyle name="SAPBEXheaderItem 2 5" xfId="951" xr:uid="{00000000-0005-0000-0000-0000A4030000}"/>
    <cellStyle name="SAPBEXheaderItem 2 6" xfId="952" xr:uid="{00000000-0005-0000-0000-0000A5030000}"/>
    <cellStyle name="SAPBEXheaderItem 2 7" xfId="953" xr:uid="{00000000-0005-0000-0000-0000A6030000}"/>
    <cellStyle name="SAPBEXheaderItem 2 8" xfId="954" xr:uid="{00000000-0005-0000-0000-0000A7030000}"/>
    <cellStyle name="SAPBEXheaderItem 2 9" xfId="955" xr:uid="{00000000-0005-0000-0000-0000A8030000}"/>
    <cellStyle name="SAPBEXheaderItem 3" xfId="956" xr:uid="{00000000-0005-0000-0000-0000A9030000}"/>
    <cellStyle name="SAPBEXheaderItem 4" xfId="957" xr:uid="{00000000-0005-0000-0000-0000AA030000}"/>
    <cellStyle name="SAPBEXheaderItem 5" xfId="958" xr:uid="{00000000-0005-0000-0000-0000AB030000}"/>
    <cellStyle name="SAPBEXheaderItem 6" xfId="959" xr:uid="{00000000-0005-0000-0000-0000AC030000}"/>
    <cellStyle name="SAPBEXheaderItem 7" xfId="960" xr:uid="{00000000-0005-0000-0000-0000AD030000}"/>
    <cellStyle name="SAPBEXheaderItem 8" xfId="961" xr:uid="{00000000-0005-0000-0000-0000AE030000}"/>
    <cellStyle name="SAPBEXheaderItem 9" xfId="962" xr:uid="{00000000-0005-0000-0000-0000AF030000}"/>
    <cellStyle name="SAPBEXheaderText" xfId="40" xr:uid="{00000000-0005-0000-0000-0000B0030000}"/>
    <cellStyle name="SAPBEXheaderText 10" xfId="963" xr:uid="{00000000-0005-0000-0000-0000B1030000}"/>
    <cellStyle name="SAPBEXheaderText 11" xfId="964" xr:uid="{00000000-0005-0000-0000-0000B2030000}"/>
    <cellStyle name="SAPBEXheaderText 12" xfId="965" xr:uid="{00000000-0005-0000-0000-0000B3030000}"/>
    <cellStyle name="SAPBEXheaderText 2" xfId="966" xr:uid="{00000000-0005-0000-0000-0000B4030000}"/>
    <cellStyle name="SAPBEXheaderText 2 10" xfId="967" xr:uid="{00000000-0005-0000-0000-0000B5030000}"/>
    <cellStyle name="SAPBEXheaderText 2 2" xfId="968" xr:uid="{00000000-0005-0000-0000-0000B6030000}"/>
    <cellStyle name="SAPBEXheaderText 2 3" xfId="969" xr:uid="{00000000-0005-0000-0000-0000B7030000}"/>
    <cellStyle name="SAPBEXheaderText 2 4" xfId="970" xr:uid="{00000000-0005-0000-0000-0000B8030000}"/>
    <cellStyle name="SAPBEXheaderText 2 5" xfId="971" xr:uid="{00000000-0005-0000-0000-0000B9030000}"/>
    <cellStyle name="SAPBEXheaderText 2 6" xfId="972" xr:uid="{00000000-0005-0000-0000-0000BA030000}"/>
    <cellStyle name="SAPBEXheaderText 2 7" xfId="973" xr:uid="{00000000-0005-0000-0000-0000BB030000}"/>
    <cellStyle name="SAPBEXheaderText 2 8" xfId="974" xr:uid="{00000000-0005-0000-0000-0000BC030000}"/>
    <cellStyle name="SAPBEXheaderText 2 9" xfId="975" xr:uid="{00000000-0005-0000-0000-0000BD030000}"/>
    <cellStyle name="SAPBEXheaderText 3" xfId="976" xr:uid="{00000000-0005-0000-0000-0000BE030000}"/>
    <cellStyle name="SAPBEXheaderText 4" xfId="977" xr:uid="{00000000-0005-0000-0000-0000BF030000}"/>
    <cellStyle name="SAPBEXheaderText 5" xfId="978" xr:uid="{00000000-0005-0000-0000-0000C0030000}"/>
    <cellStyle name="SAPBEXheaderText 6" xfId="979" xr:uid="{00000000-0005-0000-0000-0000C1030000}"/>
    <cellStyle name="SAPBEXheaderText 7" xfId="980" xr:uid="{00000000-0005-0000-0000-0000C2030000}"/>
    <cellStyle name="SAPBEXheaderText 8" xfId="981" xr:uid="{00000000-0005-0000-0000-0000C3030000}"/>
    <cellStyle name="SAPBEXheaderText 9" xfId="982" xr:uid="{00000000-0005-0000-0000-0000C4030000}"/>
    <cellStyle name="SAPBEXHLevel0" xfId="41" xr:uid="{00000000-0005-0000-0000-0000C5030000}"/>
    <cellStyle name="SAPBEXHLevel0 10" xfId="983" xr:uid="{00000000-0005-0000-0000-0000C6030000}"/>
    <cellStyle name="SAPBEXHLevel0 11" xfId="984" xr:uid="{00000000-0005-0000-0000-0000C7030000}"/>
    <cellStyle name="SAPBEXHLevel0 12" xfId="985" xr:uid="{00000000-0005-0000-0000-0000C8030000}"/>
    <cellStyle name="SAPBEXHLevel0 2" xfId="986" xr:uid="{00000000-0005-0000-0000-0000C9030000}"/>
    <cellStyle name="SAPBEXHLevel0 2 10" xfId="987" xr:uid="{00000000-0005-0000-0000-0000CA030000}"/>
    <cellStyle name="SAPBEXHLevel0 2 11" xfId="988" xr:uid="{00000000-0005-0000-0000-0000CB030000}"/>
    <cellStyle name="SAPBEXHLevel0 2 2" xfId="989" xr:uid="{00000000-0005-0000-0000-0000CC030000}"/>
    <cellStyle name="SAPBEXHLevel0 2 3" xfId="990" xr:uid="{00000000-0005-0000-0000-0000CD030000}"/>
    <cellStyle name="SAPBEXHLevel0 2 4" xfId="991" xr:uid="{00000000-0005-0000-0000-0000CE030000}"/>
    <cellStyle name="SAPBEXHLevel0 2 5" xfId="992" xr:uid="{00000000-0005-0000-0000-0000CF030000}"/>
    <cellStyle name="SAPBEXHLevel0 2 6" xfId="993" xr:uid="{00000000-0005-0000-0000-0000D0030000}"/>
    <cellStyle name="SAPBEXHLevel0 2 7" xfId="994" xr:uid="{00000000-0005-0000-0000-0000D1030000}"/>
    <cellStyle name="SAPBEXHLevel0 2 8" xfId="995" xr:uid="{00000000-0005-0000-0000-0000D2030000}"/>
    <cellStyle name="SAPBEXHLevel0 2 9" xfId="996" xr:uid="{00000000-0005-0000-0000-0000D3030000}"/>
    <cellStyle name="SAPBEXHLevel0 3" xfId="997" xr:uid="{00000000-0005-0000-0000-0000D4030000}"/>
    <cellStyle name="SAPBEXHLevel0 4" xfId="998" xr:uid="{00000000-0005-0000-0000-0000D5030000}"/>
    <cellStyle name="SAPBEXHLevel0 5" xfId="999" xr:uid="{00000000-0005-0000-0000-0000D6030000}"/>
    <cellStyle name="SAPBEXHLevel0 6" xfId="1000" xr:uid="{00000000-0005-0000-0000-0000D7030000}"/>
    <cellStyle name="SAPBEXHLevel0 7" xfId="1001" xr:uid="{00000000-0005-0000-0000-0000D8030000}"/>
    <cellStyle name="SAPBEXHLevel0 8" xfId="1002" xr:uid="{00000000-0005-0000-0000-0000D9030000}"/>
    <cellStyle name="SAPBEXHLevel0 9" xfId="1003" xr:uid="{00000000-0005-0000-0000-0000DA030000}"/>
    <cellStyle name="SAPBEXHLevel0X" xfId="42" xr:uid="{00000000-0005-0000-0000-0000DB030000}"/>
    <cellStyle name="SAPBEXHLevel0X 10" xfId="1004" xr:uid="{00000000-0005-0000-0000-0000DC030000}"/>
    <cellStyle name="SAPBEXHLevel0X 11" xfId="1005" xr:uid="{00000000-0005-0000-0000-0000DD030000}"/>
    <cellStyle name="SAPBEXHLevel0X 12" xfId="1006" xr:uid="{00000000-0005-0000-0000-0000DE030000}"/>
    <cellStyle name="SAPBEXHLevel0X 2" xfId="1007" xr:uid="{00000000-0005-0000-0000-0000DF030000}"/>
    <cellStyle name="SAPBEXHLevel0X 2 10" xfId="1008" xr:uid="{00000000-0005-0000-0000-0000E0030000}"/>
    <cellStyle name="SAPBEXHLevel0X 2 2" xfId="1009" xr:uid="{00000000-0005-0000-0000-0000E1030000}"/>
    <cellStyle name="SAPBEXHLevel0X 2 3" xfId="1010" xr:uid="{00000000-0005-0000-0000-0000E2030000}"/>
    <cellStyle name="SAPBEXHLevel0X 2 4" xfId="1011" xr:uid="{00000000-0005-0000-0000-0000E3030000}"/>
    <cellStyle name="SAPBEXHLevel0X 2 5" xfId="1012" xr:uid="{00000000-0005-0000-0000-0000E4030000}"/>
    <cellStyle name="SAPBEXHLevel0X 2 6" xfId="1013" xr:uid="{00000000-0005-0000-0000-0000E5030000}"/>
    <cellStyle name="SAPBEXHLevel0X 2 7" xfId="1014" xr:uid="{00000000-0005-0000-0000-0000E6030000}"/>
    <cellStyle name="SAPBEXHLevel0X 2 8" xfId="1015" xr:uid="{00000000-0005-0000-0000-0000E7030000}"/>
    <cellStyle name="SAPBEXHLevel0X 2 9" xfId="1016" xr:uid="{00000000-0005-0000-0000-0000E8030000}"/>
    <cellStyle name="SAPBEXHLevel0X 3" xfId="1017" xr:uid="{00000000-0005-0000-0000-0000E9030000}"/>
    <cellStyle name="SAPBEXHLevel0X 4" xfId="1018" xr:uid="{00000000-0005-0000-0000-0000EA030000}"/>
    <cellStyle name="SAPBEXHLevel0X 5" xfId="1019" xr:uid="{00000000-0005-0000-0000-0000EB030000}"/>
    <cellStyle name="SAPBEXHLevel0X 6" xfId="1020" xr:uid="{00000000-0005-0000-0000-0000EC030000}"/>
    <cellStyle name="SAPBEXHLevel0X 7" xfId="1021" xr:uid="{00000000-0005-0000-0000-0000ED030000}"/>
    <cellStyle name="SAPBEXHLevel0X 8" xfId="1022" xr:uid="{00000000-0005-0000-0000-0000EE030000}"/>
    <cellStyle name="SAPBEXHLevel0X 9" xfId="1023" xr:uid="{00000000-0005-0000-0000-0000EF030000}"/>
    <cellStyle name="SAPBEXHLevel1" xfId="43" xr:uid="{00000000-0005-0000-0000-0000F0030000}"/>
    <cellStyle name="SAPBEXHLevel1 10" xfId="1024" xr:uid="{00000000-0005-0000-0000-0000F1030000}"/>
    <cellStyle name="SAPBEXHLevel1 11" xfId="1025" xr:uid="{00000000-0005-0000-0000-0000F2030000}"/>
    <cellStyle name="SAPBEXHLevel1 12" xfId="1026" xr:uid="{00000000-0005-0000-0000-0000F3030000}"/>
    <cellStyle name="SAPBEXHLevel1 2" xfId="1027" xr:uid="{00000000-0005-0000-0000-0000F4030000}"/>
    <cellStyle name="SAPBEXHLevel1 2 10" xfId="1028" xr:uid="{00000000-0005-0000-0000-0000F5030000}"/>
    <cellStyle name="SAPBEXHLevel1 2 11" xfId="1029" xr:uid="{00000000-0005-0000-0000-0000F6030000}"/>
    <cellStyle name="SAPBEXHLevel1 2 2" xfId="1030" xr:uid="{00000000-0005-0000-0000-0000F7030000}"/>
    <cellStyle name="SAPBEXHLevel1 2 3" xfId="1031" xr:uid="{00000000-0005-0000-0000-0000F8030000}"/>
    <cellStyle name="SAPBEXHLevel1 2 4" xfId="1032" xr:uid="{00000000-0005-0000-0000-0000F9030000}"/>
    <cellStyle name="SAPBEXHLevel1 2 5" xfId="1033" xr:uid="{00000000-0005-0000-0000-0000FA030000}"/>
    <cellStyle name="SAPBEXHLevel1 2 6" xfId="1034" xr:uid="{00000000-0005-0000-0000-0000FB030000}"/>
    <cellStyle name="SAPBEXHLevel1 2 7" xfId="1035" xr:uid="{00000000-0005-0000-0000-0000FC030000}"/>
    <cellStyle name="SAPBEXHLevel1 2 8" xfId="1036" xr:uid="{00000000-0005-0000-0000-0000FD030000}"/>
    <cellStyle name="SAPBEXHLevel1 2 9" xfId="1037" xr:uid="{00000000-0005-0000-0000-0000FE030000}"/>
    <cellStyle name="SAPBEXHLevel1 3" xfId="1038" xr:uid="{00000000-0005-0000-0000-0000FF030000}"/>
    <cellStyle name="SAPBEXHLevel1 4" xfId="1039" xr:uid="{00000000-0005-0000-0000-000000040000}"/>
    <cellStyle name="SAPBEXHLevel1 5" xfId="1040" xr:uid="{00000000-0005-0000-0000-000001040000}"/>
    <cellStyle name="SAPBEXHLevel1 6" xfId="1041" xr:uid="{00000000-0005-0000-0000-000002040000}"/>
    <cellStyle name="SAPBEXHLevel1 7" xfId="1042" xr:uid="{00000000-0005-0000-0000-000003040000}"/>
    <cellStyle name="SAPBEXHLevel1 8" xfId="1043" xr:uid="{00000000-0005-0000-0000-000004040000}"/>
    <cellStyle name="SAPBEXHLevel1 9" xfId="1044" xr:uid="{00000000-0005-0000-0000-000005040000}"/>
    <cellStyle name="SAPBEXHLevel1X" xfId="44" xr:uid="{00000000-0005-0000-0000-000006040000}"/>
    <cellStyle name="SAPBEXHLevel1X 10" xfId="1045" xr:uid="{00000000-0005-0000-0000-000007040000}"/>
    <cellStyle name="SAPBEXHLevel1X 11" xfId="1046" xr:uid="{00000000-0005-0000-0000-000008040000}"/>
    <cellStyle name="SAPBEXHLevel1X 12" xfId="1047" xr:uid="{00000000-0005-0000-0000-000009040000}"/>
    <cellStyle name="SAPBEXHLevel1X 2" xfId="1048" xr:uid="{00000000-0005-0000-0000-00000A040000}"/>
    <cellStyle name="SAPBEXHLevel1X 2 10" xfId="1049" xr:uid="{00000000-0005-0000-0000-00000B040000}"/>
    <cellStyle name="SAPBEXHLevel1X 2 2" xfId="1050" xr:uid="{00000000-0005-0000-0000-00000C040000}"/>
    <cellStyle name="SAPBEXHLevel1X 2 3" xfId="1051" xr:uid="{00000000-0005-0000-0000-00000D040000}"/>
    <cellStyle name="SAPBEXHLevel1X 2 4" xfId="1052" xr:uid="{00000000-0005-0000-0000-00000E040000}"/>
    <cellStyle name="SAPBEXHLevel1X 2 5" xfId="1053" xr:uid="{00000000-0005-0000-0000-00000F040000}"/>
    <cellStyle name="SAPBEXHLevel1X 2 6" xfId="1054" xr:uid="{00000000-0005-0000-0000-000010040000}"/>
    <cellStyle name="SAPBEXHLevel1X 2 7" xfId="1055" xr:uid="{00000000-0005-0000-0000-000011040000}"/>
    <cellStyle name="SAPBEXHLevel1X 2 8" xfId="1056" xr:uid="{00000000-0005-0000-0000-000012040000}"/>
    <cellStyle name="SAPBEXHLevel1X 2 9" xfId="1057" xr:uid="{00000000-0005-0000-0000-000013040000}"/>
    <cellStyle name="SAPBEXHLevel1X 3" xfId="1058" xr:uid="{00000000-0005-0000-0000-000014040000}"/>
    <cellStyle name="SAPBEXHLevel1X 4" xfId="1059" xr:uid="{00000000-0005-0000-0000-000015040000}"/>
    <cellStyle name="SAPBEXHLevel1X 5" xfId="1060" xr:uid="{00000000-0005-0000-0000-000016040000}"/>
    <cellStyle name="SAPBEXHLevel1X 6" xfId="1061" xr:uid="{00000000-0005-0000-0000-000017040000}"/>
    <cellStyle name="SAPBEXHLevel1X 7" xfId="1062" xr:uid="{00000000-0005-0000-0000-000018040000}"/>
    <cellStyle name="SAPBEXHLevel1X 8" xfId="1063" xr:uid="{00000000-0005-0000-0000-000019040000}"/>
    <cellStyle name="SAPBEXHLevel1X 9" xfId="1064" xr:uid="{00000000-0005-0000-0000-00001A040000}"/>
    <cellStyle name="SAPBEXHLevel2" xfId="45" xr:uid="{00000000-0005-0000-0000-00001B040000}"/>
    <cellStyle name="SAPBEXHLevel2 10" xfId="1065" xr:uid="{00000000-0005-0000-0000-00001C040000}"/>
    <cellStyle name="SAPBEXHLevel2 11" xfId="1066" xr:uid="{00000000-0005-0000-0000-00001D040000}"/>
    <cellStyle name="SAPBEXHLevel2 12" xfId="1067" xr:uid="{00000000-0005-0000-0000-00001E040000}"/>
    <cellStyle name="SAPBEXHLevel2 2" xfId="1068" xr:uid="{00000000-0005-0000-0000-00001F040000}"/>
    <cellStyle name="SAPBEXHLevel2 2 10" xfId="1069" xr:uid="{00000000-0005-0000-0000-000020040000}"/>
    <cellStyle name="SAPBEXHLevel2 2 2" xfId="1070" xr:uid="{00000000-0005-0000-0000-000021040000}"/>
    <cellStyle name="SAPBEXHLevel2 2 3" xfId="1071" xr:uid="{00000000-0005-0000-0000-000022040000}"/>
    <cellStyle name="SAPBEXHLevel2 2 4" xfId="1072" xr:uid="{00000000-0005-0000-0000-000023040000}"/>
    <cellStyle name="SAPBEXHLevel2 2 5" xfId="1073" xr:uid="{00000000-0005-0000-0000-000024040000}"/>
    <cellStyle name="SAPBEXHLevel2 2 6" xfId="1074" xr:uid="{00000000-0005-0000-0000-000025040000}"/>
    <cellStyle name="SAPBEXHLevel2 2 7" xfId="1075" xr:uid="{00000000-0005-0000-0000-000026040000}"/>
    <cellStyle name="SAPBEXHLevel2 2 8" xfId="1076" xr:uid="{00000000-0005-0000-0000-000027040000}"/>
    <cellStyle name="SAPBEXHLevel2 2 9" xfId="1077" xr:uid="{00000000-0005-0000-0000-000028040000}"/>
    <cellStyle name="SAPBEXHLevel2 3" xfId="1078" xr:uid="{00000000-0005-0000-0000-000029040000}"/>
    <cellStyle name="SAPBEXHLevel2 4" xfId="1079" xr:uid="{00000000-0005-0000-0000-00002A040000}"/>
    <cellStyle name="SAPBEXHLevel2 5" xfId="1080" xr:uid="{00000000-0005-0000-0000-00002B040000}"/>
    <cellStyle name="SAPBEXHLevel2 6" xfId="1081" xr:uid="{00000000-0005-0000-0000-00002C040000}"/>
    <cellStyle name="SAPBEXHLevel2 7" xfId="1082" xr:uid="{00000000-0005-0000-0000-00002D040000}"/>
    <cellStyle name="SAPBEXHLevel2 8" xfId="1083" xr:uid="{00000000-0005-0000-0000-00002E040000}"/>
    <cellStyle name="SAPBEXHLevel2 9" xfId="1084" xr:uid="{00000000-0005-0000-0000-00002F040000}"/>
    <cellStyle name="SAPBEXHLevel2X" xfId="46" xr:uid="{00000000-0005-0000-0000-000030040000}"/>
    <cellStyle name="SAPBEXHLevel2X 10" xfId="1085" xr:uid="{00000000-0005-0000-0000-000031040000}"/>
    <cellStyle name="SAPBEXHLevel2X 11" xfId="1086" xr:uid="{00000000-0005-0000-0000-000032040000}"/>
    <cellStyle name="SAPBEXHLevel2X 12" xfId="1087" xr:uid="{00000000-0005-0000-0000-000033040000}"/>
    <cellStyle name="SAPBEXHLevel2X 2" xfId="1088" xr:uid="{00000000-0005-0000-0000-000034040000}"/>
    <cellStyle name="SAPBEXHLevel2X 2 10" xfId="1089" xr:uid="{00000000-0005-0000-0000-000035040000}"/>
    <cellStyle name="SAPBEXHLevel2X 2 2" xfId="1090" xr:uid="{00000000-0005-0000-0000-000036040000}"/>
    <cellStyle name="SAPBEXHLevel2X 2 3" xfId="1091" xr:uid="{00000000-0005-0000-0000-000037040000}"/>
    <cellStyle name="SAPBEXHLevel2X 2 4" xfId="1092" xr:uid="{00000000-0005-0000-0000-000038040000}"/>
    <cellStyle name="SAPBEXHLevel2X 2 5" xfId="1093" xr:uid="{00000000-0005-0000-0000-000039040000}"/>
    <cellStyle name="SAPBEXHLevel2X 2 6" xfId="1094" xr:uid="{00000000-0005-0000-0000-00003A040000}"/>
    <cellStyle name="SAPBEXHLevel2X 2 7" xfId="1095" xr:uid="{00000000-0005-0000-0000-00003B040000}"/>
    <cellStyle name="SAPBEXHLevel2X 2 8" xfId="1096" xr:uid="{00000000-0005-0000-0000-00003C040000}"/>
    <cellStyle name="SAPBEXHLevel2X 2 9" xfId="1097" xr:uid="{00000000-0005-0000-0000-00003D040000}"/>
    <cellStyle name="SAPBEXHLevel2X 3" xfId="1098" xr:uid="{00000000-0005-0000-0000-00003E040000}"/>
    <cellStyle name="SAPBEXHLevel2X 4" xfId="1099" xr:uid="{00000000-0005-0000-0000-00003F040000}"/>
    <cellStyle name="SAPBEXHLevel2X 5" xfId="1100" xr:uid="{00000000-0005-0000-0000-000040040000}"/>
    <cellStyle name="SAPBEXHLevel2X 6" xfId="1101" xr:uid="{00000000-0005-0000-0000-000041040000}"/>
    <cellStyle name="SAPBEXHLevel2X 7" xfId="1102" xr:uid="{00000000-0005-0000-0000-000042040000}"/>
    <cellStyle name="SAPBEXHLevel2X 8" xfId="1103" xr:uid="{00000000-0005-0000-0000-000043040000}"/>
    <cellStyle name="SAPBEXHLevel2X 9" xfId="1104" xr:uid="{00000000-0005-0000-0000-000044040000}"/>
    <cellStyle name="SAPBEXHLevel3" xfId="47" xr:uid="{00000000-0005-0000-0000-000045040000}"/>
    <cellStyle name="SAPBEXHLevel3 10" xfId="1105" xr:uid="{00000000-0005-0000-0000-000046040000}"/>
    <cellStyle name="SAPBEXHLevel3 11" xfId="1106" xr:uid="{00000000-0005-0000-0000-000047040000}"/>
    <cellStyle name="SAPBEXHLevel3 12" xfId="1107" xr:uid="{00000000-0005-0000-0000-000048040000}"/>
    <cellStyle name="SAPBEXHLevel3 2" xfId="1108" xr:uid="{00000000-0005-0000-0000-000049040000}"/>
    <cellStyle name="SAPBEXHLevel3 2 10" xfId="1109" xr:uid="{00000000-0005-0000-0000-00004A040000}"/>
    <cellStyle name="SAPBEXHLevel3 2 2" xfId="1110" xr:uid="{00000000-0005-0000-0000-00004B040000}"/>
    <cellStyle name="SAPBEXHLevel3 2 3" xfId="1111" xr:uid="{00000000-0005-0000-0000-00004C040000}"/>
    <cellStyle name="SAPBEXHLevel3 2 4" xfId="1112" xr:uid="{00000000-0005-0000-0000-00004D040000}"/>
    <cellStyle name="SAPBEXHLevel3 2 5" xfId="1113" xr:uid="{00000000-0005-0000-0000-00004E040000}"/>
    <cellStyle name="SAPBEXHLevel3 2 6" xfId="1114" xr:uid="{00000000-0005-0000-0000-00004F040000}"/>
    <cellStyle name="SAPBEXHLevel3 2 7" xfId="1115" xr:uid="{00000000-0005-0000-0000-000050040000}"/>
    <cellStyle name="SAPBEXHLevel3 2 8" xfId="1116" xr:uid="{00000000-0005-0000-0000-000051040000}"/>
    <cellStyle name="SAPBEXHLevel3 2 9" xfId="1117" xr:uid="{00000000-0005-0000-0000-000052040000}"/>
    <cellStyle name="SAPBEXHLevel3 3" xfId="1118" xr:uid="{00000000-0005-0000-0000-000053040000}"/>
    <cellStyle name="SAPBEXHLevel3 4" xfId="1119" xr:uid="{00000000-0005-0000-0000-000054040000}"/>
    <cellStyle name="SAPBEXHLevel3 5" xfId="1120" xr:uid="{00000000-0005-0000-0000-000055040000}"/>
    <cellStyle name="SAPBEXHLevel3 6" xfId="1121" xr:uid="{00000000-0005-0000-0000-000056040000}"/>
    <cellStyle name="SAPBEXHLevel3 7" xfId="1122" xr:uid="{00000000-0005-0000-0000-000057040000}"/>
    <cellStyle name="SAPBEXHLevel3 8" xfId="1123" xr:uid="{00000000-0005-0000-0000-000058040000}"/>
    <cellStyle name="SAPBEXHLevel3 9" xfId="1124" xr:uid="{00000000-0005-0000-0000-000059040000}"/>
    <cellStyle name="SAPBEXHLevel3X" xfId="48" xr:uid="{00000000-0005-0000-0000-00005A040000}"/>
    <cellStyle name="SAPBEXHLevel3X 10" xfId="1125" xr:uid="{00000000-0005-0000-0000-00005B040000}"/>
    <cellStyle name="SAPBEXHLevel3X 11" xfId="1126" xr:uid="{00000000-0005-0000-0000-00005C040000}"/>
    <cellStyle name="SAPBEXHLevel3X 12" xfId="1127" xr:uid="{00000000-0005-0000-0000-00005D040000}"/>
    <cellStyle name="SAPBEXHLevel3X 2" xfId="1128" xr:uid="{00000000-0005-0000-0000-00005E040000}"/>
    <cellStyle name="SAPBEXHLevel3X 2 10" xfId="1129" xr:uid="{00000000-0005-0000-0000-00005F040000}"/>
    <cellStyle name="SAPBEXHLevel3X 2 2" xfId="1130" xr:uid="{00000000-0005-0000-0000-000060040000}"/>
    <cellStyle name="SAPBEXHLevel3X 2 3" xfId="1131" xr:uid="{00000000-0005-0000-0000-000061040000}"/>
    <cellStyle name="SAPBEXHLevel3X 2 4" xfId="1132" xr:uid="{00000000-0005-0000-0000-000062040000}"/>
    <cellStyle name="SAPBEXHLevel3X 2 5" xfId="1133" xr:uid="{00000000-0005-0000-0000-000063040000}"/>
    <cellStyle name="SAPBEXHLevel3X 2 6" xfId="1134" xr:uid="{00000000-0005-0000-0000-000064040000}"/>
    <cellStyle name="SAPBEXHLevel3X 2 7" xfId="1135" xr:uid="{00000000-0005-0000-0000-000065040000}"/>
    <cellStyle name="SAPBEXHLevel3X 2 8" xfId="1136" xr:uid="{00000000-0005-0000-0000-000066040000}"/>
    <cellStyle name="SAPBEXHLevel3X 2 9" xfId="1137" xr:uid="{00000000-0005-0000-0000-000067040000}"/>
    <cellStyle name="SAPBEXHLevel3X 3" xfId="1138" xr:uid="{00000000-0005-0000-0000-000068040000}"/>
    <cellStyle name="SAPBEXHLevel3X 4" xfId="1139" xr:uid="{00000000-0005-0000-0000-000069040000}"/>
    <cellStyle name="SAPBEXHLevel3X 5" xfId="1140" xr:uid="{00000000-0005-0000-0000-00006A040000}"/>
    <cellStyle name="SAPBEXHLevel3X 6" xfId="1141" xr:uid="{00000000-0005-0000-0000-00006B040000}"/>
    <cellStyle name="SAPBEXHLevel3X 7" xfId="1142" xr:uid="{00000000-0005-0000-0000-00006C040000}"/>
    <cellStyle name="SAPBEXHLevel3X 8" xfId="1143" xr:uid="{00000000-0005-0000-0000-00006D040000}"/>
    <cellStyle name="SAPBEXHLevel3X 9" xfId="1144" xr:uid="{00000000-0005-0000-0000-00006E040000}"/>
    <cellStyle name="SAPBEXchaText" xfId="10" xr:uid="{00000000-0005-0000-0000-00006F040000}"/>
    <cellStyle name="SAPBEXchaText 10" xfId="1145" xr:uid="{00000000-0005-0000-0000-000070040000}"/>
    <cellStyle name="SAPBEXchaText 11" xfId="1146" xr:uid="{00000000-0005-0000-0000-000071040000}"/>
    <cellStyle name="SAPBEXchaText 12" xfId="1147" xr:uid="{00000000-0005-0000-0000-000072040000}"/>
    <cellStyle name="SAPBEXchaText 2" xfId="1148" xr:uid="{00000000-0005-0000-0000-000073040000}"/>
    <cellStyle name="SAPBEXchaText 2 10" xfId="1149" xr:uid="{00000000-0005-0000-0000-000074040000}"/>
    <cellStyle name="SAPBEXchaText 2 11" xfId="1150" xr:uid="{00000000-0005-0000-0000-000075040000}"/>
    <cellStyle name="SAPBEXchaText 2 12" xfId="1151" xr:uid="{00000000-0005-0000-0000-000076040000}"/>
    <cellStyle name="SAPBEXchaText 2 2" xfId="1152" xr:uid="{00000000-0005-0000-0000-000077040000}"/>
    <cellStyle name="SAPBEXchaText 2 2 10" xfId="1153" xr:uid="{00000000-0005-0000-0000-000078040000}"/>
    <cellStyle name="SAPBEXchaText 2 2 2" xfId="1154" xr:uid="{00000000-0005-0000-0000-000079040000}"/>
    <cellStyle name="SAPBEXchaText 2 2 3" xfId="1155" xr:uid="{00000000-0005-0000-0000-00007A040000}"/>
    <cellStyle name="SAPBEXchaText 2 2 4" xfId="1156" xr:uid="{00000000-0005-0000-0000-00007B040000}"/>
    <cellStyle name="SAPBEXchaText 2 2 5" xfId="1157" xr:uid="{00000000-0005-0000-0000-00007C040000}"/>
    <cellStyle name="SAPBEXchaText 2 2 6" xfId="1158" xr:uid="{00000000-0005-0000-0000-00007D040000}"/>
    <cellStyle name="SAPBEXchaText 2 2 7" xfId="1159" xr:uid="{00000000-0005-0000-0000-00007E040000}"/>
    <cellStyle name="SAPBEXchaText 2 2 8" xfId="1160" xr:uid="{00000000-0005-0000-0000-00007F040000}"/>
    <cellStyle name="SAPBEXchaText 2 2 9" xfId="1161" xr:uid="{00000000-0005-0000-0000-000080040000}"/>
    <cellStyle name="SAPBEXchaText 2 3" xfId="1162" xr:uid="{00000000-0005-0000-0000-000081040000}"/>
    <cellStyle name="SAPBEXchaText 2 4" xfId="1163" xr:uid="{00000000-0005-0000-0000-000082040000}"/>
    <cellStyle name="SAPBEXchaText 2 5" xfId="1164" xr:uid="{00000000-0005-0000-0000-000083040000}"/>
    <cellStyle name="SAPBEXchaText 2 6" xfId="1165" xr:uid="{00000000-0005-0000-0000-000084040000}"/>
    <cellStyle name="SAPBEXchaText 2 7" xfId="1166" xr:uid="{00000000-0005-0000-0000-000085040000}"/>
    <cellStyle name="SAPBEXchaText 2 8" xfId="1167" xr:uid="{00000000-0005-0000-0000-000086040000}"/>
    <cellStyle name="SAPBEXchaText 2 9" xfId="1168" xr:uid="{00000000-0005-0000-0000-000087040000}"/>
    <cellStyle name="SAPBEXchaText 3" xfId="1169" xr:uid="{00000000-0005-0000-0000-000088040000}"/>
    <cellStyle name="SAPBEXchaText 3 10" xfId="1170" xr:uid="{00000000-0005-0000-0000-000089040000}"/>
    <cellStyle name="SAPBEXchaText 3 2" xfId="1171" xr:uid="{00000000-0005-0000-0000-00008A040000}"/>
    <cellStyle name="SAPBEXchaText 3 3" xfId="1172" xr:uid="{00000000-0005-0000-0000-00008B040000}"/>
    <cellStyle name="SAPBEXchaText 3 4" xfId="1173" xr:uid="{00000000-0005-0000-0000-00008C040000}"/>
    <cellStyle name="SAPBEXchaText 3 5" xfId="1174" xr:uid="{00000000-0005-0000-0000-00008D040000}"/>
    <cellStyle name="SAPBEXchaText 3 6" xfId="1175" xr:uid="{00000000-0005-0000-0000-00008E040000}"/>
    <cellStyle name="SAPBEXchaText 3 7" xfId="1176" xr:uid="{00000000-0005-0000-0000-00008F040000}"/>
    <cellStyle name="SAPBEXchaText 3 8" xfId="1177" xr:uid="{00000000-0005-0000-0000-000090040000}"/>
    <cellStyle name="SAPBEXchaText 3 9" xfId="1178" xr:uid="{00000000-0005-0000-0000-000091040000}"/>
    <cellStyle name="SAPBEXchaText 4" xfId="1179" xr:uid="{00000000-0005-0000-0000-000092040000}"/>
    <cellStyle name="SAPBEXchaText 5" xfId="1180" xr:uid="{00000000-0005-0000-0000-000093040000}"/>
    <cellStyle name="SAPBEXchaText 6" xfId="1181" xr:uid="{00000000-0005-0000-0000-000094040000}"/>
    <cellStyle name="SAPBEXchaText 7" xfId="1182" xr:uid="{00000000-0005-0000-0000-000095040000}"/>
    <cellStyle name="SAPBEXchaText 8" xfId="1183" xr:uid="{00000000-0005-0000-0000-000096040000}"/>
    <cellStyle name="SAPBEXchaText 9" xfId="1184" xr:uid="{00000000-0005-0000-0000-000097040000}"/>
    <cellStyle name="SAPBEXchaText_Výkaz 13-D3a _2011_jk" xfId="1185" xr:uid="{00000000-0005-0000-0000-000098040000}"/>
    <cellStyle name="SAPBEXinputData" xfId="1186" xr:uid="{00000000-0005-0000-0000-000099040000}"/>
    <cellStyle name="SAPBEXinputData 2" xfId="1187" xr:uid="{00000000-0005-0000-0000-00009A040000}"/>
    <cellStyle name="SAPBEXItemHeader" xfId="1188" xr:uid="{00000000-0005-0000-0000-00009B040000}"/>
    <cellStyle name="SAPBEXItemHeader 10" xfId="1189" xr:uid="{00000000-0005-0000-0000-00009C040000}"/>
    <cellStyle name="SAPBEXItemHeader 11" xfId="1190" xr:uid="{00000000-0005-0000-0000-00009D040000}"/>
    <cellStyle name="SAPBEXItemHeader 2" xfId="1191" xr:uid="{00000000-0005-0000-0000-00009E040000}"/>
    <cellStyle name="SAPBEXItemHeader 2 10" xfId="1192" xr:uid="{00000000-0005-0000-0000-00009F040000}"/>
    <cellStyle name="SAPBEXItemHeader 2 2" xfId="1193" xr:uid="{00000000-0005-0000-0000-0000A0040000}"/>
    <cellStyle name="SAPBEXItemHeader 2 3" xfId="1194" xr:uid="{00000000-0005-0000-0000-0000A1040000}"/>
    <cellStyle name="SAPBEXItemHeader 2 4" xfId="1195" xr:uid="{00000000-0005-0000-0000-0000A2040000}"/>
    <cellStyle name="SAPBEXItemHeader 2 5" xfId="1196" xr:uid="{00000000-0005-0000-0000-0000A3040000}"/>
    <cellStyle name="SAPBEXItemHeader 2 6" xfId="1197" xr:uid="{00000000-0005-0000-0000-0000A4040000}"/>
    <cellStyle name="SAPBEXItemHeader 2 7" xfId="1198" xr:uid="{00000000-0005-0000-0000-0000A5040000}"/>
    <cellStyle name="SAPBEXItemHeader 2 8" xfId="1199" xr:uid="{00000000-0005-0000-0000-0000A6040000}"/>
    <cellStyle name="SAPBEXItemHeader 2 9" xfId="1200" xr:uid="{00000000-0005-0000-0000-0000A7040000}"/>
    <cellStyle name="SAPBEXItemHeader 3" xfId="1201" xr:uid="{00000000-0005-0000-0000-0000A8040000}"/>
    <cellStyle name="SAPBEXItemHeader 4" xfId="1202" xr:uid="{00000000-0005-0000-0000-0000A9040000}"/>
    <cellStyle name="SAPBEXItemHeader 5" xfId="1203" xr:uid="{00000000-0005-0000-0000-0000AA040000}"/>
    <cellStyle name="SAPBEXItemHeader 6" xfId="1204" xr:uid="{00000000-0005-0000-0000-0000AB040000}"/>
    <cellStyle name="SAPBEXItemHeader 7" xfId="1205" xr:uid="{00000000-0005-0000-0000-0000AC040000}"/>
    <cellStyle name="SAPBEXItemHeader 8" xfId="1206" xr:uid="{00000000-0005-0000-0000-0000AD040000}"/>
    <cellStyle name="SAPBEXItemHeader 9" xfId="1207" xr:uid="{00000000-0005-0000-0000-0000AE040000}"/>
    <cellStyle name="SAPBEXresData" xfId="49" xr:uid="{00000000-0005-0000-0000-0000AF040000}"/>
    <cellStyle name="SAPBEXresData 10" xfId="1208" xr:uid="{00000000-0005-0000-0000-0000B0040000}"/>
    <cellStyle name="SAPBEXresData 11" xfId="1209" xr:uid="{00000000-0005-0000-0000-0000B1040000}"/>
    <cellStyle name="SAPBEXresData 12" xfId="1210" xr:uid="{00000000-0005-0000-0000-0000B2040000}"/>
    <cellStyle name="SAPBEXresData 2" xfId="1211" xr:uid="{00000000-0005-0000-0000-0000B3040000}"/>
    <cellStyle name="SAPBEXresData 2 10" xfId="1212" xr:uid="{00000000-0005-0000-0000-0000B4040000}"/>
    <cellStyle name="SAPBEXresData 2 2" xfId="1213" xr:uid="{00000000-0005-0000-0000-0000B5040000}"/>
    <cellStyle name="SAPBEXresData 2 3" xfId="1214" xr:uid="{00000000-0005-0000-0000-0000B6040000}"/>
    <cellStyle name="SAPBEXresData 2 4" xfId="1215" xr:uid="{00000000-0005-0000-0000-0000B7040000}"/>
    <cellStyle name="SAPBEXresData 2 5" xfId="1216" xr:uid="{00000000-0005-0000-0000-0000B8040000}"/>
    <cellStyle name="SAPBEXresData 2 6" xfId="1217" xr:uid="{00000000-0005-0000-0000-0000B9040000}"/>
    <cellStyle name="SAPBEXresData 2 7" xfId="1218" xr:uid="{00000000-0005-0000-0000-0000BA040000}"/>
    <cellStyle name="SAPBEXresData 2 8" xfId="1219" xr:uid="{00000000-0005-0000-0000-0000BB040000}"/>
    <cellStyle name="SAPBEXresData 2 9" xfId="1220" xr:uid="{00000000-0005-0000-0000-0000BC040000}"/>
    <cellStyle name="SAPBEXresData 3" xfId="1221" xr:uid="{00000000-0005-0000-0000-0000BD040000}"/>
    <cellStyle name="SAPBEXresData 4" xfId="1222" xr:uid="{00000000-0005-0000-0000-0000BE040000}"/>
    <cellStyle name="SAPBEXresData 5" xfId="1223" xr:uid="{00000000-0005-0000-0000-0000BF040000}"/>
    <cellStyle name="SAPBEXresData 6" xfId="1224" xr:uid="{00000000-0005-0000-0000-0000C0040000}"/>
    <cellStyle name="SAPBEXresData 7" xfId="1225" xr:uid="{00000000-0005-0000-0000-0000C1040000}"/>
    <cellStyle name="SAPBEXresData 8" xfId="1226" xr:uid="{00000000-0005-0000-0000-0000C2040000}"/>
    <cellStyle name="SAPBEXresData 9" xfId="1227" xr:uid="{00000000-0005-0000-0000-0000C3040000}"/>
    <cellStyle name="SAPBEXresDataEmph" xfId="50" xr:uid="{00000000-0005-0000-0000-0000C4040000}"/>
    <cellStyle name="SAPBEXresDataEmph 2" xfId="1228" xr:uid="{00000000-0005-0000-0000-0000C5040000}"/>
    <cellStyle name="SAPBEXresDataEmph 2 2" xfId="1229" xr:uid="{00000000-0005-0000-0000-0000C6040000}"/>
    <cellStyle name="SAPBEXresDataEmph 2 3" xfId="1230" xr:uid="{00000000-0005-0000-0000-0000C7040000}"/>
    <cellStyle name="SAPBEXresDataEmph 2 4" xfId="1231" xr:uid="{00000000-0005-0000-0000-0000C8040000}"/>
    <cellStyle name="SAPBEXresDataEmph 2 5" xfId="1232" xr:uid="{00000000-0005-0000-0000-0000C9040000}"/>
    <cellStyle name="SAPBEXresDataEmph 2 6" xfId="1233" xr:uid="{00000000-0005-0000-0000-0000CA040000}"/>
    <cellStyle name="SAPBEXresDataEmph 2 7" xfId="1234" xr:uid="{00000000-0005-0000-0000-0000CB040000}"/>
    <cellStyle name="SAPBEXresDataEmph 3" xfId="1235" xr:uid="{00000000-0005-0000-0000-0000CC040000}"/>
    <cellStyle name="SAPBEXresDataEmph 4" xfId="1236" xr:uid="{00000000-0005-0000-0000-0000CD040000}"/>
    <cellStyle name="SAPBEXresDataEmph 5" xfId="1237" xr:uid="{00000000-0005-0000-0000-0000CE040000}"/>
    <cellStyle name="SAPBEXresDataEmph 6" xfId="1238" xr:uid="{00000000-0005-0000-0000-0000CF040000}"/>
    <cellStyle name="SAPBEXresDataEmph 7" xfId="1239" xr:uid="{00000000-0005-0000-0000-0000D0040000}"/>
    <cellStyle name="SAPBEXresDataEmph 8" xfId="1240" xr:uid="{00000000-0005-0000-0000-0000D1040000}"/>
    <cellStyle name="SAPBEXresDataEmph 9" xfId="1241" xr:uid="{00000000-0005-0000-0000-0000D2040000}"/>
    <cellStyle name="SAPBEXresItem" xfId="51" xr:uid="{00000000-0005-0000-0000-0000D3040000}"/>
    <cellStyle name="SAPBEXresItem 10" xfId="1242" xr:uid="{00000000-0005-0000-0000-0000D4040000}"/>
    <cellStyle name="SAPBEXresItem 11" xfId="1243" xr:uid="{00000000-0005-0000-0000-0000D5040000}"/>
    <cellStyle name="SAPBEXresItem 12" xfId="1244" xr:uid="{00000000-0005-0000-0000-0000D6040000}"/>
    <cellStyle name="SAPBEXresItem 2" xfId="1245" xr:uid="{00000000-0005-0000-0000-0000D7040000}"/>
    <cellStyle name="SAPBEXresItem 2 10" xfId="1246" xr:uid="{00000000-0005-0000-0000-0000D8040000}"/>
    <cellStyle name="SAPBEXresItem 2 2" xfId="1247" xr:uid="{00000000-0005-0000-0000-0000D9040000}"/>
    <cellStyle name="SAPBEXresItem 2 3" xfId="1248" xr:uid="{00000000-0005-0000-0000-0000DA040000}"/>
    <cellStyle name="SAPBEXresItem 2 4" xfId="1249" xr:uid="{00000000-0005-0000-0000-0000DB040000}"/>
    <cellStyle name="SAPBEXresItem 2 5" xfId="1250" xr:uid="{00000000-0005-0000-0000-0000DC040000}"/>
    <cellStyle name="SAPBEXresItem 2 6" xfId="1251" xr:uid="{00000000-0005-0000-0000-0000DD040000}"/>
    <cellStyle name="SAPBEXresItem 2 7" xfId="1252" xr:uid="{00000000-0005-0000-0000-0000DE040000}"/>
    <cellStyle name="SAPBEXresItem 2 8" xfId="1253" xr:uid="{00000000-0005-0000-0000-0000DF040000}"/>
    <cellStyle name="SAPBEXresItem 2 9" xfId="1254" xr:uid="{00000000-0005-0000-0000-0000E0040000}"/>
    <cellStyle name="SAPBEXresItem 3" xfId="1255" xr:uid="{00000000-0005-0000-0000-0000E1040000}"/>
    <cellStyle name="SAPBEXresItem 4" xfId="1256" xr:uid="{00000000-0005-0000-0000-0000E2040000}"/>
    <cellStyle name="SAPBEXresItem 5" xfId="1257" xr:uid="{00000000-0005-0000-0000-0000E3040000}"/>
    <cellStyle name="SAPBEXresItem 6" xfId="1258" xr:uid="{00000000-0005-0000-0000-0000E4040000}"/>
    <cellStyle name="SAPBEXresItem 7" xfId="1259" xr:uid="{00000000-0005-0000-0000-0000E5040000}"/>
    <cellStyle name="SAPBEXresItem 8" xfId="1260" xr:uid="{00000000-0005-0000-0000-0000E6040000}"/>
    <cellStyle name="SAPBEXresItem 9" xfId="1261" xr:uid="{00000000-0005-0000-0000-0000E7040000}"/>
    <cellStyle name="SAPBEXresItemX" xfId="52" xr:uid="{00000000-0005-0000-0000-0000E8040000}"/>
    <cellStyle name="SAPBEXresItemX 10" xfId="1262" xr:uid="{00000000-0005-0000-0000-0000E9040000}"/>
    <cellStyle name="SAPBEXresItemX 11" xfId="1263" xr:uid="{00000000-0005-0000-0000-0000EA040000}"/>
    <cellStyle name="SAPBEXresItemX 12" xfId="1264" xr:uid="{00000000-0005-0000-0000-0000EB040000}"/>
    <cellStyle name="SAPBEXresItemX 2" xfId="1265" xr:uid="{00000000-0005-0000-0000-0000EC040000}"/>
    <cellStyle name="SAPBEXresItemX 2 10" xfId="1266" xr:uid="{00000000-0005-0000-0000-0000ED040000}"/>
    <cellStyle name="SAPBEXresItemX 2 2" xfId="1267" xr:uid="{00000000-0005-0000-0000-0000EE040000}"/>
    <cellStyle name="SAPBEXresItemX 2 3" xfId="1268" xr:uid="{00000000-0005-0000-0000-0000EF040000}"/>
    <cellStyle name="SAPBEXresItemX 2 4" xfId="1269" xr:uid="{00000000-0005-0000-0000-0000F0040000}"/>
    <cellStyle name="SAPBEXresItemX 2 5" xfId="1270" xr:uid="{00000000-0005-0000-0000-0000F1040000}"/>
    <cellStyle name="SAPBEXresItemX 2 6" xfId="1271" xr:uid="{00000000-0005-0000-0000-0000F2040000}"/>
    <cellStyle name="SAPBEXresItemX 2 7" xfId="1272" xr:uid="{00000000-0005-0000-0000-0000F3040000}"/>
    <cellStyle name="SAPBEXresItemX 2 8" xfId="1273" xr:uid="{00000000-0005-0000-0000-0000F4040000}"/>
    <cellStyle name="SAPBEXresItemX 2 9" xfId="1274" xr:uid="{00000000-0005-0000-0000-0000F5040000}"/>
    <cellStyle name="SAPBEXresItemX 3" xfId="1275" xr:uid="{00000000-0005-0000-0000-0000F6040000}"/>
    <cellStyle name="SAPBEXresItemX 4" xfId="1276" xr:uid="{00000000-0005-0000-0000-0000F7040000}"/>
    <cellStyle name="SAPBEXresItemX 5" xfId="1277" xr:uid="{00000000-0005-0000-0000-0000F8040000}"/>
    <cellStyle name="SAPBEXresItemX 6" xfId="1278" xr:uid="{00000000-0005-0000-0000-0000F9040000}"/>
    <cellStyle name="SAPBEXresItemX 7" xfId="1279" xr:uid="{00000000-0005-0000-0000-0000FA040000}"/>
    <cellStyle name="SAPBEXresItemX 8" xfId="1280" xr:uid="{00000000-0005-0000-0000-0000FB040000}"/>
    <cellStyle name="SAPBEXresItemX 9" xfId="1281" xr:uid="{00000000-0005-0000-0000-0000FC040000}"/>
    <cellStyle name="SAPBEXstdData" xfId="11" xr:uid="{00000000-0005-0000-0000-0000FD040000}"/>
    <cellStyle name="SAPBEXstdData 10" xfId="1282" xr:uid="{00000000-0005-0000-0000-0000FE040000}"/>
    <cellStyle name="SAPBEXstdData 11" xfId="1283" xr:uid="{00000000-0005-0000-0000-0000FF040000}"/>
    <cellStyle name="SAPBEXstdData 12" xfId="1284" xr:uid="{00000000-0005-0000-0000-000000050000}"/>
    <cellStyle name="SAPBEXstdData 2" xfId="1285" xr:uid="{00000000-0005-0000-0000-000001050000}"/>
    <cellStyle name="SAPBEXstdData 2 10" xfId="1286" xr:uid="{00000000-0005-0000-0000-000002050000}"/>
    <cellStyle name="SAPBEXstdData 2 11" xfId="1287" xr:uid="{00000000-0005-0000-0000-000003050000}"/>
    <cellStyle name="SAPBEXstdData 2 12" xfId="1288" xr:uid="{00000000-0005-0000-0000-000004050000}"/>
    <cellStyle name="SAPBEXstdData 2 2" xfId="1289" xr:uid="{00000000-0005-0000-0000-000005050000}"/>
    <cellStyle name="SAPBEXstdData 2 2 10" xfId="1290" xr:uid="{00000000-0005-0000-0000-000006050000}"/>
    <cellStyle name="SAPBEXstdData 2 2 2" xfId="1291" xr:uid="{00000000-0005-0000-0000-000007050000}"/>
    <cellStyle name="SAPBEXstdData 2 2 3" xfId="1292" xr:uid="{00000000-0005-0000-0000-000008050000}"/>
    <cellStyle name="SAPBEXstdData 2 2 4" xfId="1293" xr:uid="{00000000-0005-0000-0000-000009050000}"/>
    <cellStyle name="SAPBEXstdData 2 2 5" xfId="1294" xr:uid="{00000000-0005-0000-0000-00000A050000}"/>
    <cellStyle name="SAPBEXstdData 2 2 6" xfId="1295" xr:uid="{00000000-0005-0000-0000-00000B050000}"/>
    <cellStyle name="SAPBEXstdData 2 2 7" xfId="1296" xr:uid="{00000000-0005-0000-0000-00000C050000}"/>
    <cellStyle name="SAPBEXstdData 2 2 8" xfId="1297" xr:uid="{00000000-0005-0000-0000-00000D050000}"/>
    <cellStyle name="SAPBEXstdData 2 2 9" xfId="1298" xr:uid="{00000000-0005-0000-0000-00000E050000}"/>
    <cellStyle name="SAPBEXstdData 2 3" xfId="1299" xr:uid="{00000000-0005-0000-0000-00000F050000}"/>
    <cellStyle name="SAPBEXstdData 2 4" xfId="1300" xr:uid="{00000000-0005-0000-0000-000010050000}"/>
    <cellStyle name="SAPBEXstdData 2 5" xfId="1301" xr:uid="{00000000-0005-0000-0000-000011050000}"/>
    <cellStyle name="SAPBEXstdData 2 6" xfId="1302" xr:uid="{00000000-0005-0000-0000-000012050000}"/>
    <cellStyle name="SAPBEXstdData 2 7" xfId="1303" xr:uid="{00000000-0005-0000-0000-000013050000}"/>
    <cellStyle name="SAPBEXstdData 2 8" xfId="1304" xr:uid="{00000000-0005-0000-0000-000014050000}"/>
    <cellStyle name="SAPBEXstdData 2 9" xfId="1305" xr:uid="{00000000-0005-0000-0000-000015050000}"/>
    <cellStyle name="SAPBEXstdData 3" xfId="1306" xr:uid="{00000000-0005-0000-0000-000016050000}"/>
    <cellStyle name="SAPBEXstdData 3 10" xfId="1307" xr:uid="{00000000-0005-0000-0000-000017050000}"/>
    <cellStyle name="SAPBEXstdData 3 2" xfId="1308" xr:uid="{00000000-0005-0000-0000-000018050000}"/>
    <cellStyle name="SAPBEXstdData 3 3" xfId="1309" xr:uid="{00000000-0005-0000-0000-000019050000}"/>
    <cellStyle name="SAPBEXstdData 3 4" xfId="1310" xr:uid="{00000000-0005-0000-0000-00001A050000}"/>
    <cellStyle name="SAPBEXstdData 3 5" xfId="1311" xr:uid="{00000000-0005-0000-0000-00001B050000}"/>
    <cellStyle name="SAPBEXstdData 3 6" xfId="1312" xr:uid="{00000000-0005-0000-0000-00001C050000}"/>
    <cellStyle name="SAPBEXstdData 3 7" xfId="1313" xr:uid="{00000000-0005-0000-0000-00001D050000}"/>
    <cellStyle name="SAPBEXstdData 3 8" xfId="1314" xr:uid="{00000000-0005-0000-0000-00001E050000}"/>
    <cellStyle name="SAPBEXstdData 3 9" xfId="1315" xr:uid="{00000000-0005-0000-0000-00001F050000}"/>
    <cellStyle name="SAPBEXstdData 4" xfId="1316" xr:uid="{00000000-0005-0000-0000-000020050000}"/>
    <cellStyle name="SAPBEXstdData 5" xfId="1317" xr:uid="{00000000-0005-0000-0000-000021050000}"/>
    <cellStyle name="SAPBEXstdData 6" xfId="1318" xr:uid="{00000000-0005-0000-0000-000022050000}"/>
    <cellStyle name="SAPBEXstdData 7" xfId="1319" xr:uid="{00000000-0005-0000-0000-000023050000}"/>
    <cellStyle name="SAPBEXstdData 8" xfId="1320" xr:uid="{00000000-0005-0000-0000-000024050000}"/>
    <cellStyle name="SAPBEXstdData 9" xfId="1321" xr:uid="{00000000-0005-0000-0000-000025050000}"/>
    <cellStyle name="SAPBEXstdDataEmph" xfId="53" xr:uid="{00000000-0005-0000-0000-000026050000}"/>
    <cellStyle name="SAPBEXstdDataEmph 10" xfId="1322" xr:uid="{00000000-0005-0000-0000-000027050000}"/>
    <cellStyle name="SAPBEXstdDataEmph 11" xfId="1323" xr:uid="{00000000-0005-0000-0000-000028050000}"/>
    <cellStyle name="SAPBEXstdDataEmph 12" xfId="1324" xr:uid="{00000000-0005-0000-0000-000029050000}"/>
    <cellStyle name="SAPBEXstdDataEmph 2" xfId="1325" xr:uid="{00000000-0005-0000-0000-00002A050000}"/>
    <cellStyle name="SAPBEXstdDataEmph 2 10" xfId="1326" xr:uid="{00000000-0005-0000-0000-00002B050000}"/>
    <cellStyle name="SAPBEXstdDataEmph 2 2" xfId="1327" xr:uid="{00000000-0005-0000-0000-00002C050000}"/>
    <cellStyle name="SAPBEXstdDataEmph 2 3" xfId="1328" xr:uid="{00000000-0005-0000-0000-00002D050000}"/>
    <cellStyle name="SAPBEXstdDataEmph 2 4" xfId="1329" xr:uid="{00000000-0005-0000-0000-00002E050000}"/>
    <cellStyle name="SAPBEXstdDataEmph 2 5" xfId="1330" xr:uid="{00000000-0005-0000-0000-00002F050000}"/>
    <cellStyle name="SAPBEXstdDataEmph 2 6" xfId="1331" xr:uid="{00000000-0005-0000-0000-000030050000}"/>
    <cellStyle name="SAPBEXstdDataEmph 2 7" xfId="1332" xr:uid="{00000000-0005-0000-0000-000031050000}"/>
    <cellStyle name="SAPBEXstdDataEmph 2 8" xfId="1333" xr:uid="{00000000-0005-0000-0000-000032050000}"/>
    <cellStyle name="SAPBEXstdDataEmph 2 9" xfId="1334" xr:uid="{00000000-0005-0000-0000-000033050000}"/>
    <cellStyle name="SAPBEXstdDataEmph 3" xfId="1335" xr:uid="{00000000-0005-0000-0000-000034050000}"/>
    <cellStyle name="SAPBEXstdDataEmph 4" xfId="1336" xr:uid="{00000000-0005-0000-0000-000035050000}"/>
    <cellStyle name="SAPBEXstdDataEmph 5" xfId="1337" xr:uid="{00000000-0005-0000-0000-000036050000}"/>
    <cellStyle name="SAPBEXstdDataEmph 6" xfId="1338" xr:uid="{00000000-0005-0000-0000-000037050000}"/>
    <cellStyle name="SAPBEXstdDataEmph 7" xfId="1339" xr:uid="{00000000-0005-0000-0000-000038050000}"/>
    <cellStyle name="SAPBEXstdDataEmph 8" xfId="1340" xr:uid="{00000000-0005-0000-0000-000039050000}"/>
    <cellStyle name="SAPBEXstdDataEmph 9" xfId="1341" xr:uid="{00000000-0005-0000-0000-00003A050000}"/>
    <cellStyle name="SAPBEXstdItem" xfId="12" xr:uid="{00000000-0005-0000-0000-00003B050000}"/>
    <cellStyle name="SAPBEXstdItem 10" xfId="1342" xr:uid="{00000000-0005-0000-0000-00003C050000}"/>
    <cellStyle name="SAPBEXstdItem 11" xfId="1343" xr:uid="{00000000-0005-0000-0000-00003D050000}"/>
    <cellStyle name="SAPBEXstdItem 12" xfId="1344" xr:uid="{00000000-0005-0000-0000-00003E050000}"/>
    <cellStyle name="SAPBEXstdItem 2" xfId="1345" xr:uid="{00000000-0005-0000-0000-00003F050000}"/>
    <cellStyle name="SAPBEXstdItem 2 10" xfId="1346" xr:uid="{00000000-0005-0000-0000-000040050000}"/>
    <cellStyle name="SAPBEXstdItem 2 11" xfId="1347" xr:uid="{00000000-0005-0000-0000-000041050000}"/>
    <cellStyle name="SAPBEXstdItem 2 12" xfId="1348" xr:uid="{00000000-0005-0000-0000-000042050000}"/>
    <cellStyle name="SAPBEXstdItem 2 2" xfId="1349" xr:uid="{00000000-0005-0000-0000-000043050000}"/>
    <cellStyle name="SAPBEXstdItem 2 2 10" xfId="1350" xr:uid="{00000000-0005-0000-0000-000044050000}"/>
    <cellStyle name="SAPBEXstdItem 2 2 2" xfId="1351" xr:uid="{00000000-0005-0000-0000-000045050000}"/>
    <cellStyle name="SAPBEXstdItem 2 2 3" xfId="1352" xr:uid="{00000000-0005-0000-0000-000046050000}"/>
    <cellStyle name="SAPBEXstdItem 2 2 4" xfId="1353" xr:uid="{00000000-0005-0000-0000-000047050000}"/>
    <cellStyle name="SAPBEXstdItem 2 2 5" xfId="1354" xr:uid="{00000000-0005-0000-0000-000048050000}"/>
    <cellStyle name="SAPBEXstdItem 2 2 6" xfId="1355" xr:uid="{00000000-0005-0000-0000-000049050000}"/>
    <cellStyle name="SAPBEXstdItem 2 2 7" xfId="1356" xr:uid="{00000000-0005-0000-0000-00004A050000}"/>
    <cellStyle name="SAPBEXstdItem 2 2 8" xfId="1357" xr:uid="{00000000-0005-0000-0000-00004B050000}"/>
    <cellStyle name="SAPBEXstdItem 2 2 9" xfId="1358" xr:uid="{00000000-0005-0000-0000-00004C050000}"/>
    <cellStyle name="SAPBEXstdItem 2 3" xfId="1359" xr:uid="{00000000-0005-0000-0000-00004D050000}"/>
    <cellStyle name="SAPBEXstdItem 2 4" xfId="1360" xr:uid="{00000000-0005-0000-0000-00004E050000}"/>
    <cellStyle name="SAPBEXstdItem 2 5" xfId="1361" xr:uid="{00000000-0005-0000-0000-00004F050000}"/>
    <cellStyle name="SAPBEXstdItem 2 6" xfId="1362" xr:uid="{00000000-0005-0000-0000-000050050000}"/>
    <cellStyle name="SAPBEXstdItem 2 7" xfId="1363" xr:uid="{00000000-0005-0000-0000-000051050000}"/>
    <cellStyle name="SAPBEXstdItem 2 8" xfId="1364" xr:uid="{00000000-0005-0000-0000-000052050000}"/>
    <cellStyle name="SAPBEXstdItem 2 9" xfId="1365" xr:uid="{00000000-0005-0000-0000-000053050000}"/>
    <cellStyle name="SAPBEXstdItem 3" xfId="1366" xr:uid="{00000000-0005-0000-0000-000054050000}"/>
    <cellStyle name="SAPBEXstdItem 3 10" xfId="1367" xr:uid="{00000000-0005-0000-0000-000055050000}"/>
    <cellStyle name="SAPBEXstdItem 3 2" xfId="1368" xr:uid="{00000000-0005-0000-0000-000056050000}"/>
    <cellStyle name="SAPBEXstdItem 3 3" xfId="1369" xr:uid="{00000000-0005-0000-0000-000057050000}"/>
    <cellStyle name="SAPBEXstdItem 3 4" xfId="1370" xr:uid="{00000000-0005-0000-0000-000058050000}"/>
    <cellStyle name="SAPBEXstdItem 3 5" xfId="1371" xr:uid="{00000000-0005-0000-0000-000059050000}"/>
    <cellStyle name="SAPBEXstdItem 3 6" xfId="1372" xr:uid="{00000000-0005-0000-0000-00005A050000}"/>
    <cellStyle name="SAPBEXstdItem 3 7" xfId="1373" xr:uid="{00000000-0005-0000-0000-00005B050000}"/>
    <cellStyle name="SAPBEXstdItem 3 8" xfId="1374" xr:uid="{00000000-0005-0000-0000-00005C050000}"/>
    <cellStyle name="SAPBEXstdItem 3 9" xfId="1375" xr:uid="{00000000-0005-0000-0000-00005D050000}"/>
    <cellStyle name="SAPBEXstdItem 4" xfId="1376" xr:uid="{00000000-0005-0000-0000-00005E050000}"/>
    <cellStyle name="SAPBEXstdItem 4 2" xfId="1377" xr:uid="{00000000-0005-0000-0000-00005F050000}"/>
    <cellStyle name="SAPBEXstdItem 5" xfId="1378" xr:uid="{00000000-0005-0000-0000-000060050000}"/>
    <cellStyle name="SAPBEXstdItem 6" xfId="1379" xr:uid="{00000000-0005-0000-0000-000061050000}"/>
    <cellStyle name="SAPBEXstdItem 7" xfId="1380" xr:uid="{00000000-0005-0000-0000-000062050000}"/>
    <cellStyle name="SAPBEXstdItem 8" xfId="1381" xr:uid="{00000000-0005-0000-0000-000063050000}"/>
    <cellStyle name="SAPBEXstdItem 9" xfId="1382" xr:uid="{00000000-0005-0000-0000-000064050000}"/>
    <cellStyle name="SAPBEXstdItem_Výkaz 13-D3a _2011_jk" xfId="1383" xr:uid="{00000000-0005-0000-0000-000065050000}"/>
    <cellStyle name="SAPBEXstdItemX" xfId="54" xr:uid="{00000000-0005-0000-0000-000066050000}"/>
    <cellStyle name="SAPBEXstdItemX 10" xfId="1384" xr:uid="{00000000-0005-0000-0000-000067050000}"/>
    <cellStyle name="SAPBEXstdItemX 11" xfId="1385" xr:uid="{00000000-0005-0000-0000-000068050000}"/>
    <cellStyle name="SAPBEXstdItemX 12" xfId="1386" xr:uid="{00000000-0005-0000-0000-000069050000}"/>
    <cellStyle name="SAPBEXstdItemX 13" xfId="1387" xr:uid="{00000000-0005-0000-0000-00006A050000}"/>
    <cellStyle name="SAPBEXstdItemX 2" xfId="1388" xr:uid="{00000000-0005-0000-0000-00006B050000}"/>
    <cellStyle name="SAPBEXstdItemX 2 10" xfId="1389" xr:uid="{00000000-0005-0000-0000-00006C050000}"/>
    <cellStyle name="SAPBEXstdItemX 2 11" xfId="1390" xr:uid="{00000000-0005-0000-0000-00006D050000}"/>
    <cellStyle name="SAPBEXstdItemX 2 2" xfId="1391" xr:uid="{00000000-0005-0000-0000-00006E050000}"/>
    <cellStyle name="SAPBEXstdItemX 2 2 10" xfId="1392" xr:uid="{00000000-0005-0000-0000-00006F050000}"/>
    <cellStyle name="SAPBEXstdItemX 2 2 2" xfId="1393" xr:uid="{00000000-0005-0000-0000-000070050000}"/>
    <cellStyle name="SAPBEXstdItemX 2 2 3" xfId="1394" xr:uid="{00000000-0005-0000-0000-000071050000}"/>
    <cellStyle name="SAPBEXstdItemX 2 2 4" xfId="1395" xr:uid="{00000000-0005-0000-0000-000072050000}"/>
    <cellStyle name="SAPBEXstdItemX 2 2 5" xfId="1396" xr:uid="{00000000-0005-0000-0000-000073050000}"/>
    <cellStyle name="SAPBEXstdItemX 2 2 6" xfId="1397" xr:uid="{00000000-0005-0000-0000-000074050000}"/>
    <cellStyle name="SAPBEXstdItemX 2 2 7" xfId="1398" xr:uid="{00000000-0005-0000-0000-000075050000}"/>
    <cellStyle name="SAPBEXstdItemX 2 2 8" xfId="1399" xr:uid="{00000000-0005-0000-0000-000076050000}"/>
    <cellStyle name="SAPBEXstdItemX 2 2 9" xfId="1400" xr:uid="{00000000-0005-0000-0000-000077050000}"/>
    <cellStyle name="SAPBEXstdItemX 2 3" xfId="1401" xr:uid="{00000000-0005-0000-0000-000078050000}"/>
    <cellStyle name="SAPBEXstdItemX 2 4" xfId="1402" xr:uid="{00000000-0005-0000-0000-000079050000}"/>
    <cellStyle name="SAPBEXstdItemX 2 5" xfId="1403" xr:uid="{00000000-0005-0000-0000-00007A050000}"/>
    <cellStyle name="SAPBEXstdItemX 2 6" xfId="1404" xr:uid="{00000000-0005-0000-0000-00007B050000}"/>
    <cellStyle name="SAPBEXstdItemX 2 7" xfId="1405" xr:uid="{00000000-0005-0000-0000-00007C050000}"/>
    <cellStyle name="SAPBEXstdItemX 2 8" xfId="1406" xr:uid="{00000000-0005-0000-0000-00007D050000}"/>
    <cellStyle name="SAPBEXstdItemX 2 9" xfId="1407" xr:uid="{00000000-0005-0000-0000-00007E050000}"/>
    <cellStyle name="SAPBEXstdItemX 3" xfId="1408" xr:uid="{00000000-0005-0000-0000-00007F050000}"/>
    <cellStyle name="SAPBEXstdItemX 3 10" xfId="1409" xr:uid="{00000000-0005-0000-0000-000080050000}"/>
    <cellStyle name="SAPBEXstdItemX 3 2" xfId="1410" xr:uid="{00000000-0005-0000-0000-000081050000}"/>
    <cellStyle name="SAPBEXstdItemX 3 3" xfId="1411" xr:uid="{00000000-0005-0000-0000-000082050000}"/>
    <cellStyle name="SAPBEXstdItemX 3 4" xfId="1412" xr:uid="{00000000-0005-0000-0000-000083050000}"/>
    <cellStyle name="SAPBEXstdItemX 3 5" xfId="1413" xr:uid="{00000000-0005-0000-0000-000084050000}"/>
    <cellStyle name="SAPBEXstdItemX 3 6" xfId="1414" xr:uid="{00000000-0005-0000-0000-000085050000}"/>
    <cellStyle name="SAPBEXstdItemX 3 7" xfId="1415" xr:uid="{00000000-0005-0000-0000-000086050000}"/>
    <cellStyle name="SAPBEXstdItemX 3 8" xfId="1416" xr:uid="{00000000-0005-0000-0000-000087050000}"/>
    <cellStyle name="SAPBEXstdItemX 3 9" xfId="1417" xr:uid="{00000000-0005-0000-0000-000088050000}"/>
    <cellStyle name="SAPBEXstdItemX 4" xfId="1418" xr:uid="{00000000-0005-0000-0000-000089050000}"/>
    <cellStyle name="SAPBEXstdItemX 5" xfId="1419" xr:uid="{00000000-0005-0000-0000-00008A050000}"/>
    <cellStyle name="SAPBEXstdItemX 6" xfId="1420" xr:uid="{00000000-0005-0000-0000-00008B050000}"/>
    <cellStyle name="SAPBEXstdItemX 7" xfId="1421" xr:uid="{00000000-0005-0000-0000-00008C050000}"/>
    <cellStyle name="SAPBEXstdItemX 8" xfId="1422" xr:uid="{00000000-0005-0000-0000-00008D050000}"/>
    <cellStyle name="SAPBEXstdItemX 9" xfId="1423" xr:uid="{00000000-0005-0000-0000-00008E050000}"/>
    <cellStyle name="SAPBEXstdItemX_Výkaz 13-D3a _2011_jk" xfId="1424" xr:uid="{00000000-0005-0000-0000-00008F050000}"/>
    <cellStyle name="SAPBEXtitle" xfId="55" xr:uid="{00000000-0005-0000-0000-000090050000}"/>
    <cellStyle name="SAPBEXtitle 2" xfId="1425" xr:uid="{00000000-0005-0000-0000-000091050000}"/>
    <cellStyle name="SAPBEXtitle 3" xfId="1426" xr:uid="{00000000-0005-0000-0000-000092050000}"/>
    <cellStyle name="SAPBEXtitle_Výkaz 13-D3a _2011_jk" xfId="1427" xr:uid="{00000000-0005-0000-0000-000093050000}"/>
    <cellStyle name="SAPBEXunassignedItem" xfId="1428" xr:uid="{00000000-0005-0000-0000-000094050000}"/>
    <cellStyle name="SAPBEXunassignedItem 2" xfId="1429" xr:uid="{00000000-0005-0000-0000-000095050000}"/>
    <cellStyle name="SAPBEXunassignedItem 2 2" xfId="1430" xr:uid="{00000000-0005-0000-0000-000096050000}"/>
    <cellStyle name="SAPBEXunassignedItem 2 3" xfId="1431" xr:uid="{00000000-0005-0000-0000-000097050000}"/>
    <cellStyle name="SAPBEXunassignedItem 2 4" xfId="1432" xr:uid="{00000000-0005-0000-0000-000098050000}"/>
    <cellStyle name="SAPBEXunassignedItem 2 5" xfId="1433" xr:uid="{00000000-0005-0000-0000-000099050000}"/>
    <cellStyle name="SAPBEXunassignedItem 2 6" xfId="1434" xr:uid="{00000000-0005-0000-0000-00009A050000}"/>
    <cellStyle name="SAPBEXunassignedItem 2 7" xfId="1435" xr:uid="{00000000-0005-0000-0000-00009B050000}"/>
    <cellStyle name="SAPBEXunassignedItem 3" xfId="1436" xr:uid="{00000000-0005-0000-0000-00009C050000}"/>
    <cellStyle name="SAPBEXunassignedItem 4" xfId="1437" xr:uid="{00000000-0005-0000-0000-00009D050000}"/>
    <cellStyle name="SAPBEXunassignedItem 5" xfId="1438" xr:uid="{00000000-0005-0000-0000-00009E050000}"/>
    <cellStyle name="SAPBEXunassignedItem 6" xfId="1439" xr:uid="{00000000-0005-0000-0000-00009F050000}"/>
    <cellStyle name="SAPBEXunassignedItem 7" xfId="1440" xr:uid="{00000000-0005-0000-0000-0000A0050000}"/>
    <cellStyle name="SAPBEXunassignedItem 8" xfId="1441" xr:uid="{00000000-0005-0000-0000-0000A1050000}"/>
    <cellStyle name="SAPBEXundefined" xfId="56" xr:uid="{00000000-0005-0000-0000-0000A2050000}"/>
    <cellStyle name="SAPBEXundefined 10" xfId="1442" xr:uid="{00000000-0005-0000-0000-0000A3050000}"/>
    <cellStyle name="SAPBEXundefined 11" xfId="1443" xr:uid="{00000000-0005-0000-0000-0000A4050000}"/>
    <cellStyle name="SAPBEXundefined 12" xfId="1444" xr:uid="{00000000-0005-0000-0000-0000A5050000}"/>
    <cellStyle name="SAPBEXundefined 2" xfId="1445" xr:uid="{00000000-0005-0000-0000-0000A6050000}"/>
    <cellStyle name="SAPBEXundefined 2 10" xfId="1446" xr:uid="{00000000-0005-0000-0000-0000A7050000}"/>
    <cellStyle name="SAPBEXundefined 2 2" xfId="1447" xr:uid="{00000000-0005-0000-0000-0000A8050000}"/>
    <cellStyle name="SAPBEXundefined 2 3" xfId="1448" xr:uid="{00000000-0005-0000-0000-0000A9050000}"/>
    <cellStyle name="SAPBEXundefined 2 4" xfId="1449" xr:uid="{00000000-0005-0000-0000-0000AA050000}"/>
    <cellStyle name="SAPBEXundefined 2 5" xfId="1450" xr:uid="{00000000-0005-0000-0000-0000AB050000}"/>
    <cellStyle name="SAPBEXundefined 2 6" xfId="1451" xr:uid="{00000000-0005-0000-0000-0000AC050000}"/>
    <cellStyle name="SAPBEXundefined 2 7" xfId="1452" xr:uid="{00000000-0005-0000-0000-0000AD050000}"/>
    <cellStyle name="SAPBEXundefined 2 8" xfId="1453" xr:uid="{00000000-0005-0000-0000-0000AE050000}"/>
    <cellStyle name="SAPBEXundefined 2 9" xfId="1454" xr:uid="{00000000-0005-0000-0000-0000AF050000}"/>
    <cellStyle name="SAPBEXundefined 3" xfId="1455" xr:uid="{00000000-0005-0000-0000-0000B0050000}"/>
    <cellStyle name="SAPBEXundefined 4" xfId="1456" xr:uid="{00000000-0005-0000-0000-0000B1050000}"/>
    <cellStyle name="SAPBEXundefined 5" xfId="1457" xr:uid="{00000000-0005-0000-0000-0000B2050000}"/>
    <cellStyle name="SAPBEXundefined 6" xfId="1458" xr:uid="{00000000-0005-0000-0000-0000B3050000}"/>
    <cellStyle name="SAPBEXundefined 7" xfId="1459" xr:uid="{00000000-0005-0000-0000-0000B4050000}"/>
    <cellStyle name="SAPBEXundefined 8" xfId="1460" xr:uid="{00000000-0005-0000-0000-0000B5050000}"/>
    <cellStyle name="SAPBEXundefined 9" xfId="1461" xr:uid="{00000000-0005-0000-0000-0000B6050000}"/>
    <cellStyle name="Sheet Title" xfId="1462" xr:uid="{00000000-0005-0000-0000-0000B7050000}"/>
    <cellStyle name="Správně 2" xfId="1463" xr:uid="{00000000-0005-0000-0000-0000B8050000}"/>
    <cellStyle name="Správně 3" xfId="1464" xr:uid="{00000000-0005-0000-0000-0000B9050000}"/>
    <cellStyle name="Styl 1" xfId="1465" xr:uid="{00000000-0005-0000-0000-0000BA050000}"/>
    <cellStyle name="Subtotal" xfId="1466" xr:uid="{00000000-0005-0000-0000-0000BB050000}"/>
    <cellStyle name="Text upozornění 2" xfId="1467" xr:uid="{00000000-0005-0000-0000-0000BC050000}"/>
    <cellStyle name="Vstup 2" xfId="1468" xr:uid="{00000000-0005-0000-0000-0000BD050000}"/>
    <cellStyle name="Vstup 2 10" xfId="1469" xr:uid="{00000000-0005-0000-0000-0000BE050000}"/>
    <cellStyle name="Vstup 2 11" xfId="1470" xr:uid="{00000000-0005-0000-0000-0000BF050000}"/>
    <cellStyle name="Vstup 2 2" xfId="1471" xr:uid="{00000000-0005-0000-0000-0000C0050000}"/>
    <cellStyle name="Vstup 2 2 10" xfId="1472" xr:uid="{00000000-0005-0000-0000-0000C1050000}"/>
    <cellStyle name="Vstup 2 2 2" xfId="1473" xr:uid="{00000000-0005-0000-0000-0000C2050000}"/>
    <cellStyle name="Vstup 2 2 3" xfId="1474" xr:uid="{00000000-0005-0000-0000-0000C3050000}"/>
    <cellStyle name="Vstup 2 2 4" xfId="1475" xr:uid="{00000000-0005-0000-0000-0000C4050000}"/>
    <cellStyle name="Vstup 2 2 5" xfId="1476" xr:uid="{00000000-0005-0000-0000-0000C5050000}"/>
    <cellStyle name="Vstup 2 2 6" xfId="1477" xr:uid="{00000000-0005-0000-0000-0000C6050000}"/>
    <cellStyle name="Vstup 2 2 7" xfId="1478" xr:uid="{00000000-0005-0000-0000-0000C7050000}"/>
    <cellStyle name="Vstup 2 2 8" xfId="1479" xr:uid="{00000000-0005-0000-0000-0000C8050000}"/>
    <cellStyle name="Vstup 2 2 9" xfId="1480" xr:uid="{00000000-0005-0000-0000-0000C9050000}"/>
    <cellStyle name="Vstup 2 3" xfId="1481" xr:uid="{00000000-0005-0000-0000-0000CA050000}"/>
    <cellStyle name="Vstup 2 4" xfId="1482" xr:uid="{00000000-0005-0000-0000-0000CB050000}"/>
    <cellStyle name="Vstup 2 5" xfId="1483" xr:uid="{00000000-0005-0000-0000-0000CC050000}"/>
    <cellStyle name="Vstup 2 6" xfId="1484" xr:uid="{00000000-0005-0000-0000-0000CD050000}"/>
    <cellStyle name="Vstup 2 7" xfId="1485" xr:uid="{00000000-0005-0000-0000-0000CE050000}"/>
    <cellStyle name="Vstup 2 8" xfId="1486" xr:uid="{00000000-0005-0000-0000-0000CF050000}"/>
    <cellStyle name="Vstup 2 9" xfId="1487" xr:uid="{00000000-0005-0000-0000-0000D0050000}"/>
    <cellStyle name="Výpočet 2" xfId="1488" xr:uid="{00000000-0005-0000-0000-0000D1050000}"/>
    <cellStyle name="Výpočet 2 10" xfId="1489" xr:uid="{00000000-0005-0000-0000-0000D2050000}"/>
    <cellStyle name="Výpočet 2 11" xfId="1490" xr:uid="{00000000-0005-0000-0000-0000D3050000}"/>
    <cellStyle name="Výpočet 2 2" xfId="1491" xr:uid="{00000000-0005-0000-0000-0000D4050000}"/>
    <cellStyle name="Výpočet 2 2 10" xfId="1492" xr:uid="{00000000-0005-0000-0000-0000D5050000}"/>
    <cellStyle name="Výpočet 2 2 2" xfId="1493" xr:uid="{00000000-0005-0000-0000-0000D6050000}"/>
    <cellStyle name="Výpočet 2 2 3" xfId="1494" xr:uid="{00000000-0005-0000-0000-0000D7050000}"/>
    <cellStyle name="Výpočet 2 2 4" xfId="1495" xr:uid="{00000000-0005-0000-0000-0000D8050000}"/>
    <cellStyle name="Výpočet 2 2 5" xfId="1496" xr:uid="{00000000-0005-0000-0000-0000D9050000}"/>
    <cellStyle name="Výpočet 2 2 6" xfId="1497" xr:uid="{00000000-0005-0000-0000-0000DA050000}"/>
    <cellStyle name="Výpočet 2 2 7" xfId="1498" xr:uid="{00000000-0005-0000-0000-0000DB050000}"/>
    <cellStyle name="Výpočet 2 2 8" xfId="1499" xr:uid="{00000000-0005-0000-0000-0000DC050000}"/>
    <cellStyle name="Výpočet 2 2 9" xfId="1500" xr:uid="{00000000-0005-0000-0000-0000DD050000}"/>
    <cellStyle name="Výpočet 2 3" xfId="1501" xr:uid="{00000000-0005-0000-0000-0000DE050000}"/>
    <cellStyle name="Výpočet 2 4" xfId="1502" xr:uid="{00000000-0005-0000-0000-0000DF050000}"/>
    <cellStyle name="Výpočet 2 5" xfId="1503" xr:uid="{00000000-0005-0000-0000-0000E0050000}"/>
    <cellStyle name="Výpočet 2 6" xfId="1504" xr:uid="{00000000-0005-0000-0000-0000E1050000}"/>
    <cellStyle name="Výpočet 2 7" xfId="1505" xr:uid="{00000000-0005-0000-0000-0000E2050000}"/>
    <cellStyle name="Výpočet 2 8" xfId="1506" xr:uid="{00000000-0005-0000-0000-0000E3050000}"/>
    <cellStyle name="Výpočet 2 9" xfId="1507" xr:uid="{00000000-0005-0000-0000-0000E4050000}"/>
    <cellStyle name="Výstup 2" xfId="1508" xr:uid="{00000000-0005-0000-0000-0000E5050000}"/>
    <cellStyle name="Výstup 2 10" xfId="1509" xr:uid="{00000000-0005-0000-0000-0000E6050000}"/>
    <cellStyle name="Výstup 2 11" xfId="1510" xr:uid="{00000000-0005-0000-0000-0000E7050000}"/>
    <cellStyle name="Výstup 2 2" xfId="1511" xr:uid="{00000000-0005-0000-0000-0000E8050000}"/>
    <cellStyle name="Výstup 2 2 10" xfId="1512" xr:uid="{00000000-0005-0000-0000-0000E9050000}"/>
    <cellStyle name="Výstup 2 2 2" xfId="1513" xr:uid="{00000000-0005-0000-0000-0000EA050000}"/>
    <cellStyle name="Výstup 2 2 3" xfId="1514" xr:uid="{00000000-0005-0000-0000-0000EB050000}"/>
    <cellStyle name="Výstup 2 2 4" xfId="1515" xr:uid="{00000000-0005-0000-0000-0000EC050000}"/>
    <cellStyle name="Výstup 2 2 5" xfId="1516" xr:uid="{00000000-0005-0000-0000-0000ED050000}"/>
    <cellStyle name="Výstup 2 2 6" xfId="1517" xr:uid="{00000000-0005-0000-0000-0000EE050000}"/>
    <cellStyle name="Výstup 2 2 7" xfId="1518" xr:uid="{00000000-0005-0000-0000-0000EF050000}"/>
    <cellStyle name="Výstup 2 2 8" xfId="1519" xr:uid="{00000000-0005-0000-0000-0000F0050000}"/>
    <cellStyle name="Výstup 2 2 9" xfId="1520" xr:uid="{00000000-0005-0000-0000-0000F1050000}"/>
    <cellStyle name="Výstup 2 3" xfId="1521" xr:uid="{00000000-0005-0000-0000-0000F2050000}"/>
    <cellStyle name="Výstup 2 4" xfId="1522" xr:uid="{00000000-0005-0000-0000-0000F3050000}"/>
    <cellStyle name="Výstup 2 5" xfId="1523" xr:uid="{00000000-0005-0000-0000-0000F4050000}"/>
    <cellStyle name="Výstup 2 6" xfId="1524" xr:uid="{00000000-0005-0000-0000-0000F5050000}"/>
    <cellStyle name="Výstup 2 7" xfId="1525" xr:uid="{00000000-0005-0000-0000-0000F6050000}"/>
    <cellStyle name="Výstup 2 8" xfId="1526" xr:uid="{00000000-0005-0000-0000-0000F7050000}"/>
    <cellStyle name="Výstup 2 9" xfId="1527" xr:uid="{00000000-0005-0000-0000-0000F8050000}"/>
    <cellStyle name="Vysvětlující text 2" xfId="1528" xr:uid="{00000000-0005-0000-0000-0000F9050000}"/>
    <cellStyle name="Záhlaví 1" xfId="86" xr:uid="{00000000-0005-0000-0000-0000FA050000}"/>
    <cellStyle name="Záhlaví 2" xfId="87" xr:uid="{00000000-0005-0000-0000-0000FB050000}"/>
    <cellStyle name="Zvýraznění 1 2" xfId="1529" xr:uid="{00000000-0005-0000-0000-0000FC050000}"/>
    <cellStyle name="Zvýraznění 2 2" xfId="1530" xr:uid="{00000000-0005-0000-0000-0000FD050000}"/>
    <cellStyle name="Zvýraznění 3 2" xfId="1531" xr:uid="{00000000-0005-0000-0000-0000FE050000}"/>
    <cellStyle name="Zvýraznění 4 2" xfId="1532" xr:uid="{00000000-0005-0000-0000-0000FF050000}"/>
    <cellStyle name="Zvýraznění 5 2" xfId="1533" xr:uid="{00000000-0005-0000-0000-000000060000}"/>
    <cellStyle name="Zvýraznění 6 2" xfId="1534" xr:uid="{00000000-0005-0000-0000-000001060000}"/>
  </cellStyles>
  <dxfs count="0"/>
  <tableStyles count="0" defaultTableStyle="TableStyleMedium2" defaultPivotStyle="PivotStyleLight16"/>
  <colors>
    <mruColors>
      <color rgb="FF233060"/>
      <color rgb="FFF0948F"/>
      <color rgb="FF596387"/>
      <color rgb="FF9196B0"/>
      <color rgb="FFC7CCD6"/>
      <color rgb="FF79C1D5"/>
      <color rgb="FFCEF8FA"/>
      <color rgb="FF646363"/>
      <color rgb="FFDDFAF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'3.2'!$E$28:$E$39</c:f>
              <c:numCache>
                <c:formatCode>#,##0.0</c:formatCode>
                <c:ptCount val="12"/>
                <c:pt idx="0">
                  <c:v>3368.4318376071833</c:v>
                </c:pt>
                <c:pt idx="1">
                  <c:v>3030.8876179384415</c:v>
                </c:pt>
                <c:pt idx="2">
                  <c:v>3740.0577454539725</c:v>
                </c:pt>
                <c:pt idx="3">
                  <c:v>3646.2681503652043</c:v>
                </c:pt>
                <c:pt idx="4">
                  <c:v>3600.6119231410016</c:v>
                </c:pt>
                <c:pt idx="5">
                  <c:v>2992.0868665099147</c:v>
                </c:pt>
                <c:pt idx="6">
                  <c:v>1764.5666832355819</c:v>
                </c:pt>
                <c:pt idx="7">
                  <c:v>1260.4085447814048</c:v>
                </c:pt>
                <c:pt idx="8">
                  <c:v>776.19697855963193</c:v>
                </c:pt>
                <c:pt idx="9">
                  <c:v>1243.3218232701938</c:v>
                </c:pt>
                <c:pt idx="10">
                  <c:v>1046.5306776577318</c:v>
                </c:pt>
                <c:pt idx="11">
                  <c:v>615.20458505997794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'3.2'!$F$28:$F$39</c:f>
              <c:numCache>
                <c:formatCode>#,##0.0</c:formatCode>
                <c:ptCount val="12"/>
                <c:pt idx="0">
                  <c:v>-2936.875920396245</c:v>
                </c:pt>
                <c:pt idx="1">
                  <c:v>-2527.7966007449631</c:v>
                </c:pt>
                <c:pt idx="2">
                  <c:v>-3041.2181782033535</c:v>
                </c:pt>
                <c:pt idx="3">
                  <c:v>-2450.724807779794</c:v>
                </c:pt>
                <c:pt idx="4">
                  <c:v>-2386.8278837610524</c:v>
                </c:pt>
                <c:pt idx="5">
                  <c:v>-2183.7793839814467</c:v>
                </c:pt>
                <c:pt idx="6">
                  <c:v>-1059.5208547861516</c:v>
                </c:pt>
                <c:pt idx="7">
                  <c:v>-841.7128717077677</c:v>
                </c:pt>
                <c:pt idx="8">
                  <c:v>-253.64251109221692</c:v>
                </c:pt>
                <c:pt idx="9">
                  <c:v>-436.39778217979762</c:v>
                </c:pt>
                <c:pt idx="10">
                  <c:v>-298.48748553622977</c:v>
                </c:pt>
                <c:pt idx="11">
                  <c:v>-55.576579048827142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54269184"/>
        <c:axId val="154270720"/>
      </c:barChart>
      <c:catAx>
        <c:axId val="15426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4270720"/>
        <c:crosses val="autoZero"/>
        <c:auto val="1"/>
        <c:lblAlgn val="ctr"/>
        <c:lblOffset val="100"/>
        <c:noMultiLvlLbl val="0"/>
      </c:catAx>
      <c:valAx>
        <c:axId val="15427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426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369142748693663E-4"/>
          <c:y val="0.92056933894499138"/>
          <c:w val="0.19103510423252798"/>
          <c:h val="7.88861817906429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'4.3'!$H$45:$H$47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'4.3'!$I$45:$I$47</c:f>
              <c:numCache>
                <c:formatCode>#,##0</c:formatCode>
                <c:ptCount val="3"/>
                <c:pt idx="0">
                  <c:v>41738.842115884625</c:v>
                </c:pt>
                <c:pt idx="1">
                  <c:v>19274.311173230068</c:v>
                </c:pt>
                <c:pt idx="2">
                  <c:v>31166.905930590041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16544"/>
        <c:axId val="165122432"/>
      </c:barChart>
      <c:catAx>
        <c:axId val="16511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122432"/>
        <c:crosses val="autoZero"/>
        <c:auto val="1"/>
        <c:lblAlgn val="ctr"/>
        <c:lblOffset val="100"/>
        <c:noMultiLvlLbl val="0"/>
      </c:catAx>
      <c:valAx>
        <c:axId val="165122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16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2.0754852261096239E-2"/>
          <c:w val="0.49250688350604677"/>
          <c:h val="0.78653580802399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'5.1'!$B$43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'5.1'!$C$43:$D$43</c:f>
              <c:numCache>
                <c:formatCode>#,##0</c:formatCode>
                <c:ptCount val="2"/>
                <c:pt idx="0">
                  <c:v>507612.48893401044</c:v>
                </c:pt>
                <c:pt idx="1">
                  <c:v>710645.30506306805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'5.1'!$B$44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742970.66978171456</c:v>
                </c:pt>
                <c:pt idx="1">
                  <c:v>976241.92688788404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'5.1'!$B$45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966173.89357960108</c:v>
                </c:pt>
                <c:pt idx="1">
                  <c:v>1161888.1056025075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312768"/>
        <c:axId val="154272896"/>
      </c:barChart>
      <c:catAx>
        <c:axId val="1673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272896"/>
        <c:crosses val="autoZero"/>
        <c:auto val="1"/>
        <c:lblAlgn val="ctr"/>
        <c:lblOffset val="100"/>
        <c:noMultiLvlLbl val="0"/>
      </c:catAx>
      <c:valAx>
        <c:axId val="154272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731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548508955760597E-3"/>
          <c:y val="0.92454477860696616"/>
          <c:w val="0.36822587099093235"/>
          <c:h val="6.5980402449693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2.3809532736982653E-2"/>
          <c:w val="0.77090245307366301"/>
          <c:h val="0.793063289487547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'5.1'!$H$43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'5.1'!$I$43:$J$43</c:f>
              <c:numCache>
                <c:formatCode>0.0%</c:formatCode>
                <c:ptCount val="2"/>
                <c:pt idx="0">
                  <c:v>0.22898877818316021</c:v>
                </c:pt>
                <c:pt idx="1">
                  <c:v>0.24945642279863786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'5.1'!$H$44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0.33516107189662969</c:v>
                </c:pt>
                <c:pt idx="1">
                  <c:v>0.34268828223087783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'5.1'!$H$45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0.43585014992021026</c:v>
                </c:pt>
                <c:pt idx="1">
                  <c:v>0.40785529497048445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301952"/>
        <c:axId val="154303872"/>
      </c:barChart>
      <c:catAx>
        <c:axId val="15430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4303872"/>
        <c:crosses val="autoZero"/>
        <c:auto val="1"/>
        <c:lblAlgn val="ctr"/>
        <c:lblOffset val="100"/>
        <c:noMultiLvlLbl val="0"/>
      </c:catAx>
      <c:valAx>
        <c:axId val="154303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4301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4599030419658057"/>
          <c:h val="6.5327153773603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'5.2'!$C$42:$D$42</c:f>
              <c:numCache>
                <c:formatCode>#,##0</c:formatCode>
                <c:ptCount val="2"/>
                <c:pt idx="0">
                  <c:v>46754.81879759211</c:v>
                </c:pt>
                <c:pt idx="1">
                  <c:v>68956.541616257295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83652.864691224648</c:v>
                </c:pt>
                <c:pt idx="1">
                  <c:v>103776.94118583528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115598.32490901448</c:v>
                </c:pt>
                <c:pt idx="1">
                  <c:v>129100.15752305335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118400"/>
        <c:axId val="154124288"/>
      </c:barChart>
      <c:catAx>
        <c:axId val="1541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4124288"/>
        <c:crosses val="autoZero"/>
        <c:auto val="1"/>
        <c:lblAlgn val="ctr"/>
        <c:lblOffset val="100"/>
        <c:noMultiLvlLbl val="0"/>
      </c:catAx>
      <c:valAx>
        <c:axId val="154124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411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095451246888922E-3"/>
          <c:y val="0.92930668515436265"/>
          <c:w val="0.3503722759478039"/>
          <c:h val="5.99676464339194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3264503441494594E-2"/>
          <c:w val="0.77090245307366301"/>
          <c:h val="0.766756013905341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'5.2'!$H$42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'5.2'!$I$42:$J$42</c:f>
              <c:numCache>
                <c:formatCode>0.0%</c:formatCode>
                <c:ptCount val="2"/>
                <c:pt idx="0">
                  <c:v>0.19005559702420785</c:v>
                </c:pt>
                <c:pt idx="1">
                  <c:v>0.22845876802193038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0.34004399012866593</c:v>
                </c:pt>
                <c:pt idx="1">
                  <c:v>0.34382165312667951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0.46990041284712608</c:v>
                </c:pt>
                <c:pt idx="1">
                  <c:v>0.42771957885138995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69536"/>
        <c:axId val="162371456"/>
      </c:barChart>
      <c:catAx>
        <c:axId val="1623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371456"/>
        <c:crosses val="autoZero"/>
        <c:auto val="1"/>
        <c:lblAlgn val="ctr"/>
        <c:lblOffset val="100"/>
        <c:noMultiLvlLbl val="0"/>
      </c:catAx>
      <c:valAx>
        <c:axId val="162371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2369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196304938297599"/>
          <c:h val="6.03185054086669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569055036344756E-2"/>
          <c:w val="0.77090245307366301"/>
          <c:h val="0.7578305982780190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'5.3'!$H$42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'5.3'!$I$42:$J$42</c:f>
              <c:numCache>
                <c:formatCode>0.0%</c:formatCode>
                <c:ptCount val="2"/>
                <c:pt idx="0">
                  <c:v>0.22883889976079999</c:v>
                </c:pt>
                <c:pt idx="1">
                  <c:v>0.25923527199734081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0.33802284754303513</c:v>
                </c:pt>
                <c:pt idx="1">
                  <c:v>0.33539640190604691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0.43313825269616502</c:v>
                </c:pt>
                <c:pt idx="1">
                  <c:v>0.40536832609661211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499648"/>
        <c:axId val="167329792"/>
      </c:barChart>
      <c:catAx>
        <c:axId val="16749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329792"/>
        <c:crosses val="autoZero"/>
        <c:auto val="1"/>
        <c:lblAlgn val="ctr"/>
        <c:lblOffset val="100"/>
        <c:noMultiLvlLbl val="0"/>
      </c:catAx>
      <c:valAx>
        <c:axId val="167329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7499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7553732385528067E-2"/>
          <c:y val="0.92930668515436265"/>
          <c:w val="0.5196304938297599"/>
          <c:h val="6.3704044589688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'5.3'!$C$42:$D$42</c:f>
              <c:numCache>
                <c:formatCode>#,##0</c:formatCode>
                <c:ptCount val="2"/>
                <c:pt idx="0">
                  <c:v>405364.86610641831</c:v>
                </c:pt>
                <c:pt idx="1">
                  <c:v>602642.6734468108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598773.13900048996</c:v>
                </c:pt>
                <c:pt idx="1">
                  <c:v>779693.99284204864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767260.41767058661</c:v>
                </c:pt>
                <c:pt idx="1">
                  <c:v>942357.30302945373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96032"/>
        <c:axId val="162397568"/>
      </c:barChart>
      <c:catAx>
        <c:axId val="1623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2397568"/>
        <c:crosses val="autoZero"/>
        <c:auto val="1"/>
        <c:lblAlgn val="ctr"/>
        <c:lblOffset val="100"/>
        <c:noMultiLvlLbl val="0"/>
      </c:catAx>
      <c:valAx>
        <c:axId val="162397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396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2894384643200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'5.4'!$C$42:$D$42</c:f>
              <c:numCache>
                <c:formatCode>#,##0</c:formatCode>
                <c:ptCount val="2"/>
                <c:pt idx="0">
                  <c:v>19198.521990000001</c:v>
                </c:pt>
                <c:pt idx="1">
                  <c:v>28060.032009999999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29740.346000000001</c:v>
                </c:pt>
                <c:pt idx="1">
                  <c:v>38992.286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38154.130010000001</c:v>
                </c:pt>
                <c:pt idx="1">
                  <c:v>43745.061989999995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995840"/>
        <c:axId val="168997632"/>
      </c:barChart>
      <c:catAx>
        <c:axId val="1689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997632"/>
        <c:crosses val="autoZero"/>
        <c:auto val="1"/>
        <c:lblAlgn val="ctr"/>
        <c:lblOffset val="100"/>
        <c:noMultiLvlLbl val="0"/>
      </c:catAx>
      <c:valAx>
        <c:axId val="168997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899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3507830899987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2380972021361841E-2"/>
          <c:w val="0.77090245307366301"/>
          <c:h val="0.741417600831496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'5.4'!$H$42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'5.4'!$I$42:$J$42</c:f>
              <c:numCache>
                <c:formatCode>0.0%</c:formatCode>
                <c:ptCount val="2"/>
                <c:pt idx="0">
                  <c:v>0.2204370320332755</c:v>
                </c:pt>
                <c:pt idx="1">
                  <c:v>0.25325537490146421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0.34147803707480595</c:v>
                </c:pt>
                <c:pt idx="1">
                  <c:v>0.35192426030290602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0.43808493089191852</c:v>
                </c:pt>
                <c:pt idx="1">
                  <c:v>0.39482036479562954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57280"/>
        <c:axId val="168659200"/>
      </c:barChart>
      <c:catAx>
        <c:axId val="1686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659200"/>
        <c:crosses val="autoZero"/>
        <c:auto val="1"/>
        <c:lblAlgn val="ctr"/>
        <c:lblOffset val="100"/>
        <c:noMultiLvlLbl val="0"/>
      </c:catAx>
      <c:valAx>
        <c:axId val="168659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5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445173497922801E-2"/>
          <c:y val="0.92930668515436265"/>
          <c:w val="0.5196304938297599"/>
          <c:h val="6.39014744799462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'5.5'!$C$42:$D$42</c:f>
              <c:numCache>
                <c:formatCode>#,##0</c:formatCode>
                <c:ptCount val="2"/>
                <c:pt idx="0">
                  <c:v>36294.282039999998</c:v>
                </c:pt>
                <c:pt idx="1">
                  <c:v>10986.057990000001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30804.320090000001</c:v>
                </c:pt>
                <c:pt idx="1">
                  <c:v>53778.706859999984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45161.02098999999</c:v>
                </c:pt>
                <c:pt idx="1">
                  <c:v>46685.583060000012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018880"/>
        <c:axId val="169020416"/>
      </c:barChart>
      <c:catAx>
        <c:axId val="169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20416"/>
        <c:crosses val="autoZero"/>
        <c:auto val="1"/>
        <c:lblAlgn val="ctr"/>
        <c:lblOffset val="100"/>
        <c:noMultiLvlLbl val="0"/>
      </c:catAx>
      <c:valAx>
        <c:axId val="169020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90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677883821858886"/>
          <c:w val="0.3503722759478039"/>
          <c:h val="7.32211674783457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'3.2'!$N$28:$N$39</c:f>
              <c:numCache>
                <c:formatCode>#,##0.0</c:formatCode>
                <c:ptCount val="12"/>
                <c:pt idx="0">
                  <c:v>678.60557000000006</c:v>
                </c:pt>
                <c:pt idx="1">
                  <c:v>384.90369700000002</c:v>
                </c:pt>
                <c:pt idx="2">
                  <c:v>267.33676600000001</c:v>
                </c:pt>
                <c:pt idx="3">
                  <c:v>58.112975999999996</c:v>
                </c:pt>
                <c:pt idx="4">
                  <c:v>0</c:v>
                </c:pt>
                <c:pt idx="5">
                  <c:v>1.0541230000000001</c:v>
                </c:pt>
                <c:pt idx="6">
                  <c:v>0.967611</c:v>
                </c:pt>
                <c:pt idx="7">
                  <c:v>1.9614500000000001</c:v>
                </c:pt>
                <c:pt idx="8">
                  <c:v>3.5981879999999999</c:v>
                </c:pt>
                <c:pt idx="9">
                  <c:v>4.3354999999999998E-2</c:v>
                </c:pt>
                <c:pt idx="10">
                  <c:v>90.356905999999995</c:v>
                </c:pt>
                <c:pt idx="11">
                  <c:v>476.41323899999992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'3.2'!$O$28:$O$39</c:f>
              <c:numCache>
                <c:formatCode>#,##0.0</c:formatCode>
                <c:ptCount val="12"/>
                <c:pt idx="0">
                  <c:v>-2.2123170000000001</c:v>
                </c:pt>
                <c:pt idx="1">
                  <c:v>-13.730227999999999</c:v>
                </c:pt>
                <c:pt idx="2">
                  <c:v>-82.844617999999983</c:v>
                </c:pt>
                <c:pt idx="3">
                  <c:v>-583.95101499999998</c:v>
                </c:pt>
                <c:pt idx="4">
                  <c:v>-843.36109899999997</c:v>
                </c:pt>
                <c:pt idx="5">
                  <c:v>-488.84463900000003</c:v>
                </c:pt>
                <c:pt idx="6">
                  <c:v>-419.18194199999999</c:v>
                </c:pt>
                <c:pt idx="7">
                  <c:v>-132.453382</c:v>
                </c:pt>
                <c:pt idx="8">
                  <c:v>-156.05039400000001</c:v>
                </c:pt>
                <c:pt idx="9">
                  <c:v>-312.054394</c:v>
                </c:pt>
                <c:pt idx="10">
                  <c:v>-98.602405000000005</c:v>
                </c:pt>
                <c:pt idx="11">
                  <c:v>-84.486763999999994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62464128"/>
        <c:axId val="162465664"/>
      </c:barChart>
      <c:catAx>
        <c:axId val="16246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465664"/>
        <c:crosses val="autoZero"/>
        <c:auto val="1"/>
        <c:lblAlgn val="ctr"/>
        <c:lblOffset val="100"/>
        <c:noMultiLvlLbl val="0"/>
      </c:catAx>
      <c:valAx>
        <c:axId val="16246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46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891071983580152E-3"/>
          <c:y val="0.92037766542394239"/>
          <c:w val="0.19180372348222202"/>
          <c:h val="7.907523343339069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4522924411400248E-2"/>
          <c:w val="0.77090245307366301"/>
          <c:h val="0.750670218267326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'5.5'!$H$42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'5.5'!$I$42:$J$42</c:f>
              <c:numCache>
                <c:formatCode>0.0%</c:formatCode>
                <c:ptCount val="2"/>
                <c:pt idx="0">
                  <c:v>0.32330664428833156</c:v>
                </c:pt>
                <c:pt idx="1">
                  <c:v>9.8573563887585355E-2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0.27440248981658977</c:v>
                </c:pt>
                <c:pt idx="1">
                  <c:v>0.4825351187187692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0.40229086589507868</c:v>
                </c:pt>
                <c:pt idx="1">
                  <c:v>0.41889131739364532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88640"/>
        <c:axId val="169047168"/>
      </c:barChart>
      <c:catAx>
        <c:axId val="16868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47168"/>
        <c:crosses val="autoZero"/>
        <c:auto val="1"/>
        <c:lblAlgn val="ctr"/>
        <c:lblOffset val="100"/>
        <c:noMultiLvlLbl val="0"/>
      </c:catAx>
      <c:valAx>
        <c:axId val="169047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88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641590804866869"/>
          <c:w val="0.5196304938297599"/>
          <c:h val="7.358391856423351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46754.81879759211</c:v>
                </c:pt>
                <c:pt idx="1">
                  <c:v>405364.86610641831</c:v>
                </c:pt>
                <c:pt idx="2">
                  <c:v>19198.521990000001</c:v>
                </c:pt>
                <c:pt idx="3">
                  <c:v>36294.282039999998</c:v>
                </c:pt>
                <c:pt idx="4">
                  <c:v>507612.48893401044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633856"/>
        <c:axId val="170647936"/>
      </c:barChart>
      <c:catAx>
        <c:axId val="170633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647936"/>
        <c:crosses val="autoZero"/>
        <c:auto val="1"/>
        <c:lblAlgn val="ctr"/>
        <c:lblOffset val="100"/>
        <c:noMultiLvlLbl val="0"/>
      </c:catAx>
      <c:valAx>
        <c:axId val="1706479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6338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5D4-4309-9AED-1B1D39D8D9A1}"/>
              </c:ext>
            </c:extLst>
          </c:dPt>
          <c:dPt>
            <c:idx val="1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3-75D4-4309-9AED-1B1D39D8D9A1}"/>
              </c:ext>
            </c:extLst>
          </c:dPt>
          <c:dPt>
            <c:idx val="2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4-75D4-4309-9AED-1B1D39D8D9A1}"/>
              </c:ext>
            </c:extLst>
          </c:dPt>
          <c:dPt>
            <c:idx val="3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5-75D4-4309-9AED-1B1D39D8D9A1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#,##0.0</c:formatCode>
                <c:ptCount val="5"/>
                <c:pt idx="0">
                  <c:v>11.851612903225805</c:v>
                </c:pt>
                <c:pt idx="1">
                  <c:v>10.737634408602148</c:v>
                </c:pt>
                <c:pt idx="2">
                  <c:v>10.74516129032258</c:v>
                </c:pt>
                <c:pt idx="3">
                  <c:v>10.777419354838711</c:v>
                </c:pt>
                <c:pt idx="4">
                  <c:v>10.777419354838711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275584"/>
        <c:axId val="170277120"/>
      </c:barChart>
      <c:catAx>
        <c:axId val="170275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277120"/>
        <c:crosses val="autoZero"/>
        <c:auto val="1"/>
        <c:lblAlgn val="ctr"/>
        <c:lblOffset val="100"/>
        <c:noMultiLvlLbl val="0"/>
      </c:catAx>
      <c:valAx>
        <c:axId val="1702771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275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787178035960902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#,##0.0</c:formatCode>
                <c:ptCount val="5"/>
                <c:pt idx="0">
                  <c:v>16.600000000000001</c:v>
                </c:pt>
                <c:pt idx="1">
                  <c:v>14.949999999999998</c:v>
                </c:pt>
                <c:pt idx="2">
                  <c:v>14.9</c:v>
                </c:pt>
                <c:pt idx="3">
                  <c:v>14.9</c:v>
                </c:pt>
                <c:pt idx="4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#,##0.0</c:formatCode>
                <c:ptCount val="5"/>
                <c:pt idx="0">
                  <c:v>7.5</c:v>
                </c:pt>
                <c:pt idx="1">
                  <c:v>6.2833333333333341</c:v>
                </c:pt>
                <c:pt idx="2">
                  <c:v>6.5</c:v>
                </c:pt>
                <c:pt idx="3">
                  <c:v>6.4</c:v>
                </c:pt>
                <c:pt idx="4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308352"/>
        <c:axId val="170309888"/>
      </c:barChart>
      <c:catAx>
        <c:axId val="170308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309888"/>
        <c:crosses val="autoZero"/>
        <c:auto val="1"/>
        <c:lblAlgn val="ctr"/>
        <c:lblOffset val="100"/>
        <c:noMultiLvlLbl val="0"/>
      </c:catAx>
      <c:valAx>
        <c:axId val="1703098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308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092697417917585"/>
                  <c:y val="0.240030492511965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33687823658444793"/>
                  <c:y val="-0.10087926509186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9.1761723357055621E-3"/>
                  <c:y val="0.200859194071329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9.210730590135309E-2</c:v>
                </c:pt>
                <c:pt idx="1">
                  <c:v>0.79857149881731082</c:v>
                </c:pt>
                <c:pt idx="2">
                  <c:v>3.7821216791409179E-2</c:v>
                </c:pt>
                <c:pt idx="3">
                  <c:v>7.1499978489926896E-2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83652.864691224648</c:v>
                </c:pt>
                <c:pt idx="1">
                  <c:v>598773.13900048996</c:v>
                </c:pt>
                <c:pt idx="2">
                  <c:v>29740.346000000001</c:v>
                </c:pt>
                <c:pt idx="3">
                  <c:v>30804.320090000001</c:v>
                </c:pt>
                <c:pt idx="4">
                  <c:v>742970.66978171468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68960"/>
        <c:axId val="170970496"/>
      </c:barChart>
      <c:catAx>
        <c:axId val="1709689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970496"/>
        <c:crosses val="autoZero"/>
        <c:auto val="1"/>
        <c:lblAlgn val="ctr"/>
        <c:lblOffset val="100"/>
        <c:noMultiLvlLbl val="0"/>
      </c:catAx>
      <c:valAx>
        <c:axId val="1709704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689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#,##0.0</c:formatCode>
                <c:ptCount val="5"/>
                <c:pt idx="0">
                  <c:v>5.0666666666666664</c:v>
                </c:pt>
                <c:pt idx="1">
                  <c:v>4.2255555555555553</c:v>
                </c:pt>
                <c:pt idx="2">
                  <c:v>4.0166666666666657</c:v>
                </c:pt>
                <c:pt idx="3">
                  <c:v>4.2466666666666661</c:v>
                </c:pt>
                <c:pt idx="4">
                  <c:v>4.2466666666666661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095168"/>
        <c:axId val="169096704"/>
      </c:barChart>
      <c:catAx>
        <c:axId val="169095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9096704"/>
        <c:crosses val="autoZero"/>
        <c:auto val="1"/>
        <c:lblAlgn val="ctr"/>
        <c:lblOffset val="100"/>
        <c:noMultiLvlLbl val="0"/>
      </c:catAx>
      <c:valAx>
        <c:axId val="1690967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095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117089963161121"/>
          <c:h val="0.829987579364642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#,##0.0</c:formatCode>
                <c:ptCount val="5"/>
                <c:pt idx="0">
                  <c:v>10.6</c:v>
                </c:pt>
                <c:pt idx="1">
                  <c:v>10.283333333333333</c:v>
                </c:pt>
                <c:pt idx="2">
                  <c:v>10.8</c:v>
                </c:pt>
                <c:pt idx="3">
                  <c:v>10.4</c:v>
                </c:pt>
                <c:pt idx="4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#,##0.0</c:formatCode>
                <c:ptCount val="5"/>
                <c:pt idx="0">
                  <c:v>-2.7</c:v>
                </c:pt>
                <c:pt idx="1">
                  <c:v>-3.7833333333333337</c:v>
                </c:pt>
                <c:pt idx="2">
                  <c:v>-2.8</c:v>
                </c:pt>
                <c:pt idx="3">
                  <c:v>-3.5</c:v>
                </c:pt>
                <c:pt idx="4">
                  <c:v>-3.5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811392"/>
        <c:axId val="170812928"/>
      </c:barChart>
      <c:catAx>
        <c:axId val="170811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812928"/>
        <c:crosses val="autoZero"/>
        <c:auto val="1"/>
        <c:lblAlgn val="ctr"/>
        <c:lblOffset val="100"/>
        <c:noMultiLvlLbl val="0"/>
      </c:catAx>
      <c:valAx>
        <c:axId val="170812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81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6884366845236024"/>
                  <c:y val="0.23022695692450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33491624552514565"/>
                  <c:y val="-9.46436289103438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0.11259241864258507</c:v>
                </c:pt>
                <c:pt idx="1">
                  <c:v>0.80591759991872891</c:v>
                </c:pt>
                <c:pt idx="2">
                  <c:v>4.0028963739225043E-2</c:v>
                </c:pt>
                <c:pt idx="3">
                  <c:v>4.1461017699460916E-2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115598.32490901448</c:v>
                </c:pt>
                <c:pt idx="1">
                  <c:v>767260.41767058661</c:v>
                </c:pt>
                <c:pt idx="2">
                  <c:v>38154.130010000001</c:v>
                </c:pt>
                <c:pt idx="3">
                  <c:v>45161.02098999999</c:v>
                </c:pt>
                <c:pt idx="4">
                  <c:v>966173.89357960108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719488"/>
        <c:axId val="168721024"/>
      </c:barChart>
      <c:catAx>
        <c:axId val="168719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721024"/>
        <c:crosses val="autoZero"/>
        <c:auto val="1"/>
        <c:lblAlgn val="ctr"/>
        <c:lblOffset val="100"/>
        <c:noMultiLvlLbl val="0"/>
      </c:catAx>
      <c:valAx>
        <c:axId val="1687210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194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87667222797443E-2"/>
          <c:y val="7.1139872600047768E-2"/>
          <c:w val="0.876392993628898"/>
          <c:h val="0.60742706380742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'4.1'!$E$28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'4.1'!$E$29:$E$40</c:f>
              <c:numCache>
                <c:formatCode>#,##0.0</c:formatCode>
                <c:ptCount val="12"/>
                <c:pt idx="0">
                  <c:v>1134.2625732048143</c:v>
                </c:pt>
                <c:pt idx="1">
                  <c:v>890.50037327489224</c:v>
                </c:pt>
                <c:pt idx="2">
                  <c:v>922.61982519439664</c:v>
                </c:pt>
                <c:pt idx="3">
                  <c:v>671.36203982845257</c:v>
                </c:pt>
                <c:pt idx="4">
                  <c:v>388.89642773175905</c:v>
                </c:pt>
                <c:pt idx="5">
                  <c:v>336.35371810523372</c:v>
                </c:pt>
                <c:pt idx="6">
                  <c:v>288.56926119243906</c:v>
                </c:pt>
                <c:pt idx="7">
                  <c:v>311.10451066410326</c:v>
                </c:pt>
                <c:pt idx="8">
                  <c:v>383.35752637665405</c:v>
                </c:pt>
                <c:pt idx="9">
                  <c:v>507.61226713839142</c:v>
                </c:pt>
                <c:pt idx="10">
                  <c:v>742.97073046417756</c:v>
                </c:pt>
                <c:pt idx="11">
                  <c:v>966.1740838482915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'4.1'!$F$28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'4.1'!$F$29:$F$40</c:f>
              <c:numCache>
                <c:formatCode>#,##0.0</c:formatCode>
                <c:ptCount val="12"/>
                <c:pt idx="0">
                  <c:v>1205.7431048765241</c:v>
                </c:pt>
                <c:pt idx="1">
                  <c:v>992.34776233082323</c:v>
                </c:pt>
                <c:pt idx="2">
                  <c:v>915.4910560358029</c:v>
                </c:pt>
                <c:pt idx="3">
                  <c:v>605.2961340668877</c:v>
                </c:pt>
                <c:pt idx="4">
                  <c:v>408.72629326716236</c:v>
                </c:pt>
                <c:pt idx="5">
                  <c:v>343.04053123321125</c:v>
                </c:pt>
                <c:pt idx="6">
                  <c:v>290.00651385366569</c:v>
                </c:pt>
                <c:pt idx="7">
                  <c:v>316.66361055716817</c:v>
                </c:pt>
                <c:pt idx="8">
                  <c:v>364.5525872537109</c:v>
                </c:pt>
                <c:pt idx="9">
                  <c:v>577.43339153499517</c:v>
                </c:pt>
                <c:pt idx="10">
                  <c:v>772.59063952517204</c:v>
                </c:pt>
                <c:pt idx="11">
                  <c:v>990.38152332141499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85632"/>
        <c:axId val="162887168"/>
      </c:barChart>
      <c:catAx>
        <c:axId val="16288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887168"/>
        <c:crosses val="autoZero"/>
        <c:auto val="1"/>
        <c:lblAlgn val="ctr"/>
        <c:lblOffset val="100"/>
        <c:noMultiLvlLbl val="0"/>
      </c:catAx>
      <c:valAx>
        <c:axId val="16288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85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090010774851205E-3"/>
          <c:y val="0.89268772123053763"/>
          <c:w val="0.28870175114184005"/>
          <c:h val="9.601031095304514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#,##0.0</c:formatCode>
                <c:ptCount val="5"/>
                <c:pt idx="0">
                  <c:v>1.9580645161290322</c:v>
                </c:pt>
                <c:pt idx="1">
                  <c:v>0.43978494623655912</c:v>
                </c:pt>
                <c:pt idx="2">
                  <c:v>0.35806451612903228</c:v>
                </c:pt>
                <c:pt idx="3">
                  <c:v>0.43548387096774194</c:v>
                </c:pt>
                <c:pt idx="4">
                  <c:v>0.43548387096774194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00480"/>
        <c:axId val="170902272"/>
      </c:barChart>
      <c:catAx>
        <c:axId val="170900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902272"/>
        <c:crosses val="autoZero"/>
        <c:auto val="1"/>
        <c:lblAlgn val="ctr"/>
        <c:lblOffset val="100"/>
        <c:noMultiLvlLbl val="0"/>
      </c:catAx>
      <c:valAx>
        <c:axId val="1709022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0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8142457232510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#,##0.0</c:formatCode>
                <c:ptCount val="5"/>
                <c:pt idx="0">
                  <c:v>14.5</c:v>
                </c:pt>
                <c:pt idx="1">
                  <c:v>9.5833333333333339</c:v>
                </c:pt>
                <c:pt idx="2">
                  <c:v>10.8</c:v>
                </c:pt>
                <c:pt idx="3">
                  <c:v>9.5</c:v>
                </c:pt>
                <c:pt idx="4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#,##0.0</c:formatCode>
                <c:ptCount val="5"/>
                <c:pt idx="0">
                  <c:v>-8.8000000000000007</c:v>
                </c:pt>
                <c:pt idx="1">
                  <c:v>-8.2666666666666675</c:v>
                </c:pt>
                <c:pt idx="2">
                  <c:v>-9.8000000000000007</c:v>
                </c:pt>
                <c:pt idx="3">
                  <c:v>-8.5</c:v>
                </c:pt>
                <c:pt idx="4">
                  <c:v>-8.5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795136"/>
        <c:axId val="168796928"/>
      </c:barChart>
      <c:catAx>
        <c:axId val="168795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796928"/>
        <c:crosses val="autoZero"/>
        <c:auto val="1"/>
        <c:lblAlgn val="ctr"/>
        <c:lblOffset val="100"/>
        <c:noMultiLvlLbl val="0"/>
      </c:catAx>
      <c:valAx>
        <c:axId val="168796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95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spPr>
            <a:solidFill>
              <a:srgbClr val="233060"/>
            </a:solidFill>
          </c:spPr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7481783779673074"/>
                  <c:y val="0.21061911378724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6759483548082744"/>
                  <c:y val="-9.1075343523236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0.11964546514575285</c:v>
                </c:pt>
                <c:pt idx="1">
                  <c:v>0.79412248951163944</c:v>
                </c:pt>
                <c:pt idx="2">
                  <c:v>3.9489920255081454E-2</c:v>
                </c:pt>
                <c:pt idx="3">
                  <c:v>4.6742125087526253E-2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246006.00839783126</c:v>
                </c:pt>
                <c:pt idx="1">
                  <c:v>1771398.4227774946</c:v>
                </c:pt>
                <c:pt idx="2">
                  <c:v>87092.998000000007</c:v>
                </c:pt>
                <c:pt idx="3">
                  <c:v>112259.62311999999</c:v>
                </c:pt>
                <c:pt idx="4">
                  <c:v>2216757.0522953258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28576"/>
        <c:axId val="171530112"/>
      </c:barChart>
      <c:catAx>
        <c:axId val="171528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1530112"/>
        <c:crosses val="autoZero"/>
        <c:auto val="1"/>
        <c:lblAlgn val="ctr"/>
        <c:lblOffset val="100"/>
        <c:noMultiLvlLbl val="0"/>
      </c:catAx>
      <c:valAx>
        <c:axId val="1715301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28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#,##0.0</c:formatCode>
                <c:ptCount val="5"/>
                <c:pt idx="0">
                  <c:v>6.2921146953405005</c:v>
                </c:pt>
                <c:pt idx="1">
                  <c:v>5.1343249701314209</c:v>
                </c:pt>
                <c:pt idx="2">
                  <c:v>5.0399641577060921</c:v>
                </c:pt>
                <c:pt idx="3">
                  <c:v>5.1531899641577068</c:v>
                </c:pt>
                <c:pt idx="4">
                  <c:v>5.1531899641577068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63264"/>
        <c:axId val="171569152"/>
      </c:barChart>
      <c:catAx>
        <c:axId val="1715632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569152"/>
        <c:crosses val="autoZero"/>
        <c:auto val="1"/>
        <c:lblAlgn val="ctr"/>
        <c:lblOffset val="100"/>
        <c:noMultiLvlLbl val="0"/>
      </c:catAx>
      <c:valAx>
        <c:axId val="171569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6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1721442089768441"/>
          <c:h val="0.802050017469831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#,##0.0</c:formatCode>
                <c:ptCount val="5"/>
                <c:pt idx="0">
                  <c:v>16.600000000000001</c:v>
                </c:pt>
                <c:pt idx="1">
                  <c:v>14.949999999999998</c:v>
                </c:pt>
                <c:pt idx="2">
                  <c:v>14.9</c:v>
                </c:pt>
                <c:pt idx="3">
                  <c:v>14.9</c:v>
                </c:pt>
                <c:pt idx="4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#,##0.0</c:formatCode>
                <c:ptCount val="5"/>
                <c:pt idx="0">
                  <c:v>-8.8000000000000007</c:v>
                </c:pt>
                <c:pt idx="1">
                  <c:v>-8.2666666666666675</c:v>
                </c:pt>
                <c:pt idx="2">
                  <c:v>-9.8000000000000007</c:v>
                </c:pt>
                <c:pt idx="3">
                  <c:v>-8.5</c:v>
                </c:pt>
                <c:pt idx="4">
                  <c:v>-8.5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600128"/>
        <c:axId val="171601920"/>
      </c:barChart>
      <c:catAx>
        <c:axId val="171600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601920"/>
        <c:crosses val="autoZero"/>
        <c:auto val="1"/>
        <c:lblAlgn val="ctr"/>
        <c:lblOffset val="100"/>
        <c:noMultiLvlLbl val="0"/>
      </c:catAx>
      <c:valAx>
        <c:axId val="1716019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60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7801356659866183"/>
                  <c:y val="0.200815192218619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33594444964749431"/>
                  <c:y val="-0.113573329649583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0.11097562908082599</c:v>
                </c:pt>
                <c:pt idx="1">
                  <c:v>0.79909452456384988</c:v>
                </c:pt>
                <c:pt idx="2">
                  <c:v>3.9288472279729598E-2</c:v>
                </c:pt>
                <c:pt idx="3">
                  <c:v>5.0641374075594589E-2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8368183584301"/>
          <c:y val="6.4472404866917424E-2"/>
          <c:w val="0.7690258581725623"/>
          <c:h val="0.73605807575454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'5.10'!$D$31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'5.10'!$E$31:$H$31</c:f>
              <c:numCache>
                <c:formatCode>General</c:formatCode>
                <c:ptCount val="4"/>
                <c:pt idx="0">
                  <c:v>333505.95894312812</c:v>
                </c:pt>
                <c:pt idx="1">
                  <c:v>2379425.2386532133</c:v>
                </c:pt>
                <c:pt idx="2">
                  <c:v>118544.4</c:v>
                </c:pt>
                <c:pt idx="3">
                  <c:v>115907.12813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'5.10'!$D$32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121522.14989162906</c:v>
                </c:pt>
                <c:pt idx="1">
                  <c:v>1136157.3628188428</c:v>
                </c:pt>
                <c:pt idx="2">
                  <c:v>54774.993010000006</c:v>
                </c:pt>
                <c:pt idx="3">
                  <c:v>84158.310919999989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'5.10'!$D$33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67194.707296856985</c:v>
                </c:pt>
                <c:pt idx="1">
                  <c:v>776178.79148161388</c:v>
                </c:pt>
                <c:pt idx="2">
                  <c:v>36035.996979999996</c:v>
                </c:pt>
                <c:pt idx="3">
                  <c:v>103622.38919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'5.10'!$D$34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246006.00839783123</c:v>
                </c:pt>
                <c:pt idx="1">
                  <c:v>1771398.4227774949</c:v>
                </c:pt>
                <c:pt idx="2">
                  <c:v>87092.997999999992</c:v>
                </c:pt>
                <c:pt idx="3">
                  <c:v>112259.62311999999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1329792"/>
        <c:axId val="171335680"/>
      </c:barChart>
      <c:catAx>
        <c:axId val="17132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1335680"/>
        <c:crosses val="autoZero"/>
        <c:auto val="1"/>
        <c:lblAlgn val="ctr"/>
        <c:lblOffset val="100"/>
        <c:noMultiLvlLbl val="0"/>
      </c:catAx>
      <c:valAx>
        <c:axId val="17133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71329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666270190546593E-3"/>
          <c:y val="0.92739706505758956"/>
          <c:w val="0.42063452038283733"/>
          <c:h val="5.04952059563983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'6.8'!$D$7:$D$20</c:f>
              <c:numCache>
                <c:formatCode>#,##0</c:formatCode>
                <c:ptCount val="14"/>
                <c:pt idx="0">
                  <c:v>183981.74030999999</c:v>
                </c:pt>
                <c:pt idx="1">
                  <c:v>713009.81228999991</c:v>
                </c:pt>
                <c:pt idx="2">
                  <c:v>141367.20634000006</c:v>
                </c:pt>
                <c:pt idx="3">
                  <c:v>215342.58212000004</c:v>
                </c:pt>
                <c:pt idx="4">
                  <c:v>204889.55538999999</c:v>
                </c:pt>
                <c:pt idx="5">
                  <c:v>534388.74297000002</c:v>
                </c:pt>
                <c:pt idx="6">
                  <c:v>320247.2458700001</c:v>
                </c:pt>
                <c:pt idx="7">
                  <c:v>230356.43419000006</c:v>
                </c:pt>
                <c:pt idx="8">
                  <c:v>253613.86405</c:v>
                </c:pt>
                <c:pt idx="9">
                  <c:v>499711.40058299288</c:v>
                </c:pt>
                <c:pt idx="10">
                  <c:v>802458.49357100006</c:v>
                </c:pt>
                <c:pt idx="11">
                  <c:v>920658.53007000021</c:v>
                </c:pt>
                <c:pt idx="12">
                  <c:v>201002.96512000004</c:v>
                </c:pt>
                <c:pt idx="13">
                  <c:v>237629.34458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227200"/>
        <c:axId val="170676608"/>
      </c:barChart>
      <c:catAx>
        <c:axId val="1722272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0676608"/>
        <c:crosses val="autoZero"/>
        <c:auto val="1"/>
        <c:lblAlgn val="ctr"/>
        <c:lblOffset val="100"/>
        <c:noMultiLvlLbl val="0"/>
      </c:catAx>
      <c:valAx>
        <c:axId val="1706766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227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22834645669287"/>
          <c:y val="0.11005524565183827"/>
          <c:w val="0.626515220080248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'6.8'!$G$7:$G$20</c:f>
              <c:numCache>
                <c:formatCode>#,##0.0</c:formatCode>
                <c:ptCount val="14"/>
                <c:pt idx="0">
                  <c:v>10.738709677419354</c:v>
                </c:pt>
                <c:pt idx="1">
                  <c:v>11.225806451612904</c:v>
                </c:pt>
                <c:pt idx="2">
                  <c:v>9.9032258064516103</c:v>
                </c:pt>
                <c:pt idx="3">
                  <c:v>10.36451612903226</c:v>
                </c:pt>
                <c:pt idx="4">
                  <c:v>10.603225806451613</c:v>
                </c:pt>
                <c:pt idx="5">
                  <c:v>11.109677419354838</c:v>
                </c:pt>
                <c:pt idx="6">
                  <c:v>10.71290322580645</c:v>
                </c:pt>
                <c:pt idx="7">
                  <c:v>11.006451612903229</c:v>
                </c:pt>
                <c:pt idx="8">
                  <c:v>10.841935483870966</c:v>
                </c:pt>
                <c:pt idx="9">
                  <c:v>12.161290322580644</c:v>
                </c:pt>
                <c:pt idx="10">
                  <c:v>11.141935483870968</c:v>
                </c:pt>
                <c:pt idx="11">
                  <c:v>10.396774193548389</c:v>
                </c:pt>
                <c:pt idx="12">
                  <c:v>10.43548387096774</c:v>
                </c:pt>
                <c:pt idx="13">
                  <c:v>10.480645161290321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713088"/>
        <c:axId val="170714624"/>
      </c:barChart>
      <c:catAx>
        <c:axId val="170713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0714624"/>
        <c:crosses val="autoZero"/>
        <c:auto val="1"/>
        <c:lblAlgn val="ctr"/>
        <c:lblOffset val="100"/>
        <c:noMultiLvlLbl val="0"/>
      </c:catAx>
      <c:valAx>
        <c:axId val="17071462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71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7921641351791E-2"/>
          <c:y val="7.1836716223887848E-2"/>
          <c:w val="0.90558639762917237"/>
          <c:h val="0.603581654229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'4.1'!$N$28</c:f>
              <c:strCache>
                <c:ptCount val="1"/>
                <c:pt idx="0">
                  <c:v>Průměr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'4.1'!$N$29:$N$40</c:f>
              <c:numCache>
                <c:formatCode>#,##0.0</c:formatCode>
                <c:ptCount val="12"/>
                <c:pt idx="0">
                  <c:v>0.78709677419354818</c:v>
                </c:pt>
                <c:pt idx="1">
                  <c:v>3.0892857142857144</c:v>
                </c:pt>
                <c:pt idx="2">
                  <c:v>3.3161290322580643</c:v>
                </c:pt>
                <c:pt idx="3">
                  <c:v>6.6166666666666663</c:v>
                </c:pt>
                <c:pt idx="4">
                  <c:v>14.500000000000002</c:v>
                </c:pt>
                <c:pt idx="5">
                  <c:v>18.956666666666667</c:v>
                </c:pt>
                <c:pt idx="6">
                  <c:v>18.874193548387094</c:v>
                </c:pt>
                <c:pt idx="7">
                  <c:v>19.361290322580643</c:v>
                </c:pt>
                <c:pt idx="8">
                  <c:v>12.16</c:v>
                </c:pt>
                <c:pt idx="9">
                  <c:v>10.777419354838711</c:v>
                </c:pt>
                <c:pt idx="10">
                  <c:v>4.2466666666666661</c:v>
                </c:pt>
                <c:pt idx="11">
                  <c:v>0.43548387096774194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'4.1'!$O$28</c:f>
              <c:strCache>
                <c:ptCount val="1"/>
                <c:pt idx="0">
                  <c:v>Normál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'4.1'!$O$29:$O$40</c:f>
              <c:numCache>
                <c:formatCode>#,##0.0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96512"/>
        <c:axId val="162914688"/>
      </c:barChart>
      <c:catAx>
        <c:axId val="16289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914688"/>
        <c:crosses val="autoZero"/>
        <c:auto val="1"/>
        <c:lblAlgn val="ctr"/>
        <c:lblOffset val="100"/>
        <c:noMultiLvlLbl val="0"/>
      </c:catAx>
      <c:valAx>
        <c:axId val="16291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96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17552045021956E-3"/>
          <c:y val="0.89591169395866144"/>
          <c:w val="0.22936697982969578"/>
          <c:h val="9.695077050920250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39692883217182"/>
          <c:y val="0.11005524565183827"/>
          <c:w val="0.630346637704769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'6.9'!$G$7:$G$20</c:f>
              <c:numCache>
                <c:formatCode>#,##0.0</c:formatCode>
                <c:ptCount val="14"/>
                <c:pt idx="0">
                  <c:v>3.7433333333333327</c:v>
                </c:pt>
                <c:pt idx="1">
                  <c:v>5.0799999999999983</c:v>
                </c:pt>
                <c:pt idx="2">
                  <c:v>3.5733333333333328</c:v>
                </c:pt>
                <c:pt idx="3">
                  <c:v>3.6966666666666668</c:v>
                </c:pt>
                <c:pt idx="4">
                  <c:v>4.1199999999999992</c:v>
                </c:pt>
                <c:pt idx="5">
                  <c:v>4.8033333333333337</c:v>
                </c:pt>
                <c:pt idx="6">
                  <c:v>4.1399999999999997</c:v>
                </c:pt>
                <c:pt idx="7">
                  <c:v>4.3499999999999988</c:v>
                </c:pt>
                <c:pt idx="8">
                  <c:v>4.1266666666666669</c:v>
                </c:pt>
                <c:pt idx="9">
                  <c:v>5.5200000000000014</c:v>
                </c:pt>
                <c:pt idx="10">
                  <c:v>4.5866666666666669</c:v>
                </c:pt>
                <c:pt idx="11">
                  <c:v>4.04</c:v>
                </c:pt>
                <c:pt idx="12">
                  <c:v>4.086666666666666</c:v>
                </c:pt>
                <c:pt idx="13">
                  <c:v>4.4266666666666641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095936"/>
        <c:axId val="171097472"/>
      </c:barChart>
      <c:catAx>
        <c:axId val="1710959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1097472"/>
        <c:crosses val="autoZero"/>
        <c:auto val="1"/>
        <c:lblAlgn val="ctr"/>
        <c:lblOffset val="100"/>
        <c:noMultiLvlLbl val="0"/>
      </c:catAx>
      <c:valAx>
        <c:axId val="1710974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09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31812833740611"/>
          <c:y val="0.11005524565183827"/>
          <c:w val="0.56350011107545717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'6.9'!$D$7:$D$20</c:f>
              <c:numCache>
                <c:formatCode>#,##0</c:formatCode>
                <c:ptCount val="14"/>
                <c:pt idx="0">
                  <c:v>282326.20538</c:v>
                </c:pt>
                <c:pt idx="1">
                  <c:v>1072485.5629</c:v>
                </c:pt>
                <c:pt idx="2">
                  <c:v>210938.15355000002</c:v>
                </c:pt>
                <c:pt idx="3">
                  <c:v>331331.31579999998</c:v>
                </c:pt>
                <c:pt idx="4">
                  <c:v>325749.94699999999</c:v>
                </c:pt>
                <c:pt idx="5">
                  <c:v>803912.81043999991</c:v>
                </c:pt>
                <c:pt idx="6">
                  <c:v>497706.72655000002</c:v>
                </c:pt>
                <c:pt idx="7">
                  <c:v>345401.74995999999</c:v>
                </c:pt>
                <c:pt idx="8">
                  <c:v>368799.50891999993</c:v>
                </c:pt>
                <c:pt idx="9">
                  <c:v>898842.03179591172</c:v>
                </c:pt>
                <c:pt idx="10">
                  <c:v>1397135.5185400001</c:v>
                </c:pt>
                <c:pt idx="11">
                  <c:v>733810.83694300009</c:v>
                </c:pt>
                <c:pt idx="12">
                  <c:v>312411.59949000005</c:v>
                </c:pt>
                <c:pt idx="13">
                  <c:v>384480.83313999994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063744"/>
        <c:axId val="172073728"/>
      </c:barChart>
      <c:catAx>
        <c:axId val="1720637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073728"/>
        <c:crosses val="autoZero"/>
        <c:auto val="1"/>
        <c:lblAlgn val="ctr"/>
        <c:lblOffset val="100"/>
        <c:noMultiLvlLbl val="0"/>
      </c:catAx>
      <c:valAx>
        <c:axId val="1720737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063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73409358312972"/>
          <c:y val="0.11005524565183827"/>
          <c:w val="0.63800947295381183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'6.10'!$G$7:$G$20</c:f>
              <c:numCache>
                <c:formatCode>#,##0.0</c:formatCode>
                <c:ptCount val="14"/>
                <c:pt idx="0">
                  <c:v>0.32903225806451614</c:v>
                </c:pt>
                <c:pt idx="1">
                  <c:v>0.77741935483870961</c:v>
                </c:pt>
                <c:pt idx="2">
                  <c:v>-0.21290322580645155</c:v>
                </c:pt>
                <c:pt idx="3">
                  <c:v>0.1032258064516129</c:v>
                </c:pt>
                <c:pt idx="4">
                  <c:v>0.69032258064516128</c:v>
                </c:pt>
                <c:pt idx="5">
                  <c:v>0.46129032258064512</c:v>
                </c:pt>
                <c:pt idx="6">
                  <c:v>-1.6129032258064401E-2</c:v>
                </c:pt>
                <c:pt idx="7">
                  <c:v>0.3096774193548385</c:v>
                </c:pt>
                <c:pt idx="8">
                  <c:v>0.80322580645161279</c:v>
                </c:pt>
                <c:pt idx="9">
                  <c:v>2.2677419354838713</c:v>
                </c:pt>
                <c:pt idx="10">
                  <c:v>1.2096774193548387</c:v>
                </c:pt>
                <c:pt idx="11">
                  <c:v>0.82903225806451608</c:v>
                </c:pt>
                <c:pt idx="12">
                  <c:v>-0.24193548387096758</c:v>
                </c:pt>
                <c:pt idx="13">
                  <c:v>7.4193548387096686E-2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44160"/>
        <c:axId val="172845696"/>
      </c:barChart>
      <c:catAx>
        <c:axId val="1728441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2845696"/>
        <c:crosses val="autoZero"/>
        <c:auto val="1"/>
        <c:lblAlgn val="ctr"/>
        <c:lblOffset val="100"/>
        <c:noMultiLvlLbl val="0"/>
      </c:catAx>
      <c:valAx>
        <c:axId val="1728456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4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'6.10'!$D$7:$D$20</c:f>
              <c:numCache>
                <c:formatCode>#,##0</c:formatCode>
                <c:ptCount val="14"/>
                <c:pt idx="0">
                  <c:v>360697.33432000002</c:v>
                </c:pt>
                <c:pt idx="1">
                  <c:v>1406139.67557</c:v>
                </c:pt>
                <c:pt idx="2">
                  <c:v>271669.68090000009</c:v>
                </c:pt>
                <c:pt idx="3">
                  <c:v>425171.85785000003</c:v>
                </c:pt>
                <c:pt idx="4">
                  <c:v>420884.59591000009</c:v>
                </c:pt>
                <c:pt idx="5">
                  <c:v>1054943.9338699998</c:v>
                </c:pt>
                <c:pt idx="6">
                  <c:v>631834.13179000013</c:v>
                </c:pt>
                <c:pt idx="7">
                  <c:v>441745.90756999998</c:v>
                </c:pt>
                <c:pt idx="8">
                  <c:v>471245.23126999999</c:v>
                </c:pt>
                <c:pt idx="9">
                  <c:v>1242300.834073039</c:v>
                </c:pt>
                <c:pt idx="10">
                  <c:v>1349268.6036100001</c:v>
                </c:pt>
                <c:pt idx="11">
                  <c:v>1305653.9474900002</c:v>
                </c:pt>
                <c:pt idx="12">
                  <c:v>426589.43429999996</c:v>
                </c:pt>
                <c:pt idx="13">
                  <c:v>524177.31829000002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78080"/>
        <c:axId val="172883968"/>
      </c:barChart>
      <c:catAx>
        <c:axId val="1728780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883968"/>
        <c:crosses val="autoZero"/>
        <c:auto val="1"/>
        <c:lblAlgn val="ctr"/>
        <c:lblOffset val="100"/>
        <c:noMultiLvlLbl val="0"/>
      </c:catAx>
      <c:valAx>
        <c:axId val="1728839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7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556551120765077"/>
          <c:y val="0.11005524565183827"/>
          <c:w val="0.6341780553292907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'6.11'!$G$7:$G$20</c:f>
              <c:numCache>
                <c:formatCode>#,##0.0</c:formatCode>
                <c:ptCount val="14"/>
                <c:pt idx="0">
                  <c:v>4.9370250896057337</c:v>
                </c:pt>
                <c:pt idx="1">
                  <c:v>5.6944086021505376</c:v>
                </c:pt>
                <c:pt idx="2">
                  <c:v>4.4212186379928307</c:v>
                </c:pt>
                <c:pt idx="3">
                  <c:v>4.72146953405018</c:v>
                </c:pt>
                <c:pt idx="4">
                  <c:v>5.1378494623655913</c:v>
                </c:pt>
                <c:pt idx="5">
                  <c:v>5.4581003584229393</c:v>
                </c:pt>
                <c:pt idx="6">
                  <c:v>4.9455913978494621</c:v>
                </c:pt>
                <c:pt idx="7">
                  <c:v>5.2220430107526887</c:v>
                </c:pt>
                <c:pt idx="8">
                  <c:v>5.2572759856630817</c:v>
                </c:pt>
                <c:pt idx="9">
                  <c:v>6.6496774193548385</c:v>
                </c:pt>
                <c:pt idx="10">
                  <c:v>5.6460931899641587</c:v>
                </c:pt>
                <c:pt idx="11">
                  <c:v>5.0886021505376346</c:v>
                </c:pt>
                <c:pt idx="12">
                  <c:v>4.760071684587813</c:v>
                </c:pt>
                <c:pt idx="13">
                  <c:v>4.9938351254480269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23616"/>
        <c:axId val="173025152"/>
      </c:barChart>
      <c:catAx>
        <c:axId val="173023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3025152"/>
        <c:crosses val="autoZero"/>
        <c:auto val="1"/>
        <c:lblAlgn val="ctr"/>
        <c:lblOffset val="100"/>
        <c:noMultiLvlLbl val="0"/>
      </c:catAx>
      <c:valAx>
        <c:axId val="173025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2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39649824336218"/>
          <c:y val="0.11005524565183827"/>
          <c:w val="0.5384217411695011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'6.11'!$D$7:$D$20</c:f>
              <c:numCache>
                <c:formatCode>#,##0</c:formatCode>
                <c:ptCount val="14"/>
                <c:pt idx="0">
                  <c:v>827005.28000999987</c:v>
                </c:pt>
                <c:pt idx="1">
                  <c:v>3191635.05076</c:v>
                </c:pt>
                <c:pt idx="2">
                  <c:v>623975.04079000012</c:v>
                </c:pt>
                <c:pt idx="3">
                  <c:v>971845.75577000005</c:v>
                </c:pt>
                <c:pt idx="4">
                  <c:v>951524.09830000007</c:v>
                </c:pt>
                <c:pt idx="5">
                  <c:v>2393245.4872799995</c:v>
                </c:pt>
                <c:pt idx="6">
                  <c:v>1449788.1042100003</c:v>
                </c:pt>
                <c:pt idx="7">
                  <c:v>1017504.09172</c:v>
                </c:pt>
                <c:pt idx="8">
                  <c:v>1093658.6042399998</c:v>
                </c:pt>
                <c:pt idx="9">
                  <c:v>2640854.2664519432</c:v>
                </c:pt>
                <c:pt idx="10">
                  <c:v>3548862.6157210004</c:v>
                </c:pt>
                <c:pt idx="11">
                  <c:v>2960123.3145030001</c:v>
                </c:pt>
                <c:pt idx="12">
                  <c:v>940003.99891000008</c:v>
                </c:pt>
                <c:pt idx="13">
                  <c:v>1146287.4960099999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49344"/>
        <c:axId val="173050880"/>
      </c:barChart>
      <c:catAx>
        <c:axId val="173049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3050880"/>
        <c:crosses val="autoZero"/>
        <c:auto val="1"/>
        <c:lblAlgn val="ctr"/>
        <c:lblOffset val="100"/>
        <c:noMultiLvlLbl val="0"/>
      </c:catAx>
      <c:valAx>
        <c:axId val="1730508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49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0597841936423"/>
          <c:y val="0.34057376401069023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2260234912496405"/>
                  <c:y val="1.72374885683857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'4.2'!$B$27:$F$27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'4.2'!$B$28:$F$28</c:f>
              <c:numCache>
                <c:formatCode>#,##0</c:formatCode>
                <c:ptCount val="5"/>
                <c:pt idx="0">
                  <c:v>1591</c:v>
                </c:pt>
                <c:pt idx="1">
                  <c:v>6324</c:v>
                </c:pt>
                <c:pt idx="2">
                  <c:v>205977</c:v>
                </c:pt>
                <c:pt idx="3">
                  <c:v>2588055</c:v>
                </c:pt>
                <c:pt idx="4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'4.2'!$I$28:$I$31</c:f>
              <c:numCache>
                <c:formatCode>#,##0.0</c:formatCode>
                <c:ptCount val="4"/>
                <c:pt idx="0">
                  <c:v>1130.5589073510132</c:v>
                </c:pt>
                <c:pt idx="1">
                  <c:v>792.97827088592771</c:v>
                </c:pt>
                <c:pt idx="2">
                  <c:v>688.93857996371594</c:v>
                </c:pt>
                <c:pt idx="3">
                  <c:v>944.93942941586363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'4.2'!$J$28:$J$31</c:f>
              <c:numCache>
                <c:formatCode>#,##0.0</c:formatCode>
                <c:ptCount val="4"/>
                <c:pt idx="0">
                  <c:v>291.47941689673081</c:v>
                </c:pt>
                <c:pt idx="1">
                  <c:v>121.48613377044437</c:v>
                </c:pt>
                <c:pt idx="2">
                  <c:v>78.714795254479498</c:v>
                </c:pt>
                <c:pt idx="3">
                  <c:v>211.05380709087916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'4.2'!$K$28:$K$31</c:f>
              <c:numCache>
                <c:formatCode>#,##0.0</c:formatCode>
                <c:ptCount val="4"/>
                <c:pt idx="0">
                  <c:v>491.93637013248167</c:v>
                </c:pt>
                <c:pt idx="1">
                  <c:v>158.560558070436</c:v>
                </c:pt>
                <c:pt idx="2">
                  <c:v>73.210806060104034</c:v>
                </c:pt>
                <c:pt idx="3">
                  <c:v>352.58588758991402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'4.2'!$L$28:$L$31</c:f>
              <c:numCache>
                <c:formatCode>#,##0.0</c:formatCode>
                <c:ptCount val="4"/>
                <c:pt idx="0">
                  <c:v>943.94375273459264</c:v>
                </c:pt>
                <c:pt idx="1">
                  <c:v>286.95559416623479</c:v>
                </c:pt>
                <c:pt idx="2">
                  <c:v>117.05393096906919</c:v>
                </c:pt>
                <c:pt idx="3">
                  <c:v>644.47721124675002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'4.2'!$M$28:$M$31</c:f>
              <c:numCache>
                <c:formatCode>#,##0.0</c:formatCode>
                <c:ptCount val="4"/>
                <c:pt idx="0">
                  <c:v>24.554257610078288</c:v>
                </c:pt>
                <c:pt idx="1">
                  <c:v>23.538894514925193</c:v>
                </c:pt>
                <c:pt idx="2">
                  <c:v>20.987495626636026</c:v>
                </c:pt>
                <c:pt idx="3">
                  <c:v>21.98155195904878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34688"/>
        <c:axId val="164436224"/>
      </c:barChart>
      <c:catAx>
        <c:axId val="16443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436224"/>
        <c:crosses val="autoZero"/>
        <c:auto val="1"/>
        <c:lblAlgn val="ctr"/>
        <c:lblOffset val="100"/>
        <c:noMultiLvlLbl val="0"/>
      </c:catAx>
      <c:valAx>
        <c:axId val="16443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3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641202302644729E-2"/>
          <c:y val="0.91431116564974846"/>
          <c:w val="0.54397829038354595"/>
          <c:h val="8.22561533199307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'4.2'!$P$28:$P$31</c:f>
              <c:numCache>
                <c:formatCode>#,##0</c:formatCode>
                <c:ptCount val="4"/>
                <c:pt idx="0">
                  <c:v>12105.793593597</c:v>
                </c:pt>
                <c:pt idx="1">
                  <c:v>8556.3409606169989</c:v>
                </c:pt>
                <c:pt idx="2">
                  <c:v>7504.6652050879993</c:v>
                </c:pt>
                <c:pt idx="3">
                  <c:v>10325.442862684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'4.2'!$Q$28:$Q$31</c:f>
              <c:numCache>
                <c:formatCode>#,##0</c:formatCode>
                <c:ptCount val="4"/>
                <c:pt idx="0">
                  <c:v>3120.9507358399997</c:v>
                </c:pt>
                <c:pt idx="1">
                  <c:v>1310.7046951699999</c:v>
                </c:pt>
                <c:pt idx="2">
                  <c:v>857.9532439699999</c:v>
                </c:pt>
                <c:pt idx="3">
                  <c:v>2305.4018664300002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'4.2'!$R$28:$R$31</c:f>
              <c:numCache>
                <c:formatCode>#,##0</c:formatCode>
                <c:ptCount val="4"/>
                <c:pt idx="0">
                  <c:v>5266.4144165960943</c:v>
                </c:pt>
                <c:pt idx="1">
                  <c:v>1710.0677040087473</c:v>
                </c:pt>
                <c:pt idx="2">
                  <c:v>798.50359258091521</c:v>
                </c:pt>
                <c:pt idx="3">
                  <c:v>3849.7886352370037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'4.2'!$S$28:$S$31</c:f>
              <c:numCache>
                <c:formatCode>#,##0</c:formatCode>
                <c:ptCount val="4"/>
                <c:pt idx="0">
                  <c:v>10103.876503418738</c:v>
                </c:pt>
                <c:pt idx="1">
                  <c:v>3094.2336039831539</c:v>
                </c:pt>
                <c:pt idx="2">
                  <c:v>1276.7961103580337</c:v>
                </c:pt>
                <c:pt idx="3">
                  <c:v>7035.5449326349399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'4.2'!$T$28:$T$31</c:f>
              <c:numCache>
                <c:formatCode>#,##0</c:formatCode>
                <c:ptCount val="4"/>
                <c:pt idx="0">
                  <c:v>262.84610711799996</c:v>
                </c:pt>
                <c:pt idx="1">
                  <c:v>253.97646442999999</c:v>
                </c:pt>
                <c:pt idx="2">
                  <c:v>228.48902218000001</c:v>
                </c:pt>
                <c:pt idx="3">
                  <c:v>240.13490768999998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486144"/>
        <c:axId val="165020416"/>
      </c:barChart>
      <c:catAx>
        <c:axId val="16448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20416"/>
        <c:crosses val="autoZero"/>
        <c:auto val="1"/>
        <c:lblAlgn val="ctr"/>
        <c:lblOffset val="100"/>
        <c:noMultiLvlLbl val="0"/>
      </c:catAx>
      <c:valAx>
        <c:axId val="16502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86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353287164405642E-3"/>
          <c:y val="0.92082355031032004"/>
          <c:w val="0.51630586449379434"/>
          <c:h val="7.9176414320556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'4.3'!$B$45:$B$47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'4.3'!$C$45:$C$47</c:f>
              <c:numCache>
                <c:formatCode>#,##0</c:formatCode>
                <c:ptCount val="3"/>
                <c:pt idx="0">
                  <c:v>20388.921913158829</c:v>
                </c:pt>
                <c:pt idx="1">
                  <c:v>12449.817864482106</c:v>
                </c:pt>
                <c:pt idx="2">
                  <c:v>16374.589262528758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47680"/>
        <c:axId val="165057664"/>
      </c:barChart>
      <c:catAx>
        <c:axId val="16504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057664"/>
        <c:crosses val="autoZero"/>
        <c:auto val="1"/>
        <c:lblAlgn val="ctr"/>
        <c:lblOffset val="100"/>
        <c:noMultiLvlLbl val="0"/>
      </c:catAx>
      <c:valAx>
        <c:axId val="165057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47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'4.3'!$E$45:$E$47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'4.3'!$F$45:$F$47</c:f>
              <c:numCache>
                <c:formatCode>#,##0</c:formatCode>
                <c:ptCount val="3"/>
                <c:pt idx="0">
                  <c:v>32894.720215692716</c:v>
                </c:pt>
                <c:pt idx="1">
                  <c:v>18063.064280563718</c:v>
                </c:pt>
                <c:pt idx="2">
                  <c:v>24765.691015472585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88256"/>
        <c:axId val="165090048"/>
      </c:barChart>
      <c:catAx>
        <c:axId val="1650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90048"/>
        <c:crosses val="autoZero"/>
        <c:auto val="1"/>
        <c:lblAlgn val="ctr"/>
        <c:lblOffset val="100"/>
        <c:noMultiLvlLbl val="0"/>
      </c:catAx>
      <c:valAx>
        <c:axId val="16509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88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image" Target="../media/image11.png"/><Relationship Id="rId4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11.png"/><Relationship Id="rId4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image" Target="../media/image11.png"/><Relationship Id="rId4" Type="http://schemas.openxmlformats.org/officeDocument/2006/relationships/chart" Target="../charts/chart3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image" Target="../media/image11.png"/><Relationship Id="rId4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1AA8B5-5249-445C-8B4E-732F9012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135708</xdr:rowOff>
    </xdr:from>
    <xdr:to>
      <xdr:col>2</xdr:col>
      <xdr:colOff>985</xdr:colOff>
      <xdr:row>1</xdr:row>
      <xdr:rowOff>4871807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5A5B4A11-A448-40A2-8020-A1DA7E18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5212533"/>
          <a:ext cx="6135085" cy="4736099"/>
        </a:xfrm>
        <a:prstGeom prst="rect">
          <a:avLst/>
        </a:prstGeom>
      </xdr:spPr>
    </xdr:pic>
    <xdr:clientData/>
  </xdr:twoCellAnchor>
  <xdr:twoCellAnchor editAs="oneCell">
    <xdr:from>
      <xdr:col>1</xdr:col>
      <xdr:colOff>1585813</xdr:colOff>
      <xdr:row>1</xdr:row>
      <xdr:rowOff>3947730</xdr:rowOff>
    </xdr:from>
    <xdr:to>
      <xdr:col>2</xdr:col>
      <xdr:colOff>63003</xdr:colOff>
      <xdr:row>2</xdr:row>
      <xdr:rowOff>157748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58758D7-D9AE-4D28-8E13-F184DBD0F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588" y="9024555"/>
          <a:ext cx="1839515" cy="12868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53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53</xdr:row>
      <xdr:rowOff>66675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323850</xdr:colOff>
      <xdr:row>2</xdr:row>
      <xdr:rowOff>123825</xdr:rowOff>
    </xdr:from>
    <xdr:to>
      <xdr:col>2</xdr:col>
      <xdr:colOff>294586</xdr:colOff>
      <xdr:row>3</xdr:row>
      <xdr:rowOff>561975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9B2BDA4-8585-4555-B95B-A95B4D89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28625"/>
          <a:ext cx="856561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50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50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304800</xdr:colOff>
      <xdr:row>2</xdr:row>
      <xdr:rowOff>123825</xdr:rowOff>
    </xdr:from>
    <xdr:to>
      <xdr:col>2</xdr:col>
      <xdr:colOff>304800</xdr:colOff>
      <xdr:row>3</xdr:row>
      <xdr:rowOff>583568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FF69A7B-4C4B-40B4-A090-21957D0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" y="428625"/>
          <a:ext cx="885825" cy="65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28575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142875</xdr:colOff>
      <xdr:row>34</xdr:row>
      <xdr:rowOff>38100</xdr:rowOff>
    </xdr:from>
    <xdr:to>
      <xdr:col>4</xdr:col>
      <xdr:colOff>57152</xdr:colOff>
      <xdr:row>48</xdr:row>
      <xdr:rowOff>152399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18D57470-C8CE-41B0-9D13-6A6BBB738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57150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629D853-21F0-440B-8467-D525E11B1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47625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E71C72E-6C87-4172-9D38-6702F73C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0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38100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38100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2</xdr:row>
      <xdr:rowOff>219074</xdr:rowOff>
    </xdr:from>
    <xdr:ext cx="907958" cy="664845"/>
    <xdr:pic>
      <xdr:nvPicPr>
        <xdr:cNvPr id="9" name="Obrázek 8">
          <a:extLst>
            <a:ext uri="{FF2B5EF4-FFF2-40B4-BE49-F238E27FC236}">
              <a16:creationId xmlns:a16="http://schemas.microsoft.com/office/drawing/2014/main" id="{128EAC60-D702-4C8D-9840-8CEF24BEB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142875</xdr:rowOff>
    </xdr:from>
    <xdr:to>
      <xdr:col>10</xdr:col>
      <xdr:colOff>514350</xdr:colOff>
      <xdr:row>51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DD8DFCA-E82F-41D8-A381-19E5A72BA2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07F0B3E-169F-4537-9F96-F049448E9B4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06C6586-9FAF-4817-8031-B05116C8F8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673EDCB-75E3-4F3B-BB02-5BA3B0C555A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0B09FD-1449-4C7A-B229-FE5161C0E3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E987EE-9B6D-4116-94DD-D57C37C43C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3</xdr:row>
      <xdr:rowOff>0</xdr:rowOff>
    </xdr:from>
    <xdr:to>
      <xdr:col>2</xdr:col>
      <xdr:colOff>562645</xdr:colOff>
      <xdr:row>4</xdr:row>
      <xdr:rowOff>224567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A8F6B51-CF59-4EAA-97E8-5C6B3469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0" y="561975"/>
          <a:ext cx="629320" cy="472217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2F6A0A5-6A79-40E3-8C88-7D3D2D3B3A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54878A7-DCE0-436D-8028-DA1754B454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31EF213-6A00-47A5-B2D1-727FB9F552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1ADB51C-49D1-44A8-B337-9B8FC24F5E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11E01AE-7DD8-4700-8982-312544949A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E5F0081-9F62-4837-A907-02B4B807B1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4F0F9BD-7560-4F1F-8688-41811DE6FA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3617210-72F0-49B8-9D80-B4BC7EF57C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30</xdr:row>
      <xdr:rowOff>19050</xdr:rowOff>
    </xdr:from>
    <xdr:to>
      <xdr:col>4</xdr:col>
      <xdr:colOff>85726</xdr:colOff>
      <xdr:row>48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DDB014C-3084-4834-A9A1-0C3CADB0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52450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346721-374F-4FC6-81DE-B331FE4F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EAEC643-C980-4362-944D-F20F51F4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D4A0FEE-D3B4-4739-A6DF-7E809BD4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19049</xdr:rowOff>
    </xdr:from>
    <xdr:to>
      <xdr:col>1</xdr:col>
      <xdr:colOff>189265</xdr:colOff>
      <xdr:row>3</xdr:row>
      <xdr:rowOff>549524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847E974-281E-441B-9F27-C60104D0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29</xdr:row>
      <xdr:rowOff>19049</xdr:rowOff>
    </xdr:from>
    <xdr:ext cx="722665" cy="530475"/>
    <xdr:pic>
      <xdr:nvPicPr>
        <xdr:cNvPr id="6" name="Obrázek 5">
          <a:extLst>
            <a:ext uri="{FF2B5EF4-FFF2-40B4-BE49-F238E27FC236}">
              <a16:creationId xmlns:a16="http://schemas.microsoft.com/office/drawing/2014/main" id="{B6158311-4EF9-4A85-B6CF-CE21169F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20</xdr:col>
      <xdr:colOff>28575</xdr:colOff>
      <xdr:row>38</xdr:row>
      <xdr:rowOff>128386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01E71F8-84D4-46A9-8E1E-57EEF4063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7725"/>
          <a:ext cx="6324600" cy="61767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26</xdr:row>
      <xdr:rowOff>26670</xdr:rowOff>
    </xdr:from>
    <xdr:to>
      <xdr:col>9</xdr:col>
      <xdr:colOff>26671</xdr:colOff>
      <xdr:row>46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26</xdr:row>
      <xdr:rowOff>22859</xdr:rowOff>
    </xdr:from>
    <xdr:to>
      <xdr:col>18</xdr:col>
      <xdr:colOff>472441</xdr:colOff>
      <xdr:row>46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23812</xdr:rowOff>
    </xdr:from>
    <xdr:to>
      <xdr:col>5</xdr:col>
      <xdr:colOff>280518</xdr:colOff>
      <xdr:row>57</xdr:row>
      <xdr:rowOff>155878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D0FE0CE-B882-40A6-AACC-02B880A69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10587"/>
          <a:ext cx="3471393" cy="941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17463</xdr:rowOff>
    </xdr:from>
    <xdr:to>
      <xdr:col>8</xdr:col>
      <xdr:colOff>457201</xdr:colOff>
      <xdr:row>45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27</xdr:row>
      <xdr:rowOff>17462</xdr:rowOff>
    </xdr:from>
    <xdr:to>
      <xdr:col>19</xdr:col>
      <xdr:colOff>380999</xdr:colOff>
      <xdr:row>45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9525</xdr:rowOff>
    </xdr:from>
    <xdr:to>
      <xdr:col>6</xdr:col>
      <xdr:colOff>266700</xdr:colOff>
      <xdr:row>40</xdr:row>
      <xdr:rowOff>114301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26</xdr:row>
      <xdr:rowOff>47625</xdr:rowOff>
    </xdr:from>
    <xdr:to>
      <xdr:col>13</xdr:col>
      <xdr:colOff>285751</xdr:colOff>
      <xdr:row>41</xdr:row>
      <xdr:rowOff>123825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26</xdr:row>
      <xdr:rowOff>19049</xdr:rowOff>
    </xdr:from>
    <xdr:to>
      <xdr:col>20</xdr:col>
      <xdr:colOff>476250</xdr:colOff>
      <xdr:row>41</xdr:row>
      <xdr:rowOff>114300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42</xdr:row>
      <xdr:rowOff>47625</xdr:rowOff>
    </xdr:from>
    <xdr:to>
      <xdr:col>3</xdr:col>
      <xdr:colOff>523874</xdr:colOff>
      <xdr:row>50</xdr:row>
      <xdr:rowOff>228599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42</xdr:row>
      <xdr:rowOff>38100</xdr:rowOff>
    </xdr:from>
    <xdr:to>
      <xdr:col>6</xdr:col>
      <xdr:colOff>495300</xdr:colOff>
      <xdr:row>50</xdr:row>
      <xdr:rowOff>219075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42</xdr:row>
      <xdr:rowOff>38100</xdr:rowOff>
    </xdr:from>
    <xdr:to>
      <xdr:col>9</xdr:col>
      <xdr:colOff>485775</xdr:colOff>
      <xdr:row>50</xdr:row>
      <xdr:rowOff>209550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57150</xdr:rowOff>
    </xdr:from>
    <xdr:to>
      <xdr:col>6</xdr:col>
      <xdr:colOff>295275</xdr:colOff>
      <xdr:row>53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47626</xdr:rowOff>
    </xdr:from>
    <xdr:to>
      <xdr:col>10</xdr:col>
      <xdr:colOff>228600</xdr:colOff>
      <xdr:row>53</xdr:row>
      <xdr:rowOff>76200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333375</xdr:colOff>
      <xdr:row>3</xdr:row>
      <xdr:rowOff>161925</xdr:rowOff>
    </xdr:from>
    <xdr:to>
      <xdr:col>2</xdr:col>
      <xdr:colOff>303862</xdr:colOff>
      <xdr:row>4</xdr:row>
      <xdr:rowOff>600075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CA5F219-B358-4BE5-89F0-6C82426C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723900"/>
          <a:ext cx="856312" cy="62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28576</xdr:rowOff>
    </xdr:from>
    <xdr:to>
      <xdr:col>6</xdr:col>
      <xdr:colOff>247650</xdr:colOff>
      <xdr:row>53</xdr:row>
      <xdr:rowOff>142876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85726</xdr:colOff>
      <xdr:row>37</xdr:row>
      <xdr:rowOff>57151</xdr:rowOff>
    </xdr:from>
    <xdr:to>
      <xdr:col>10</xdr:col>
      <xdr:colOff>19050</xdr:colOff>
      <xdr:row>53</xdr:row>
      <xdr:rowOff>171451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239378</xdr:colOff>
      <xdr:row>4</xdr:row>
      <xdr:rowOff>202531</xdr:rowOff>
    </xdr:from>
    <xdr:to>
      <xdr:col>2</xdr:col>
      <xdr:colOff>53640</xdr:colOff>
      <xdr:row>4</xdr:row>
      <xdr:rowOff>254167</xdr:rowOff>
    </xdr:to>
    <xdr:sp macro="" textlink="">
      <xdr:nvSpPr>
        <xdr:cNvPr id="12" name="Volný tvar: obrazec 11">
          <a:extLst>
            <a:ext uri="{FF2B5EF4-FFF2-40B4-BE49-F238E27FC236}">
              <a16:creationId xmlns:a16="http://schemas.microsoft.com/office/drawing/2014/main" id="{DB01A8B9-E390-4F63-A3F6-B16E7BA119F9}"/>
            </a:ext>
          </a:extLst>
        </xdr:cNvPr>
        <xdr:cNvSpPr/>
      </xdr:nvSpPr>
      <xdr:spPr>
        <a:xfrm>
          <a:off x="868028" y="955006"/>
          <a:ext cx="71437" cy="51636"/>
        </a:xfrm>
        <a:custGeom>
          <a:avLst/>
          <a:gdLst>
            <a:gd name="connsiteX0" fmla="*/ 0 w 3305175"/>
            <a:gd name="connsiteY0" fmla="*/ 771525 h 2552700"/>
            <a:gd name="connsiteX1" fmla="*/ 514350 w 3305175"/>
            <a:gd name="connsiteY1" fmla="*/ 514350 h 2552700"/>
            <a:gd name="connsiteX2" fmla="*/ 647700 w 3305175"/>
            <a:gd name="connsiteY2" fmla="*/ 647700 h 2552700"/>
            <a:gd name="connsiteX3" fmla="*/ 904875 w 3305175"/>
            <a:gd name="connsiteY3" fmla="*/ 628650 h 2552700"/>
            <a:gd name="connsiteX4" fmla="*/ 933450 w 3305175"/>
            <a:gd name="connsiteY4" fmla="*/ 342900 h 2552700"/>
            <a:gd name="connsiteX5" fmla="*/ 1066800 w 3305175"/>
            <a:gd name="connsiteY5" fmla="*/ 314325 h 2552700"/>
            <a:gd name="connsiteX6" fmla="*/ 1123950 w 3305175"/>
            <a:gd name="connsiteY6" fmla="*/ 381000 h 2552700"/>
            <a:gd name="connsiteX7" fmla="*/ 1781175 w 3305175"/>
            <a:gd name="connsiteY7" fmla="*/ 28575 h 2552700"/>
            <a:gd name="connsiteX8" fmla="*/ 2085975 w 3305175"/>
            <a:gd name="connsiteY8" fmla="*/ 0 h 2552700"/>
            <a:gd name="connsiteX9" fmla="*/ 2447925 w 3305175"/>
            <a:gd name="connsiteY9" fmla="*/ 285750 h 2552700"/>
            <a:gd name="connsiteX10" fmla="*/ 2600325 w 3305175"/>
            <a:gd name="connsiteY10" fmla="*/ 533400 h 2552700"/>
            <a:gd name="connsiteX11" fmla="*/ 2933700 w 3305175"/>
            <a:gd name="connsiteY11" fmla="*/ 581025 h 2552700"/>
            <a:gd name="connsiteX12" fmla="*/ 3305175 w 3305175"/>
            <a:gd name="connsiteY12" fmla="*/ 1038225 h 2552700"/>
            <a:gd name="connsiteX13" fmla="*/ 2867025 w 3305175"/>
            <a:gd name="connsiteY13" fmla="*/ 1295400 h 2552700"/>
            <a:gd name="connsiteX14" fmla="*/ 3067050 w 3305175"/>
            <a:gd name="connsiteY14" fmla="*/ 1752600 h 2552700"/>
            <a:gd name="connsiteX15" fmla="*/ 2847975 w 3305175"/>
            <a:gd name="connsiteY15" fmla="*/ 1981200 h 2552700"/>
            <a:gd name="connsiteX16" fmla="*/ 2371725 w 3305175"/>
            <a:gd name="connsiteY16" fmla="*/ 1781175 h 2552700"/>
            <a:gd name="connsiteX17" fmla="*/ 1400175 w 3305175"/>
            <a:gd name="connsiteY17" fmla="*/ 2295525 h 2552700"/>
            <a:gd name="connsiteX18" fmla="*/ 1143000 w 3305175"/>
            <a:gd name="connsiteY18" fmla="*/ 2228850 h 2552700"/>
            <a:gd name="connsiteX19" fmla="*/ 1143000 w 3305175"/>
            <a:gd name="connsiteY19" fmla="*/ 2552700 h 2552700"/>
            <a:gd name="connsiteX20" fmla="*/ 676275 w 3305175"/>
            <a:gd name="connsiteY20" fmla="*/ 2447925 h 2552700"/>
            <a:gd name="connsiteX21" fmla="*/ 571500 w 3305175"/>
            <a:gd name="connsiteY21" fmla="*/ 1771650 h 2552700"/>
            <a:gd name="connsiteX22" fmla="*/ 104775 w 3305175"/>
            <a:gd name="connsiteY22" fmla="*/ 1333500 h 2552700"/>
            <a:gd name="connsiteX23" fmla="*/ 381000 w 3305175"/>
            <a:gd name="connsiteY23" fmla="*/ 1066800 h 2552700"/>
            <a:gd name="connsiteX24" fmla="*/ 0 w 3305175"/>
            <a:gd name="connsiteY24" fmla="*/ 771525 h 2552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3305175" h="2552700">
              <a:moveTo>
                <a:pt x="0" y="771525"/>
              </a:moveTo>
              <a:lnTo>
                <a:pt x="514350" y="514350"/>
              </a:lnTo>
              <a:lnTo>
                <a:pt x="647700" y="647700"/>
              </a:lnTo>
              <a:lnTo>
                <a:pt x="904875" y="628650"/>
              </a:lnTo>
              <a:lnTo>
                <a:pt x="933450" y="342900"/>
              </a:lnTo>
              <a:lnTo>
                <a:pt x="1066800" y="314325"/>
              </a:lnTo>
              <a:lnTo>
                <a:pt x="1123950" y="381000"/>
              </a:lnTo>
              <a:lnTo>
                <a:pt x="1781175" y="28575"/>
              </a:lnTo>
              <a:lnTo>
                <a:pt x="2085975" y="0"/>
              </a:lnTo>
              <a:lnTo>
                <a:pt x="2447925" y="285750"/>
              </a:lnTo>
              <a:lnTo>
                <a:pt x="2600325" y="533400"/>
              </a:lnTo>
              <a:lnTo>
                <a:pt x="2933700" y="581025"/>
              </a:lnTo>
              <a:lnTo>
                <a:pt x="3305175" y="1038225"/>
              </a:lnTo>
              <a:lnTo>
                <a:pt x="2867025" y="1295400"/>
              </a:lnTo>
              <a:lnTo>
                <a:pt x="3067050" y="1752600"/>
              </a:lnTo>
              <a:lnTo>
                <a:pt x="2847975" y="1981200"/>
              </a:lnTo>
              <a:lnTo>
                <a:pt x="2371725" y="1781175"/>
              </a:lnTo>
              <a:lnTo>
                <a:pt x="1400175" y="2295525"/>
              </a:lnTo>
              <a:lnTo>
                <a:pt x="1143000" y="2228850"/>
              </a:lnTo>
              <a:lnTo>
                <a:pt x="1143000" y="2552700"/>
              </a:lnTo>
              <a:lnTo>
                <a:pt x="676275" y="2447925"/>
              </a:lnTo>
              <a:lnTo>
                <a:pt x="571500" y="1771650"/>
              </a:lnTo>
              <a:lnTo>
                <a:pt x="104775" y="1333500"/>
              </a:lnTo>
              <a:lnTo>
                <a:pt x="381000" y="1066800"/>
              </a:lnTo>
              <a:lnTo>
                <a:pt x="0" y="771525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0</xdr:col>
      <xdr:colOff>323850</xdr:colOff>
      <xdr:row>3</xdr:row>
      <xdr:rowOff>28575</xdr:rowOff>
    </xdr:from>
    <xdr:to>
      <xdr:col>2</xdr:col>
      <xdr:colOff>295275</xdr:colOff>
      <xdr:row>4</xdr:row>
      <xdr:rowOff>28423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9C67806-0819-47C3-91A3-A85E2A7CC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95300"/>
          <a:ext cx="857250" cy="6284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53</xdr:row>
      <xdr:rowOff>76200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37</xdr:row>
      <xdr:rowOff>47625</xdr:rowOff>
    </xdr:from>
    <xdr:to>
      <xdr:col>6</xdr:col>
      <xdr:colOff>295275</xdr:colOff>
      <xdr:row>53</xdr:row>
      <xdr:rowOff>95250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314326</xdr:colOff>
      <xdr:row>2</xdr:row>
      <xdr:rowOff>142876</xdr:rowOff>
    </xdr:from>
    <xdr:to>
      <xdr:col>2</xdr:col>
      <xdr:colOff>286697</xdr:colOff>
      <xdr:row>3</xdr:row>
      <xdr:rowOff>581026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B611F01-5990-4EE6-985D-4D5B1F8E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6" y="447676"/>
          <a:ext cx="858196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EE4A-A0B5-4F83-9926-315C635D1C0E}">
  <sheetPr codeName="List1"/>
  <dimension ref="A1:K50"/>
  <sheetViews>
    <sheetView showGridLines="0" tabSelected="1" showWhiteSpace="0" zoomScaleNormal="100" zoomScaleSheetLayoutView="70" zoomScalePageLayoutView="70" workbookViewId="0">
      <selection activeCell="C1" sqref="C1"/>
    </sheetView>
  </sheetViews>
  <sheetFormatPr defaultColWidth="9.140625" defaultRowHeight="12.75"/>
  <cols>
    <col min="1" max="1" width="41.5703125" style="135" customWidth="1"/>
    <col min="2" max="2" width="50.42578125" style="135" customWidth="1"/>
    <col min="3" max="9" width="9.85546875" style="135" customWidth="1"/>
    <col min="10" max="10" width="10.28515625" style="135" customWidth="1"/>
    <col min="11" max="16384" width="9.140625" style="135"/>
  </cols>
  <sheetData>
    <row r="1" spans="1:11" ht="399.75" customHeight="1">
      <c r="A1" s="401" t="s">
        <v>318</v>
      </c>
      <c r="B1" s="402"/>
    </row>
    <row r="2" spans="1:11" ht="400.15" customHeight="1">
      <c r="A2" s="136"/>
      <c r="B2" s="137"/>
      <c r="C2" s="138"/>
      <c r="D2" s="138"/>
      <c r="E2" s="138"/>
      <c r="F2" s="138"/>
      <c r="G2" s="138"/>
      <c r="H2" s="138"/>
      <c r="I2" s="138"/>
      <c r="J2" s="138"/>
      <c r="K2" s="135" t="s">
        <v>261</v>
      </c>
    </row>
    <row r="3" spans="1:11">
      <c r="B3" s="139"/>
      <c r="D3" s="140"/>
      <c r="E3" s="141"/>
      <c r="F3" s="141"/>
      <c r="G3" s="141"/>
      <c r="J3" s="142"/>
    </row>
    <row r="9" spans="1:11">
      <c r="B9" s="143"/>
      <c r="I9" s="144"/>
    </row>
    <row r="10" spans="1:11">
      <c r="B10" s="145"/>
      <c r="C10" s="146"/>
    </row>
    <row r="11" spans="1:11">
      <c r="B11" s="145"/>
      <c r="C11" s="146"/>
    </row>
    <row r="12" spans="1:11">
      <c r="B12" s="145"/>
      <c r="C12" s="146"/>
    </row>
    <row r="13" spans="1:11">
      <c r="A13" s="147"/>
      <c r="B13" s="148"/>
      <c r="C13" s="149"/>
      <c r="D13" s="147"/>
      <c r="E13" s="147"/>
      <c r="F13" s="147"/>
      <c r="G13" s="147"/>
      <c r="H13" s="147"/>
      <c r="I13" s="147"/>
      <c r="J13" s="147"/>
    </row>
    <row r="14" spans="1:11">
      <c r="A14" s="147"/>
      <c r="B14" s="148"/>
      <c r="C14" s="149"/>
      <c r="D14" s="147"/>
      <c r="E14" s="147"/>
      <c r="F14" s="147"/>
      <c r="G14" s="147"/>
      <c r="H14" s="147"/>
      <c r="I14" s="147"/>
      <c r="J14" s="147"/>
    </row>
    <row r="15" spans="1:11">
      <c r="A15" s="147"/>
      <c r="B15" s="148"/>
      <c r="C15" s="149"/>
      <c r="D15" s="147"/>
      <c r="E15" s="147"/>
      <c r="F15" s="147"/>
      <c r="G15" s="147"/>
      <c r="H15" s="147"/>
      <c r="I15" s="147"/>
      <c r="J15" s="147"/>
    </row>
    <row r="16" spans="1:11">
      <c r="A16" s="147"/>
      <c r="B16" s="148"/>
      <c r="C16" s="149"/>
      <c r="D16" s="147"/>
      <c r="E16" s="147"/>
      <c r="F16" s="147"/>
      <c r="G16" s="147"/>
      <c r="H16" s="147"/>
      <c r="I16" s="147"/>
      <c r="J16" s="147"/>
    </row>
    <row r="17" spans="1:10">
      <c r="A17" s="147"/>
      <c r="B17" s="148"/>
      <c r="C17" s="149"/>
      <c r="D17" s="147"/>
      <c r="E17" s="147"/>
      <c r="F17" s="147"/>
      <c r="G17" s="147"/>
      <c r="H17" s="147"/>
      <c r="I17" s="147"/>
      <c r="J17" s="147"/>
    </row>
    <row r="18" spans="1:10">
      <c r="A18" s="147"/>
      <c r="B18" s="148"/>
      <c r="C18" s="149"/>
      <c r="D18" s="147"/>
      <c r="E18" s="147"/>
      <c r="F18" s="147"/>
      <c r="G18" s="147"/>
      <c r="H18" s="147"/>
      <c r="I18" s="147"/>
      <c r="J18" s="147"/>
    </row>
    <row r="19" spans="1:10">
      <c r="A19" s="147"/>
      <c r="B19" s="148"/>
      <c r="C19" s="149"/>
      <c r="D19" s="147"/>
      <c r="E19" s="147"/>
      <c r="F19" s="147"/>
      <c r="G19" s="147"/>
      <c r="H19" s="147"/>
      <c r="I19" s="147"/>
      <c r="J19" s="147"/>
    </row>
    <row r="21" spans="1:10">
      <c r="A21" s="147"/>
      <c r="B21" s="148"/>
      <c r="C21" s="149"/>
      <c r="D21" s="147"/>
      <c r="E21" s="147"/>
      <c r="F21" s="147"/>
      <c r="G21" s="147"/>
      <c r="H21" s="147"/>
      <c r="I21" s="147"/>
      <c r="J21" s="147"/>
    </row>
    <row r="22" spans="1:10">
      <c r="A22" s="147"/>
      <c r="B22" s="148"/>
      <c r="C22" s="149"/>
      <c r="D22" s="147"/>
      <c r="E22" s="147"/>
      <c r="F22" s="147"/>
      <c r="G22" s="147"/>
      <c r="H22" s="147"/>
      <c r="I22" s="147"/>
      <c r="J22" s="147"/>
    </row>
    <row r="23" spans="1:10">
      <c r="A23" s="147"/>
      <c r="B23" s="148"/>
      <c r="C23" s="149"/>
      <c r="D23" s="147"/>
      <c r="E23" s="147"/>
      <c r="F23" s="147"/>
      <c r="G23" s="147"/>
      <c r="H23" s="147"/>
      <c r="I23" s="147"/>
      <c r="J23" s="147"/>
    </row>
    <row r="25" spans="1:10">
      <c r="A25" s="147"/>
      <c r="C25" s="149"/>
      <c r="D25" s="147"/>
      <c r="E25" s="147"/>
      <c r="F25" s="147"/>
      <c r="G25" s="147"/>
      <c r="H25" s="147"/>
      <c r="I25" s="147"/>
      <c r="J25" s="147"/>
    </row>
    <row r="26" spans="1:10">
      <c r="A26" s="147"/>
      <c r="C26" s="149"/>
      <c r="D26" s="147"/>
      <c r="E26" s="147"/>
      <c r="F26" s="147"/>
      <c r="G26" s="147"/>
      <c r="H26" s="147"/>
      <c r="I26" s="147"/>
      <c r="J26" s="147"/>
    </row>
    <row r="27" spans="1:10">
      <c r="A27" s="147"/>
      <c r="C27" s="149"/>
      <c r="D27" s="147"/>
      <c r="E27" s="147"/>
      <c r="F27" s="147"/>
      <c r="G27" s="147"/>
      <c r="H27" s="147"/>
      <c r="I27" s="147"/>
      <c r="J27" s="147"/>
    </row>
    <row r="28" spans="1:10">
      <c r="A28" s="403"/>
      <c r="B28" s="403"/>
      <c r="C28" s="403"/>
      <c r="D28" s="403"/>
      <c r="E28" s="403"/>
      <c r="F28" s="403"/>
      <c r="G28" s="403"/>
      <c r="H28" s="403"/>
      <c r="I28" s="403"/>
      <c r="J28" s="403"/>
    </row>
    <row r="29" spans="1:10">
      <c r="A29" s="147"/>
      <c r="B29" s="148"/>
      <c r="C29" s="149"/>
      <c r="D29" s="147"/>
      <c r="E29" s="147"/>
      <c r="F29" s="147"/>
      <c r="G29" s="147"/>
      <c r="H29" s="147"/>
      <c r="I29" s="147"/>
      <c r="J29" s="147"/>
    </row>
    <row r="31" spans="1:10">
      <c r="A31" s="147"/>
      <c r="B31" s="148"/>
      <c r="C31" s="149"/>
      <c r="D31" s="147"/>
      <c r="E31" s="147"/>
      <c r="F31" s="147"/>
      <c r="G31" s="147"/>
      <c r="H31" s="147"/>
      <c r="I31" s="147"/>
      <c r="J31" s="147"/>
    </row>
    <row r="32" spans="1:10">
      <c r="A32" s="147"/>
      <c r="B32" s="148"/>
      <c r="C32" s="149"/>
      <c r="D32" s="147"/>
      <c r="E32" s="147"/>
      <c r="F32" s="147"/>
      <c r="G32" s="147"/>
      <c r="H32" s="147"/>
      <c r="I32" s="147"/>
      <c r="J32" s="147"/>
    </row>
    <row r="33" spans="1:10">
      <c r="A33" s="404"/>
      <c r="B33" s="404"/>
      <c r="C33" s="404"/>
      <c r="D33" s="404"/>
      <c r="E33" s="404"/>
      <c r="F33" s="404"/>
      <c r="G33" s="404"/>
      <c r="H33" s="404"/>
      <c r="I33" s="404"/>
      <c r="J33" s="404"/>
    </row>
    <row r="34" spans="1:10">
      <c r="B34" s="142"/>
      <c r="C34" s="142"/>
      <c r="D34" s="142"/>
      <c r="E34" s="142"/>
      <c r="F34" s="142"/>
      <c r="G34" s="142"/>
      <c r="H34" s="142"/>
      <c r="I34" s="142"/>
      <c r="J34" s="142"/>
    </row>
    <row r="37" spans="1:10">
      <c r="B37" s="145"/>
      <c r="C37" s="146"/>
    </row>
    <row r="39" spans="1:10">
      <c r="B39" s="150"/>
      <c r="C39" s="150"/>
      <c r="D39" s="150"/>
      <c r="E39" s="150"/>
      <c r="F39" s="150"/>
      <c r="G39" s="150"/>
      <c r="H39" s="150"/>
      <c r="I39" s="150"/>
    </row>
    <row r="50" spans="1:10">
      <c r="A50" s="405"/>
      <c r="B50" s="405"/>
      <c r="C50" s="405"/>
      <c r="D50" s="405"/>
      <c r="E50" s="405"/>
      <c r="F50" s="405"/>
      <c r="G50" s="405"/>
      <c r="H50" s="405"/>
      <c r="I50" s="405"/>
      <c r="J50" s="405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5"/>
  <sheetViews>
    <sheetView showGridLines="0" topLeftCell="A13" zoomScaleNormal="100" zoomScaleSheetLayoutView="100" workbookViewId="0">
      <selection activeCell="C1" sqref="C1"/>
    </sheetView>
  </sheetViews>
  <sheetFormatPr defaultColWidth="9.140625" defaultRowHeight="12.75"/>
  <cols>
    <col min="1" max="1" width="18.42578125" style="76" customWidth="1"/>
    <col min="2" max="10" width="9" style="76" customWidth="1"/>
    <col min="11" max="12" width="7.7109375" style="76" customWidth="1"/>
    <col min="13" max="16384" width="9.140625" style="76"/>
  </cols>
  <sheetData>
    <row r="1" spans="1:10" ht="18">
      <c r="A1" s="459" t="s">
        <v>298</v>
      </c>
      <c r="B1" s="459"/>
      <c r="C1" s="459"/>
      <c r="D1" s="459"/>
      <c r="E1" s="459"/>
      <c r="F1" s="459"/>
      <c r="G1" s="459"/>
      <c r="H1" s="459"/>
      <c r="I1" s="459"/>
      <c r="J1" s="459"/>
    </row>
    <row r="2" spans="1:10" ht="6" customHeight="1">
      <c r="A2" s="258"/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5.75" customHeight="1">
      <c r="A3" s="304">
        <f>'3.1'!A4</f>
        <v>2022</v>
      </c>
      <c r="B3" s="461" t="str">
        <f>'3.1'!D5</f>
        <v>Říjen</v>
      </c>
      <c r="C3" s="460"/>
      <c r="D3" s="462"/>
      <c r="E3" s="460" t="str">
        <f>'3.1'!E5</f>
        <v>Listopad</v>
      </c>
      <c r="F3" s="460"/>
      <c r="G3" s="460"/>
      <c r="H3" s="461" t="str">
        <f>'3.1'!F5</f>
        <v>Prosinec</v>
      </c>
      <c r="I3" s="460"/>
      <c r="J3" s="460"/>
    </row>
    <row r="4" spans="1:10" ht="28.5" customHeight="1">
      <c r="A4" s="278"/>
      <c r="B4" s="463" t="s">
        <v>60</v>
      </c>
      <c r="C4" s="464"/>
      <c r="D4" s="225" t="s">
        <v>184</v>
      </c>
      <c r="E4" s="464" t="s">
        <v>60</v>
      </c>
      <c r="F4" s="464"/>
      <c r="G4" s="222" t="s">
        <v>184</v>
      </c>
      <c r="H4" s="463" t="s">
        <v>60</v>
      </c>
      <c r="I4" s="464"/>
      <c r="J4" s="222" t="s">
        <v>184</v>
      </c>
    </row>
    <row r="5" spans="1:10" ht="15" customHeight="1">
      <c r="A5" s="266" t="s">
        <v>176</v>
      </c>
      <c r="B5" s="224" t="s">
        <v>263</v>
      </c>
      <c r="C5" s="222" t="s">
        <v>264</v>
      </c>
      <c r="D5" s="225" t="s">
        <v>232</v>
      </c>
      <c r="E5" s="222" t="s">
        <v>263</v>
      </c>
      <c r="F5" s="222" t="s">
        <v>264</v>
      </c>
      <c r="G5" s="222" t="s">
        <v>232</v>
      </c>
      <c r="H5" s="224" t="s">
        <v>263</v>
      </c>
      <c r="I5" s="222" t="s">
        <v>264</v>
      </c>
      <c r="J5" s="222" t="s">
        <v>232</v>
      </c>
    </row>
    <row r="6" spans="1:10" ht="12.6" customHeight="1">
      <c r="A6" s="155">
        <v>1</v>
      </c>
      <c r="B6" s="156">
        <v>13829.300848437733</v>
      </c>
      <c r="C6" s="157">
        <v>151563.35682570966</v>
      </c>
      <c r="D6" s="272">
        <v>10.3</v>
      </c>
      <c r="E6" s="157">
        <v>18716.136335057068</v>
      </c>
      <c r="F6" s="157">
        <v>204550.51865740001</v>
      </c>
      <c r="G6" s="260">
        <v>10.4</v>
      </c>
      <c r="H6" s="156">
        <v>33654.782141871168</v>
      </c>
      <c r="I6" s="157">
        <v>366818.10772993549</v>
      </c>
      <c r="J6" s="260">
        <v>0.4</v>
      </c>
    </row>
    <row r="7" spans="1:10" ht="12.6" customHeight="1">
      <c r="A7" s="155">
        <v>2</v>
      </c>
      <c r="B7" s="156">
        <v>13849.356236671118</v>
      </c>
      <c r="C7" s="157">
        <v>151781.05982570967</v>
      </c>
      <c r="D7" s="272">
        <v>10.9</v>
      </c>
      <c r="E7" s="157">
        <v>21063.294183848455</v>
      </c>
      <c r="F7" s="157">
        <v>230191.36265740002</v>
      </c>
      <c r="G7" s="260">
        <v>8.1999999999999993</v>
      </c>
      <c r="H7" s="156">
        <v>33325.011070180655</v>
      </c>
      <c r="I7" s="157">
        <v>363216.71172993549</v>
      </c>
      <c r="J7" s="260">
        <v>-0.8</v>
      </c>
    </row>
    <row r="8" spans="1:10" ht="12.6" customHeight="1">
      <c r="A8" s="155">
        <v>3</v>
      </c>
      <c r="B8" s="156">
        <v>16427.434002208218</v>
      </c>
      <c r="C8" s="157">
        <v>180035.76382570967</v>
      </c>
      <c r="D8" s="272">
        <v>10.5</v>
      </c>
      <c r="E8" s="157">
        <v>21584.812008638401</v>
      </c>
      <c r="F8" s="157">
        <v>235907.61265740002</v>
      </c>
      <c r="G8" s="260">
        <v>8</v>
      </c>
      <c r="H8" s="156">
        <v>29539.632174450486</v>
      </c>
      <c r="I8" s="157">
        <v>321943.82372993545</v>
      </c>
      <c r="J8" s="260">
        <v>1</v>
      </c>
    </row>
    <row r="9" spans="1:10" ht="12.6" customHeight="1">
      <c r="A9" s="155">
        <v>4</v>
      </c>
      <c r="B9" s="156">
        <v>16039.765283409539</v>
      </c>
      <c r="C9" s="157">
        <v>175785.78982570968</v>
      </c>
      <c r="D9" s="272">
        <v>9.8000000000000007</v>
      </c>
      <c r="E9" s="157">
        <v>21275.951801675015</v>
      </c>
      <c r="F9" s="157">
        <v>232518.7996574</v>
      </c>
      <c r="G9" s="260">
        <v>8.1</v>
      </c>
      <c r="H9" s="156">
        <v>26014.057737680287</v>
      </c>
      <c r="I9" s="157">
        <v>283377.01172993548</v>
      </c>
      <c r="J9" s="260">
        <v>3.9</v>
      </c>
    </row>
    <row r="10" spans="1:10" ht="12.6" customHeight="1">
      <c r="A10" s="155">
        <v>5</v>
      </c>
      <c r="B10" s="156">
        <v>15436.231765116167</v>
      </c>
      <c r="C10" s="157">
        <v>169170.21782570967</v>
      </c>
      <c r="D10" s="272">
        <v>11.2</v>
      </c>
      <c r="E10" s="157">
        <v>18063.064280563718</v>
      </c>
      <c r="F10" s="157">
        <v>197428.1306574</v>
      </c>
      <c r="G10" s="260">
        <v>6</v>
      </c>
      <c r="H10" s="156">
        <v>31063.755186932805</v>
      </c>
      <c r="I10" s="157">
        <v>338504.5207299355</v>
      </c>
      <c r="J10" s="260">
        <v>3.4</v>
      </c>
    </row>
    <row r="11" spans="1:10" ht="12.6" customHeight="1">
      <c r="A11" s="155">
        <v>6</v>
      </c>
      <c r="B11" s="156">
        <v>15099.006921665787</v>
      </c>
      <c r="C11" s="157">
        <v>165474.37882570966</v>
      </c>
      <c r="D11" s="272">
        <v>11.4</v>
      </c>
      <c r="E11" s="157">
        <v>19088.243255464087</v>
      </c>
      <c r="F11" s="157">
        <v>208629.0116574</v>
      </c>
      <c r="G11" s="260">
        <v>4.3</v>
      </c>
      <c r="H11" s="156">
        <v>32057.340794225791</v>
      </c>
      <c r="I11" s="157">
        <v>349331.69272993546</v>
      </c>
      <c r="J11" s="260">
        <v>1.5</v>
      </c>
    </row>
    <row r="12" spans="1:10" ht="12.6" customHeight="1">
      <c r="A12" s="155">
        <v>7</v>
      </c>
      <c r="B12" s="156">
        <v>14576.731192539986</v>
      </c>
      <c r="C12" s="157">
        <v>159751.60682570966</v>
      </c>
      <c r="D12" s="272">
        <v>12</v>
      </c>
      <c r="E12" s="157">
        <v>21119.404719004302</v>
      </c>
      <c r="F12" s="157">
        <v>230819.38165740002</v>
      </c>
      <c r="G12" s="260">
        <v>7.6</v>
      </c>
      <c r="H12" s="156">
        <v>32592.300738566515</v>
      </c>
      <c r="I12" s="157">
        <v>355156.97572993545</v>
      </c>
      <c r="J12" s="260">
        <v>1.3</v>
      </c>
    </row>
    <row r="13" spans="1:10" ht="12.6" customHeight="1">
      <c r="A13" s="155">
        <v>8</v>
      </c>
      <c r="B13" s="156">
        <v>12452.65096934061</v>
      </c>
      <c r="C13" s="157">
        <v>136474.46482570967</v>
      </c>
      <c r="D13" s="272">
        <v>11.9</v>
      </c>
      <c r="E13" s="157">
        <v>22941.352937673662</v>
      </c>
      <c r="F13" s="157">
        <v>250837.20265740002</v>
      </c>
      <c r="G13" s="260">
        <v>7.4</v>
      </c>
      <c r="H13" s="156">
        <v>33220.647508139831</v>
      </c>
      <c r="I13" s="157">
        <v>362025.38472993544</v>
      </c>
      <c r="J13" s="260">
        <v>0.3</v>
      </c>
    </row>
    <row r="14" spans="1:10" ht="12.6" customHeight="1">
      <c r="A14" s="155">
        <v>9</v>
      </c>
      <c r="B14" s="156">
        <v>13727.199733247282</v>
      </c>
      <c r="C14" s="157">
        <v>150443.60082570967</v>
      </c>
      <c r="D14" s="272">
        <v>7.9</v>
      </c>
      <c r="E14" s="157">
        <v>20943.517021246211</v>
      </c>
      <c r="F14" s="157">
        <v>228894.6936574</v>
      </c>
      <c r="G14" s="260">
        <v>7.5</v>
      </c>
      <c r="H14" s="156">
        <v>32744.041660508574</v>
      </c>
      <c r="I14" s="157">
        <v>356830.07672993548</v>
      </c>
      <c r="J14" s="260">
        <v>-0.4</v>
      </c>
    </row>
    <row r="15" spans="1:10" ht="12.6" customHeight="1">
      <c r="A15" s="155">
        <v>10</v>
      </c>
      <c r="B15" s="156">
        <v>15847.22825929017</v>
      </c>
      <c r="C15" s="157">
        <v>173676.99982570967</v>
      </c>
      <c r="D15" s="272">
        <v>10.9</v>
      </c>
      <c r="E15" s="157">
        <v>20918.265676629573</v>
      </c>
      <c r="F15" s="157">
        <v>228615.4976574</v>
      </c>
      <c r="G15" s="260">
        <v>7.1</v>
      </c>
      <c r="H15" s="156">
        <v>30555.097590466103</v>
      </c>
      <c r="I15" s="157">
        <v>332995.26972993545</v>
      </c>
      <c r="J15" s="260">
        <v>-0.4</v>
      </c>
    </row>
    <row r="16" spans="1:10" ht="12.6" customHeight="1">
      <c r="A16" s="155">
        <v>11</v>
      </c>
      <c r="B16" s="156">
        <v>18377.401251235722</v>
      </c>
      <c r="C16" s="157">
        <v>201427.15682570968</v>
      </c>
      <c r="D16" s="272">
        <v>9.6999999999999993</v>
      </c>
      <c r="E16" s="157">
        <v>21568.460306125238</v>
      </c>
      <c r="F16" s="157">
        <v>235727.8536574</v>
      </c>
      <c r="G16" s="260">
        <v>5.8</v>
      </c>
      <c r="H16" s="156">
        <v>34123.516180757353</v>
      </c>
      <c r="I16" s="157">
        <v>371912.03572993545</v>
      </c>
      <c r="J16" s="260">
        <v>-3.5</v>
      </c>
    </row>
    <row r="17" spans="1:10" ht="12.6" customHeight="1">
      <c r="A17" s="155">
        <v>12</v>
      </c>
      <c r="B17" s="156">
        <v>19043.423300407198</v>
      </c>
      <c r="C17" s="157">
        <v>208761.70782570966</v>
      </c>
      <c r="D17" s="272">
        <v>8.6</v>
      </c>
      <c r="E17" s="157">
        <v>21470.245499298078</v>
      </c>
      <c r="F17" s="157">
        <v>234726.0766574</v>
      </c>
      <c r="G17" s="260">
        <v>4.7</v>
      </c>
      <c r="H17" s="156">
        <v>38988.8790516769</v>
      </c>
      <c r="I17" s="157">
        <v>424879.42072993546</v>
      </c>
      <c r="J17" s="260">
        <v>-4.5</v>
      </c>
    </row>
    <row r="18" spans="1:10" ht="12.6" customHeight="1">
      <c r="A18" s="155">
        <v>13</v>
      </c>
      <c r="B18" s="156">
        <v>19555.806830128575</v>
      </c>
      <c r="C18" s="157">
        <v>214360.02982570967</v>
      </c>
      <c r="D18" s="273">
        <v>9.6</v>
      </c>
      <c r="E18" s="157">
        <v>21375.369738136815</v>
      </c>
      <c r="F18" s="157">
        <v>233635.35465740002</v>
      </c>
      <c r="G18" s="261">
        <v>4.5</v>
      </c>
      <c r="H18" s="156">
        <v>41639.475533335288</v>
      </c>
      <c r="I18" s="157">
        <v>453814.09972993546</v>
      </c>
      <c r="J18" s="261">
        <v>-8.1999999999999993</v>
      </c>
    </row>
    <row r="19" spans="1:10" ht="12.6" customHeight="1">
      <c r="A19" s="155">
        <v>14</v>
      </c>
      <c r="B19" s="156">
        <v>17865.048170426238</v>
      </c>
      <c r="C19" s="157">
        <v>195803.61782570966</v>
      </c>
      <c r="D19" s="273">
        <v>11.1</v>
      </c>
      <c r="E19" s="157">
        <v>25769.966299462998</v>
      </c>
      <c r="F19" s="157">
        <v>281753.57165739994</v>
      </c>
      <c r="G19" s="261">
        <v>5.8</v>
      </c>
      <c r="H19" s="156">
        <v>41738.842115884625</v>
      </c>
      <c r="I19" s="157">
        <v>454877.38772993546</v>
      </c>
      <c r="J19" s="261">
        <v>-4.9000000000000004</v>
      </c>
    </row>
    <row r="20" spans="1:10" ht="12.6" customHeight="1">
      <c r="A20" s="155">
        <v>15</v>
      </c>
      <c r="B20" s="156">
        <v>13384.393573482601</v>
      </c>
      <c r="C20" s="157">
        <v>146686.49782570967</v>
      </c>
      <c r="D20" s="273">
        <v>12.8</v>
      </c>
      <c r="E20" s="157">
        <v>24499.22846152234</v>
      </c>
      <c r="F20" s="157">
        <v>267771.06265740003</v>
      </c>
      <c r="G20" s="261">
        <v>4.9000000000000004</v>
      </c>
      <c r="H20" s="156">
        <v>40091.998597689286</v>
      </c>
      <c r="I20" s="157">
        <v>436968.25672993547</v>
      </c>
      <c r="J20" s="261">
        <v>-4.2</v>
      </c>
    </row>
    <row r="21" spans="1:10" ht="12.6" customHeight="1">
      <c r="A21" s="155">
        <v>16</v>
      </c>
      <c r="B21" s="156">
        <v>12449.817864482106</v>
      </c>
      <c r="C21" s="157">
        <v>136442.75582570967</v>
      </c>
      <c r="D21" s="273">
        <v>14.9</v>
      </c>
      <c r="E21" s="157">
        <v>23724.544108675971</v>
      </c>
      <c r="F21" s="157">
        <v>259302.16765740002</v>
      </c>
      <c r="G21" s="261">
        <v>5.4</v>
      </c>
      <c r="H21" s="156">
        <v>38348.556215215023</v>
      </c>
      <c r="I21" s="157">
        <v>417954.77672993549</v>
      </c>
      <c r="J21" s="261">
        <v>-3.1</v>
      </c>
    </row>
    <row r="22" spans="1:10" ht="12.6" customHeight="1">
      <c r="A22" s="155">
        <v>17</v>
      </c>
      <c r="B22" s="156">
        <v>16260.140272181876</v>
      </c>
      <c r="C22" s="157">
        <v>178232.29182570966</v>
      </c>
      <c r="D22" s="273">
        <v>13.4</v>
      </c>
      <c r="E22" s="157">
        <v>23276.573456723963</v>
      </c>
      <c r="F22" s="157">
        <v>254411.0356574</v>
      </c>
      <c r="G22" s="261">
        <v>3.5</v>
      </c>
      <c r="H22" s="156">
        <v>35930.891916272012</v>
      </c>
      <c r="I22" s="157">
        <v>391578.05372993549</v>
      </c>
      <c r="J22" s="261">
        <v>-5.2</v>
      </c>
    </row>
    <row r="23" spans="1:10" ht="12.6" customHeight="1">
      <c r="A23" s="155">
        <v>18</v>
      </c>
      <c r="B23" s="156">
        <v>16947.740333718673</v>
      </c>
      <c r="C23" s="262">
        <v>185813.86382570968</v>
      </c>
      <c r="D23" s="274">
        <v>12.7</v>
      </c>
      <c r="E23" s="157">
        <v>26170.699367280711</v>
      </c>
      <c r="F23" s="262">
        <v>286047.96765739995</v>
      </c>
      <c r="G23" s="263">
        <v>0.4</v>
      </c>
      <c r="H23" s="156">
        <v>37056.219199554122</v>
      </c>
      <c r="I23" s="262">
        <v>403688.74272993545</v>
      </c>
      <c r="J23" s="263">
        <v>-8.5</v>
      </c>
    </row>
    <row r="24" spans="1:10" ht="12.6" customHeight="1">
      <c r="A24" s="155">
        <v>19</v>
      </c>
      <c r="B24" s="156">
        <v>19553.068314792316</v>
      </c>
      <c r="C24" s="262">
        <v>214303.44182570968</v>
      </c>
      <c r="D24" s="274">
        <v>7.8</v>
      </c>
      <c r="E24" s="157">
        <v>27103.066340632264</v>
      </c>
      <c r="F24" s="262">
        <v>296244.76065739995</v>
      </c>
      <c r="G24" s="263">
        <v>-3.5</v>
      </c>
      <c r="H24" s="156">
        <v>38730.667652202625</v>
      </c>
      <c r="I24" s="262">
        <v>422005.90072993544</v>
      </c>
      <c r="J24" s="263">
        <v>-3.2</v>
      </c>
    </row>
    <row r="25" spans="1:10" ht="12.6" customHeight="1">
      <c r="A25" s="155">
        <v>20</v>
      </c>
      <c r="B25" s="156">
        <v>19821.253914639074</v>
      </c>
      <c r="C25" s="157">
        <v>217238.88582570967</v>
      </c>
      <c r="D25" s="273">
        <v>6.4</v>
      </c>
      <c r="E25" s="157">
        <v>28410.462839978605</v>
      </c>
      <c r="F25" s="157">
        <v>310536.97865739994</v>
      </c>
      <c r="G25" s="261">
        <v>-1.3</v>
      </c>
      <c r="H25" s="156">
        <v>35742.427775707256</v>
      </c>
      <c r="I25" s="157">
        <v>389355.69072993548</v>
      </c>
      <c r="J25" s="261">
        <v>-1.7</v>
      </c>
    </row>
    <row r="26" spans="1:10" ht="12.6" customHeight="1">
      <c r="A26" s="155">
        <v>21</v>
      </c>
      <c r="B26" s="156">
        <v>20388.921913158829</v>
      </c>
      <c r="C26" s="157">
        <v>223474.28682570969</v>
      </c>
      <c r="D26" s="273">
        <v>8.3000000000000007</v>
      </c>
      <c r="E26" s="157">
        <v>32032.650715607837</v>
      </c>
      <c r="F26" s="157">
        <v>350155.09765739995</v>
      </c>
      <c r="G26" s="261">
        <v>1.6</v>
      </c>
      <c r="H26" s="156">
        <v>34753.270613279426</v>
      </c>
      <c r="I26" s="157">
        <v>378704.79572993546</v>
      </c>
      <c r="J26" s="261">
        <v>0.2</v>
      </c>
    </row>
    <row r="27" spans="1:10" ht="12.6" customHeight="1">
      <c r="A27" s="155">
        <v>22</v>
      </c>
      <c r="B27" s="156">
        <v>18242.572299978834</v>
      </c>
      <c r="C27" s="157">
        <v>200013.69982570966</v>
      </c>
      <c r="D27" s="273">
        <v>9.6</v>
      </c>
      <c r="E27" s="157">
        <v>29937.107737875067</v>
      </c>
      <c r="F27" s="157">
        <v>327205.43265739997</v>
      </c>
      <c r="G27" s="261">
        <v>1.6</v>
      </c>
      <c r="H27" s="156">
        <v>29045.439904673036</v>
      </c>
      <c r="I27" s="157">
        <v>316391.46072993544</v>
      </c>
      <c r="J27" s="261">
        <v>3.5</v>
      </c>
    </row>
    <row r="28" spans="1:10" ht="12.6" customHeight="1">
      <c r="A28" s="155">
        <v>23</v>
      </c>
      <c r="B28" s="270">
        <v>16152.943947234473</v>
      </c>
      <c r="C28" s="264">
        <v>177091.09682570968</v>
      </c>
      <c r="D28" s="272">
        <v>10.8</v>
      </c>
      <c r="E28" s="264">
        <v>28688.953691471892</v>
      </c>
      <c r="F28" s="264">
        <v>313558.36865739996</v>
      </c>
      <c r="G28" s="260">
        <v>2.2999999999999998</v>
      </c>
      <c r="H28" s="270">
        <v>24853.612728079366</v>
      </c>
      <c r="I28" s="264">
        <v>270727.69072993548</v>
      </c>
      <c r="J28" s="260">
        <v>5.3</v>
      </c>
    </row>
    <row r="29" spans="1:10" ht="12.6" customHeight="1">
      <c r="A29" s="155">
        <v>24</v>
      </c>
      <c r="B29" s="271">
        <v>18520.678039991079</v>
      </c>
      <c r="C29" s="265">
        <v>202961.00982570968</v>
      </c>
      <c r="D29" s="272">
        <v>13</v>
      </c>
      <c r="E29" s="265">
        <v>30088.129335837002</v>
      </c>
      <c r="F29" s="265">
        <v>328931.75465739996</v>
      </c>
      <c r="G29" s="260">
        <v>3.6</v>
      </c>
      <c r="H29" s="271">
        <v>21421.551224656887</v>
      </c>
      <c r="I29" s="265">
        <v>233348.84172993546</v>
      </c>
      <c r="J29" s="260">
        <v>6.3</v>
      </c>
    </row>
    <row r="30" spans="1:10" ht="12.6" customHeight="1">
      <c r="A30" s="155">
        <v>25</v>
      </c>
      <c r="B30" s="156">
        <v>18405.70715882388</v>
      </c>
      <c r="C30" s="157">
        <v>201730.99482570967</v>
      </c>
      <c r="D30" s="273">
        <v>10.7</v>
      </c>
      <c r="E30" s="157">
        <v>28455.793740479279</v>
      </c>
      <c r="F30" s="157">
        <v>311062.29365739995</v>
      </c>
      <c r="G30" s="261">
        <v>3.3</v>
      </c>
      <c r="H30" s="156">
        <v>21237.496051256341</v>
      </c>
      <c r="I30" s="157">
        <v>231341.40472993546</v>
      </c>
      <c r="J30" s="261">
        <v>4.9000000000000004</v>
      </c>
    </row>
    <row r="31" spans="1:10" ht="12.6" customHeight="1">
      <c r="A31" s="155">
        <v>26</v>
      </c>
      <c r="B31" s="156">
        <v>19473.870826725535</v>
      </c>
      <c r="C31" s="157">
        <v>213472.03582570967</v>
      </c>
      <c r="D31" s="273">
        <v>10.1</v>
      </c>
      <c r="E31" s="157">
        <v>23337.769431721885</v>
      </c>
      <c r="F31" s="157">
        <v>255083.87765740001</v>
      </c>
      <c r="G31" s="261">
        <v>4.5999999999999996</v>
      </c>
      <c r="H31" s="156">
        <v>21378.252636228153</v>
      </c>
      <c r="I31" s="157">
        <v>232879.62372993547</v>
      </c>
      <c r="J31" s="261">
        <v>7</v>
      </c>
    </row>
    <row r="32" spans="1:10" ht="12.6" customHeight="1">
      <c r="A32" s="155">
        <v>27</v>
      </c>
      <c r="B32" s="156">
        <v>17155.772429214936</v>
      </c>
      <c r="C32" s="157">
        <v>188037.08982570967</v>
      </c>
      <c r="D32" s="273">
        <v>11.3</v>
      </c>
      <c r="E32" s="157">
        <v>25260.626852020407</v>
      </c>
      <c r="F32" s="157">
        <v>276108.90565739997</v>
      </c>
      <c r="G32" s="261">
        <v>1.3</v>
      </c>
      <c r="H32" s="156">
        <v>24622.680221163704</v>
      </c>
      <c r="I32" s="157">
        <v>268229.47572993545</v>
      </c>
      <c r="J32" s="261">
        <v>2</v>
      </c>
    </row>
    <row r="33" spans="1:15" ht="12.6" customHeight="1">
      <c r="A33" s="155">
        <v>28</v>
      </c>
      <c r="B33" s="156">
        <v>14087.43120734426</v>
      </c>
      <c r="C33" s="157">
        <v>154392.88682570966</v>
      </c>
      <c r="D33" s="273">
        <v>11.6</v>
      </c>
      <c r="E33" s="157">
        <v>31446.665165863502</v>
      </c>
      <c r="F33" s="157">
        <v>343762.91465739993</v>
      </c>
      <c r="G33" s="261">
        <v>2</v>
      </c>
      <c r="H33" s="156">
        <v>25503.616951995518</v>
      </c>
      <c r="I33" s="157">
        <v>277815.74872993544</v>
      </c>
      <c r="J33" s="261">
        <v>2.4</v>
      </c>
    </row>
    <row r="34" spans="1:15" ht="12.6" customHeight="1">
      <c r="A34" s="155">
        <v>29</v>
      </c>
      <c r="B34" s="156">
        <v>13673.833257908856</v>
      </c>
      <c r="C34" s="157">
        <v>149861.88682570966</v>
      </c>
      <c r="D34" s="273">
        <v>12.2</v>
      </c>
      <c r="E34" s="157">
        <v>31745.654939970416</v>
      </c>
      <c r="F34" s="157">
        <v>347042.01665739994</v>
      </c>
      <c r="G34" s="261">
        <v>1.5</v>
      </c>
      <c r="H34" s="156">
        <v>23923.832326821615</v>
      </c>
      <c r="I34" s="157">
        <v>260596.10272993546</v>
      </c>
      <c r="J34" s="261">
        <v>4.8</v>
      </c>
    </row>
    <row r="35" spans="1:15" ht="12.6" customHeight="1">
      <c r="A35" s="155">
        <v>30</v>
      </c>
      <c r="B35" s="156">
        <v>14106.786197291669</v>
      </c>
      <c r="C35" s="157">
        <v>154608.37082570966</v>
      </c>
      <c r="D35" s="273">
        <v>12</v>
      </c>
      <c r="E35" s="157">
        <v>32894.720215692716</v>
      </c>
      <c r="F35" s="157">
        <v>359635.94465739996</v>
      </c>
      <c r="G35" s="261">
        <v>0.8</v>
      </c>
      <c r="H35" s="156">
        <v>23001.87917559065</v>
      </c>
      <c r="I35" s="157">
        <v>250555.36872993546</v>
      </c>
      <c r="J35" s="261">
        <v>4.4000000000000004</v>
      </c>
    </row>
    <row r="36" spans="1:15" ht="12.6" customHeight="1">
      <c r="A36" s="160">
        <v>31</v>
      </c>
      <c r="B36" s="161">
        <v>16860.750823298076</v>
      </c>
      <c r="C36" s="162">
        <v>184791.98182570966</v>
      </c>
      <c r="D36" s="275">
        <v>10.7</v>
      </c>
      <c r="E36" s="162"/>
      <c r="F36" s="162"/>
      <c r="G36" s="267"/>
      <c r="H36" s="161">
        <v>19274.311173230068</v>
      </c>
      <c r="I36" s="162">
        <v>209944.08572993547</v>
      </c>
      <c r="J36" s="267">
        <v>9.5</v>
      </c>
    </row>
    <row r="37" spans="1:15" ht="12.6" customHeight="1">
      <c r="A37" s="268" t="s">
        <v>0</v>
      </c>
      <c r="B37" s="170">
        <f>SUM(B6:B36)</f>
        <v>507612.2671383915</v>
      </c>
      <c r="C37" s="171">
        <f>SUM(C6:C36)</f>
        <v>5563662.8285969989</v>
      </c>
      <c r="D37" s="276">
        <f>AVERAGE(D6:D36)</f>
        <v>10.777419354838711</v>
      </c>
      <c r="E37" s="171">
        <f>SUM(E6:E36)</f>
        <v>742970.73046417756</v>
      </c>
      <c r="F37" s="171">
        <f>SUM(F6:F36)</f>
        <v>8121095.6477220003</v>
      </c>
      <c r="G37" s="269">
        <f>AVERAGE(G6:G36)</f>
        <v>4.2466666666666661</v>
      </c>
      <c r="H37" s="170">
        <f>SUM(H6:H36)</f>
        <v>966174.08384829131</v>
      </c>
      <c r="I37" s="171">
        <f>SUM(I6:I36)</f>
        <v>10527768.539627999</v>
      </c>
      <c r="J37" s="269">
        <f>AVERAGE(J6:J36)</f>
        <v>0.43548387096774194</v>
      </c>
      <c r="M37" s="77"/>
      <c r="N37" s="77"/>
      <c r="O37" s="77"/>
    </row>
    <row r="38" spans="1:15" ht="12.95" customHeight="1">
      <c r="A38" s="155" t="s">
        <v>177</v>
      </c>
      <c r="B38" s="156">
        <f>MAX(B6:B36)</f>
        <v>20388.921913158829</v>
      </c>
      <c r="C38" s="157">
        <f>MAX(C6:C36)</f>
        <v>223474.28682570969</v>
      </c>
      <c r="D38" s="273">
        <f>VLOOKUP(B38,$B$6:$D$36,3,FALSE)</f>
        <v>8.3000000000000007</v>
      </c>
      <c r="E38" s="157">
        <f>MAX(E6:E36)</f>
        <v>32894.720215692716</v>
      </c>
      <c r="F38" s="157">
        <f>MAX(F6:F36)</f>
        <v>359635.94465739996</v>
      </c>
      <c r="G38" s="261">
        <f>VLOOKUP(E38,$E$6:$G$36,3,FALSE)</f>
        <v>0.8</v>
      </c>
      <c r="H38" s="156">
        <f>MAX(H6:H36)</f>
        <v>41738.842115884625</v>
      </c>
      <c r="I38" s="157">
        <f>MAX(I6:I36)</f>
        <v>454877.38772993546</v>
      </c>
      <c r="J38" s="261">
        <f>VLOOKUP(H38,$H$6:$J$36,3,FALSE)</f>
        <v>-4.9000000000000004</v>
      </c>
    </row>
    <row r="39" spans="1:15" ht="12.95" customHeight="1">
      <c r="A39" s="155" t="s">
        <v>178</v>
      </c>
      <c r="B39" s="156">
        <f>MIN(B6:B36)</f>
        <v>12449.817864482106</v>
      </c>
      <c r="C39" s="157">
        <f>MIN(C6:C36)</f>
        <v>136442.75582570967</v>
      </c>
      <c r="D39" s="273">
        <f>VLOOKUP(B39,$B$6:$D$36,3,FALSE)</f>
        <v>14.9</v>
      </c>
      <c r="E39" s="157">
        <f>MIN(E6:E36)</f>
        <v>18063.064280563718</v>
      </c>
      <c r="F39" s="157">
        <f>MIN(F6:F36)</f>
        <v>197428.1306574</v>
      </c>
      <c r="G39" s="261">
        <f>VLOOKUP(E39,$E$6:$G$36,3,FALSE)</f>
        <v>6</v>
      </c>
      <c r="H39" s="156">
        <f>MIN(H6:H36)</f>
        <v>19274.311173230068</v>
      </c>
      <c r="I39" s="157">
        <f>MIN(I6:I36)</f>
        <v>209944.08572993547</v>
      </c>
      <c r="J39" s="261">
        <f>VLOOKUP(H39,$H$6:$J$36,3,FALSE)</f>
        <v>9.5</v>
      </c>
    </row>
    <row r="40" spans="1:15" ht="12.95" customHeight="1">
      <c r="A40" s="160" t="s">
        <v>179</v>
      </c>
      <c r="B40" s="161">
        <f t="shared" ref="B40:J40" si="0">AVERAGE(B6:B36)</f>
        <v>16374.589262528758</v>
      </c>
      <c r="C40" s="162">
        <f t="shared" si="0"/>
        <v>179472.99447087094</v>
      </c>
      <c r="D40" s="275">
        <f t="shared" si="0"/>
        <v>10.777419354838711</v>
      </c>
      <c r="E40" s="162">
        <f t="shared" si="0"/>
        <v>24765.691015472585</v>
      </c>
      <c r="F40" s="162">
        <f>AVERAGE(F6:F36)</f>
        <v>270703.1882574</v>
      </c>
      <c r="G40" s="267">
        <f>AVERAGE(G6:G36)</f>
        <v>4.2466666666666661</v>
      </c>
      <c r="H40" s="161">
        <f>AVERAGE(H6:H36)</f>
        <v>31166.905930590041</v>
      </c>
      <c r="I40" s="162">
        <f t="shared" si="0"/>
        <v>339605.43676219351</v>
      </c>
      <c r="J40" s="267">
        <f t="shared" si="0"/>
        <v>0.43548387096774194</v>
      </c>
    </row>
    <row r="41" spans="1:15" ht="15" customHeight="1">
      <c r="A41" s="43"/>
      <c r="B41" s="456" t="str">
        <f>B3</f>
        <v>Říjen</v>
      </c>
      <c r="C41" s="457"/>
      <c r="D41" s="458"/>
      <c r="E41" s="456" t="str">
        <f>E3</f>
        <v>Listopad</v>
      </c>
      <c r="F41" s="457"/>
      <c r="G41" s="458"/>
      <c r="H41" s="456" t="str">
        <f>H3</f>
        <v>Prosinec</v>
      </c>
      <c r="I41" s="457"/>
      <c r="J41" s="457"/>
    </row>
    <row r="42" spans="1:15" ht="15" customHeight="1">
      <c r="A42" s="43"/>
      <c r="B42" s="303" t="s">
        <v>271</v>
      </c>
      <c r="C42" s="79"/>
      <c r="D42" s="301"/>
      <c r="E42" s="303" t="s">
        <v>271</v>
      </c>
      <c r="F42" s="79"/>
      <c r="G42" s="79"/>
      <c r="H42" s="303" t="s">
        <v>271</v>
      </c>
      <c r="I42" s="79"/>
      <c r="J42" s="79"/>
    </row>
    <row r="43" spans="1:15" ht="21" customHeight="1">
      <c r="A43" s="43"/>
      <c r="B43" s="297"/>
      <c r="C43" s="79"/>
      <c r="D43" s="301"/>
      <c r="E43" s="79"/>
      <c r="F43" s="79"/>
      <c r="G43" s="79"/>
      <c r="H43" s="297"/>
      <c r="I43" s="79"/>
      <c r="J43" s="79"/>
    </row>
    <row r="44" spans="1:15" ht="21" customHeight="1">
      <c r="B44" s="297"/>
      <c r="C44" s="79"/>
      <c r="D44" s="301"/>
      <c r="E44" s="79"/>
      <c r="F44" s="79"/>
      <c r="G44" s="79"/>
      <c r="H44" s="297"/>
      <c r="I44" s="79"/>
      <c r="J44" s="79"/>
    </row>
    <row r="45" spans="1:15" ht="21" customHeight="1">
      <c r="B45" s="298" t="s">
        <v>269</v>
      </c>
      <c r="C45" s="81">
        <f>B38</f>
        <v>20388.921913158829</v>
      </c>
      <c r="D45" s="301"/>
      <c r="E45" s="80" t="s">
        <v>269</v>
      </c>
      <c r="F45" s="81">
        <f>E38</f>
        <v>32894.720215692716</v>
      </c>
      <c r="G45" s="79"/>
      <c r="H45" s="298" t="s">
        <v>269</v>
      </c>
      <c r="I45" s="81">
        <f>H38</f>
        <v>41738.842115884625</v>
      </c>
      <c r="J45" s="79"/>
    </row>
    <row r="46" spans="1:15" ht="21" customHeight="1">
      <c r="B46" s="299" t="s">
        <v>270</v>
      </c>
      <c r="C46" s="81">
        <f t="shared" ref="C46:C47" si="1">B39</f>
        <v>12449.817864482106</v>
      </c>
      <c r="D46" s="301"/>
      <c r="E46" s="82" t="s">
        <v>270</v>
      </c>
      <c r="F46" s="81">
        <f t="shared" ref="F46:F47" si="2">E39</f>
        <v>18063.064280563718</v>
      </c>
      <c r="G46" s="79"/>
      <c r="H46" s="299" t="s">
        <v>270</v>
      </c>
      <c r="I46" s="81">
        <f t="shared" ref="I46:I47" si="3">H39</f>
        <v>19274.311173230068</v>
      </c>
      <c r="J46" s="79"/>
    </row>
    <row r="47" spans="1:15" ht="21" customHeight="1">
      <c r="B47" s="299" t="s">
        <v>62</v>
      </c>
      <c r="C47" s="81">
        <f t="shared" si="1"/>
        <v>16374.589262528758</v>
      </c>
      <c r="D47" s="301"/>
      <c r="E47" s="82" t="s">
        <v>62</v>
      </c>
      <c r="F47" s="81">
        <f t="shared" si="2"/>
        <v>24765.691015472585</v>
      </c>
      <c r="G47" s="79"/>
      <c r="H47" s="299" t="s">
        <v>62</v>
      </c>
      <c r="I47" s="81">
        <f t="shared" si="3"/>
        <v>31166.905930590041</v>
      </c>
      <c r="J47" s="79"/>
    </row>
    <row r="48" spans="1:15" ht="21" customHeight="1">
      <c r="B48" s="297"/>
      <c r="C48" s="79"/>
      <c r="D48" s="301"/>
      <c r="E48" s="79"/>
      <c r="F48" s="79"/>
      <c r="G48" s="79"/>
      <c r="H48" s="297"/>
      <c r="I48" s="79"/>
      <c r="J48" s="79"/>
    </row>
    <row r="49" spans="1:10" ht="21" customHeight="1">
      <c r="B49" s="297"/>
      <c r="C49" s="79"/>
      <c r="D49" s="301"/>
      <c r="E49" s="79"/>
      <c r="F49" s="79"/>
      <c r="G49" s="79"/>
      <c r="H49" s="297"/>
      <c r="I49" s="79"/>
      <c r="J49" s="79"/>
    </row>
    <row r="50" spans="1:10" ht="21" customHeight="1">
      <c r="B50" s="297"/>
      <c r="C50" s="79"/>
      <c r="D50" s="301"/>
      <c r="E50" s="79"/>
      <c r="F50" s="79"/>
      <c r="G50" s="79"/>
      <c r="H50" s="297"/>
      <c r="I50" s="79"/>
      <c r="J50" s="79"/>
    </row>
    <row r="51" spans="1:10" ht="21" customHeight="1">
      <c r="A51" s="284"/>
      <c r="B51" s="300"/>
      <c r="C51" s="284"/>
      <c r="D51" s="302"/>
      <c r="E51" s="284"/>
      <c r="F51" s="284"/>
      <c r="G51" s="284"/>
      <c r="H51" s="300"/>
      <c r="I51" s="284"/>
      <c r="J51" s="284"/>
    </row>
    <row r="52" spans="1:10" ht="12.75" customHeight="1">
      <c r="A52" s="133" t="s">
        <v>180</v>
      </c>
      <c r="B52" s="287">
        <v>995.37057621320218</v>
      </c>
      <c r="C52" s="288">
        <v>10909.717187836915</v>
      </c>
      <c r="D52" s="293" t="s">
        <v>210</v>
      </c>
      <c r="E52" s="41">
        <v>1337.9081321188194</v>
      </c>
      <c r="F52" s="41">
        <v>14624.102220034743</v>
      </c>
      <c r="G52" s="279" t="s">
        <v>210</v>
      </c>
      <c r="H52" s="287">
        <v>1159.3861705360478</v>
      </c>
      <c r="I52" s="288">
        <v>12633.074572683045</v>
      </c>
      <c r="J52" s="289" t="s">
        <v>210</v>
      </c>
    </row>
    <row r="53" spans="1:10" ht="12.95" customHeight="1">
      <c r="A53" s="281" t="s">
        <v>181</v>
      </c>
      <c r="B53" s="290">
        <v>636.8460021321381</v>
      </c>
      <c r="C53" s="282">
        <v>6980.1237262794402</v>
      </c>
      <c r="D53" s="294" t="s">
        <v>210</v>
      </c>
      <c r="E53" s="282">
        <v>1400.0400678226963</v>
      </c>
      <c r="F53" s="282">
        <v>15303.239865624171</v>
      </c>
      <c r="G53" s="283" t="s">
        <v>210</v>
      </c>
      <c r="H53" s="290">
        <v>1523.9699211799646</v>
      </c>
      <c r="I53" s="282">
        <v>16605.705803693469</v>
      </c>
      <c r="J53" s="283" t="s">
        <v>210</v>
      </c>
    </row>
    <row r="54" spans="1:10" ht="12.95" customHeight="1">
      <c r="A54" s="280" t="s">
        <v>182</v>
      </c>
      <c r="B54" s="291">
        <v>24244.208232450761</v>
      </c>
      <c r="C54" s="83">
        <v>265727.62102866452</v>
      </c>
      <c r="D54" s="295">
        <v>0</v>
      </c>
      <c r="E54" s="83">
        <v>32390.926084558196</v>
      </c>
      <c r="F54" s="83">
        <v>354051.37519569293</v>
      </c>
      <c r="G54" s="256">
        <v>0</v>
      </c>
      <c r="H54" s="291">
        <v>32731.290622950935</v>
      </c>
      <c r="I54" s="83">
        <v>356651.51595582528</v>
      </c>
      <c r="J54" s="256">
        <v>0</v>
      </c>
    </row>
    <row r="55" spans="1:10" ht="12.95" customHeight="1">
      <c r="A55" s="281" t="s">
        <v>183</v>
      </c>
      <c r="B55" s="292">
        <v>31886.360258036417</v>
      </c>
      <c r="C55" s="285">
        <v>349489.10574401781</v>
      </c>
      <c r="D55" s="296">
        <v>-12</v>
      </c>
      <c r="E55" s="285">
        <v>49191.406898430549</v>
      </c>
      <c r="F55" s="285">
        <v>537690.25358318305</v>
      </c>
      <c r="G55" s="286">
        <v>-12</v>
      </c>
      <c r="H55" s="292">
        <v>51018.929677110515</v>
      </c>
      <c r="I55" s="285">
        <v>555919.98560014693</v>
      </c>
      <c r="J55" s="286">
        <v>-12</v>
      </c>
    </row>
  </sheetData>
  <mergeCells count="10">
    <mergeCell ref="B41:D41"/>
    <mergeCell ref="E41:G41"/>
    <mergeCell ref="H41:J41"/>
    <mergeCell ref="A1:J1"/>
    <mergeCell ref="E3:G3"/>
    <mergeCell ref="H3:J3"/>
    <mergeCell ref="B3:D3"/>
    <mergeCell ref="B4:C4"/>
    <mergeCell ref="E4:F4"/>
    <mergeCell ref="H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7:D39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3"/>
  <sheetViews>
    <sheetView showGridLines="0" topLeftCell="A4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2" width="9.140625" style="85"/>
    <col min="13" max="13" width="9.140625" style="84"/>
    <col min="14" max="14" width="11.140625" style="84" customWidth="1"/>
    <col min="15" max="16384" width="9.140625" style="84"/>
  </cols>
  <sheetData>
    <row r="1" spans="1:21" ht="20.25">
      <c r="A1" s="55" t="s">
        <v>291</v>
      </c>
    </row>
    <row r="2" spans="1:21" s="86" customFormat="1" ht="18">
      <c r="A2" s="459" t="s">
        <v>299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85"/>
      <c r="M2" s="84"/>
      <c r="N2" s="84"/>
      <c r="O2" s="84"/>
      <c r="P2" s="84"/>
      <c r="Q2" s="84"/>
      <c r="R2" s="84"/>
      <c r="S2" s="84"/>
      <c r="T2" s="84"/>
      <c r="U2" s="84"/>
    </row>
    <row r="3" spans="1:21" ht="6" customHeight="1">
      <c r="A3" s="474"/>
      <c r="B3" s="474"/>
      <c r="C3" s="474"/>
      <c r="D3" s="320"/>
      <c r="E3" s="320"/>
      <c r="F3" s="321"/>
      <c r="G3" s="322"/>
      <c r="H3" s="322"/>
      <c r="I3" s="322"/>
      <c r="J3" s="284"/>
      <c r="K3" s="284"/>
    </row>
    <row r="4" spans="1:21" ht="15" customHeight="1">
      <c r="A4" s="484" t="s">
        <v>2</v>
      </c>
      <c r="B4" s="484"/>
      <c r="C4" s="484"/>
      <c r="D4" s="478">
        <f>'3.1'!A4</f>
        <v>2022</v>
      </c>
      <c r="E4" s="479"/>
      <c r="F4" s="479"/>
      <c r="G4" s="479"/>
      <c r="H4" s="381"/>
      <c r="I4" s="478">
        <f>D4-1</f>
        <v>2021</v>
      </c>
      <c r="J4" s="479"/>
      <c r="K4" s="479"/>
    </row>
    <row r="5" spans="1:21" ht="50.1" customHeight="1">
      <c r="A5" s="327"/>
      <c r="B5" s="327"/>
      <c r="C5" s="327"/>
      <c r="D5" s="480"/>
      <c r="E5" s="481"/>
      <c r="F5" s="481"/>
      <c r="G5" s="481"/>
      <c r="H5" s="175"/>
      <c r="I5" s="480"/>
      <c r="J5" s="481"/>
      <c r="K5" s="481"/>
    </row>
    <row r="6" spans="1:21" ht="24.95" customHeight="1">
      <c r="A6" s="484" t="s">
        <v>159</v>
      </c>
      <c r="B6" s="484"/>
      <c r="C6" s="484" t="s">
        <v>185</v>
      </c>
      <c r="D6" s="482" t="s">
        <v>160</v>
      </c>
      <c r="E6" s="476" t="s">
        <v>60</v>
      </c>
      <c r="F6" s="476"/>
      <c r="G6" s="477" t="s">
        <v>33</v>
      </c>
      <c r="H6" s="477" t="s">
        <v>272</v>
      </c>
      <c r="I6" s="475" t="s">
        <v>60</v>
      </c>
      <c r="J6" s="476"/>
      <c r="K6" s="477" t="s">
        <v>33</v>
      </c>
    </row>
    <row r="7" spans="1:21" ht="22.5" customHeight="1">
      <c r="A7" s="485"/>
      <c r="B7" s="485"/>
      <c r="C7" s="485"/>
      <c r="D7" s="483"/>
      <c r="E7" s="222" t="s">
        <v>263</v>
      </c>
      <c r="F7" s="222" t="s">
        <v>264</v>
      </c>
      <c r="G7" s="464"/>
      <c r="H7" s="464"/>
      <c r="I7" s="224" t="s">
        <v>263</v>
      </c>
      <c r="J7" s="222" t="s">
        <v>264</v>
      </c>
      <c r="K7" s="464"/>
    </row>
    <row r="8" spans="1:21" ht="12.95" customHeight="1">
      <c r="A8" s="469" t="str">
        <f>'3.1'!D5</f>
        <v>Říjen</v>
      </c>
      <c r="B8" s="469"/>
      <c r="C8" s="165" t="s">
        <v>4</v>
      </c>
      <c r="D8" s="317">
        <v>1568</v>
      </c>
      <c r="E8" s="313">
        <v>274317.60435285541</v>
      </c>
      <c r="F8" s="313">
        <v>3006535.6889510001</v>
      </c>
      <c r="G8" s="314">
        <f t="shared" ref="G8:G13" si="0">E8/$E$14</f>
        <v>0.54040751623137595</v>
      </c>
      <c r="H8" s="314">
        <f>(E8-I8)/I8</f>
        <v>-0.21332165556799543</v>
      </c>
      <c r="I8" s="317">
        <v>348703.64272060583</v>
      </c>
      <c r="J8" s="313">
        <v>3729970.2374090003</v>
      </c>
      <c r="K8" s="314">
        <f>I8/$I$14</f>
        <v>0.49068591635831493</v>
      </c>
      <c r="M8" s="89"/>
      <c r="N8" s="89"/>
      <c r="O8" s="89"/>
      <c r="P8" s="89"/>
      <c r="Q8" s="89"/>
      <c r="R8" s="89"/>
      <c r="S8" s="89"/>
      <c r="T8" s="90"/>
      <c r="U8" s="90"/>
    </row>
    <row r="9" spans="1:21" ht="12.95" customHeight="1">
      <c r="A9" s="470"/>
      <c r="B9" s="470"/>
      <c r="C9" s="155" t="s">
        <v>5</v>
      </c>
      <c r="D9" s="318">
        <v>6337</v>
      </c>
      <c r="E9" s="130">
        <v>46188.890162893113</v>
      </c>
      <c r="F9" s="130">
        <v>506240.72078000003</v>
      </c>
      <c r="G9" s="312">
        <f t="shared" si="0"/>
        <v>9.0992422703960824E-2</v>
      </c>
      <c r="H9" s="312">
        <f t="shared" ref="H9:H12" si="1">(E9-I9)/I9</f>
        <v>-0.34873863338151234</v>
      </c>
      <c r="I9" s="318">
        <v>70922.201945921362</v>
      </c>
      <c r="J9" s="130">
        <v>758654.75233000028</v>
      </c>
      <c r="K9" s="312">
        <f t="shared" ref="K9:K13" si="2">I9/$I$14</f>
        <v>9.9799719270117729E-2</v>
      </c>
      <c r="L9" s="91"/>
      <c r="M9" s="89"/>
      <c r="N9" s="89"/>
      <c r="O9" s="89"/>
      <c r="P9" s="89"/>
      <c r="Q9" s="89"/>
      <c r="R9" s="89"/>
      <c r="S9" s="89"/>
    </row>
    <row r="10" spans="1:21" ht="12.95" customHeight="1">
      <c r="A10" s="470"/>
      <c r="B10" s="470"/>
      <c r="C10" s="155" t="s">
        <v>6</v>
      </c>
      <c r="D10" s="318">
        <v>204220</v>
      </c>
      <c r="E10" s="130">
        <v>61686.472974394012</v>
      </c>
      <c r="F10" s="130">
        <v>676088.65936547413</v>
      </c>
      <c r="G10" s="312">
        <f t="shared" si="0"/>
        <v>0.12152276454808275</v>
      </c>
      <c r="H10" s="312">
        <f t="shared" si="1"/>
        <v>-0.31472155035206195</v>
      </c>
      <c r="I10" s="318">
        <v>90016.653823107161</v>
      </c>
      <c r="J10" s="130">
        <v>962912.8559395629</v>
      </c>
      <c r="K10" s="312">
        <f t="shared" si="2"/>
        <v>0.12666889259912636</v>
      </c>
      <c r="L10" s="91"/>
      <c r="M10" s="89"/>
      <c r="N10" s="89"/>
      <c r="O10" s="89"/>
      <c r="P10" s="89"/>
      <c r="Q10" s="89"/>
      <c r="R10" s="89"/>
      <c r="S10" s="89"/>
    </row>
    <row r="11" spans="1:21" ht="12.95" customHeight="1">
      <c r="A11" s="470"/>
      <c r="B11" s="470"/>
      <c r="C11" s="155" t="s">
        <v>7</v>
      </c>
      <c r="D11" s="318">
        <v>2574344</v>
      </c>
      <c r="E11" s="130">
        <v>108935.86677193464</v>
      </c>
      <c r="F11" s="130">
        <v>1193962.2577775191</v>
      </c>
      <c r="G11" s="312">
        <f t="shared" si="0"/>
        <v>0.21460438650889122</v>
      </c>
      <c r="H11" s="312">
        <f t="shared" si="1"/>
        <v>-0.41657792393431914</v>
      </c>
      <c r="I11" s="318">
        <v>186718.79457586858</v>
      </c>
      <c r="J11" s="130">
        <v>1997353.7952474223</v>
      </c>
      <c r="K11" s="312">
        <f t="shared" si="2"/>
        <v>0.26274541356365921</v>
      </c>
      <c r="L11" s="91"/>
      <c r="M11" s="89"/>
      <c r="N11" s="89"/>
      <c r="O11" s="89"/>
      <c r="P11" s="89"/>
      <c r="Q11" s="89"/>
      <c r="R11" s="89"/>
      <c r="S11" s="89"/>
    </row>
    <row r="12" spans="1:21" ht="12.95" customHeight="1">
      <c r="A12" s="470"/>
      <c r="B12" s="470"/>
      <c r="C12" s="155" t="s">
        <v>93</v>
      </c>
      <c r="D12" s="318">
        <v>272</v>
      </c>
      <c r="E12" s="130">
        <v>6920.9271181287195</v>
      </c>
      <c r="F12" s="130">
        <v>75830.590579999989</v>
      </c>
      <c r="G12" s="312">
        <f t="shared" si="0"/>
        <v>1.3634272735611198E-2</v>
      </c>
      <c r="H12" s="312">
        <f t="shared" si="1"/>
        <v>-0.2023597177413374</v>
      </c>
      <c r="I12" s="318">
        <v>8676.7522554538791</v>
      </c>
      <c r="J12" s="130">
        <v>92804.370624000003</v>
      </c>
      <c r="K12" s="312">
        <f t="shared" si="2"/>
        <v>1.2209680685477601E-2</v>
      </c>
      <c r="L12" s="91"/>
      <c r="M12" s="89"/>
      <c r="N12" s="89"/>
      <c r="O12" s="89"/>
      <c r="P12" s="89"/>
      <c r="Q12" s="89"/>
      <c r="R12" s="89"/>
      <c r="S12" s="89"/>
    </row>
    <row r="13" spans="1:21" ht="12.95" customHeight="1">
      <c r="A13" s="470"/>
      <c r="B13" s="470"/>
      <c r="C13" s="155" t="s">
        <v>94</v>
      </c>
      <c r="D13" s="318"/>
      <c r="E13" s="130">
        <v>9562.7275538044887</v>
      </c>
      <c r="F13" s="130">
        <v>105004.85303699989</v>
      </c>
      <c r="G13" s="312">
        <f t="shared" si="0"/>
        <v>1.8838637272077918E-2</v>
      </c>
      <c r="H13" s="312">
        <f>(E13-I13)/I13</f>
        <v>0.70541904488342688</v>
      </c>
      <c r="I13" s="318">
        <v>5607.2597421111504</v>
      </c>
      <c r="J13" s="130">
        <v>60112.896345644927</v>
      </c>
      <c r="K13" s="312">
        <f t="shared" si="2"/>
        <v>7.8903775233040048E-3</v>
      </c>
      <c r="L13" s="91"/>
      <c r="M13" s="89"/>
      <c r="N13" s="89"/>
      <c r="O13" s="89"/>
      <c r="P13" s="89"/>
      <c r="Q13" s="89"/>
      <c r="R13" s="89"/>
      <c r="S13" s="89"/>
    </row>
    <row r="14" spans="1:21" ht="12.95" customHeight="1">
      <c r="A14" s="471"/>
      <c r="B14" s="471"/>
      <c r="C14" s="323" t="s">
        <v>0</v>
      </c>
      <c r="D14" s="326">
        <v>2786741</v>
      </c>
      <c r="E14" s="324">
        <v>507612.48893401044</v>
      </c>
      <c r="F14" s="324">
        <v>5563662.7704909928</v>
      </c>
      <c r="G14" s="325">
        <f>SUM(G8:G13)</f>
        <v>0.99999999999999989</v>
      </c>
      <c r="H14" s="325">
        <f>(E14-I14)/I14</f>
        <v>-0.28570204387832965</v>
      </c>
      <c r="I14" s="326">
        <v>710645.30506306805</v>
      </c>
      <c r="J14" s="324">
        <v>7601808.9078956321</v>
      </c>
      <c r="K14" s="325">
        <f>SUM(K8:K13)</f>
        <v>0.99999999999999989</v>
      </c>
      <c r="L14" s="91"/>
      <c r="M14" s="89"/>
      <c r="N14" s="89"/>
      <c r="O14" s="89"/>
      <c r="P14" s="89"/>
      <c r="Q14" s="89"/>
      <c r="R14" s="89"/>
      <c r="S14" s="89"/>
    </row>
    <row r="15" spans="1:21" ht="12.95" customHeight="1">
      <c r="A15" s="469" t="str">
        <f>'3.1'!E5</f>
        <v>Listopad</v>
      </c>
      <c r="B15" s="469"/>
      <c r="C15" s="165" t="s">
        <v>4</v>
      </c>
      <c r="D15" s="317">
        <v>1587</v>
      </c>
      <c r="E15" s="313">
        <v>319826.41007933184</v>
      </c>
      <c r="F15" s="313">
        <v>3495535.1040229998</v>
      </c>
      <c r="G15" s="314">
        <f>E15/$E$21</f>
        <v>0.43046976561443145</v>
      </c>
      <c r="H15" s="314">
        <f>(E15-I15)/I15</f>
        <v>-0.25970637279681802</v>
      </c>
      <c r="I15" s="317">
        <v>432026.42617312691</v>
      </c>
      <c r="J15" s="313">
        <v>4613127.0931949997</v>
      </c>
      <c r="K15" s="314">
        <f>I15/$I$21</f>
        <v>0.44254033172941437</v>
      </c>
      <c r="L15" s="91"/>
      <c r="M15" s="89"/>
      <c r="N15" s="89"/>
      <c r="O15" s="89"/>
      <c r="P15" s="89"/>
      <c r="Q15" s="89"/>
      <c r="R15" s="89"/>
      <c r="S15" s="89"/>
    </row>
    <row r="16" spans="1:21" ht="12.95" customHeight="1">
      <c r="A16" s="470"/>
      <c r="B16" s="470"/>
      <c r="C16" s="155" t="s">
        <v>5</v>
      </c>
      <c r="D16" s="318">
        <v>6323</v>
      </c>
      <c r="E16" s="130">
        <v>71815.959951868295</v>
      </c>
      <c r="F16" s="130">
        <v>785047.95411999989</v>
      </c>
      <c r="G16" s="312">
        <f t="shared" ref="G16:G20" si="3">E16/$E$21</f>
        <v>9.6660558582975939E-2</v>
      </c>
      <c r="H16" s="312">
        <f t="shared" ref="H16:H18" si="4">(E16-I16)/I16</f>
        <v>-0.28472926493672551</v>
      </c>
      <c r="I16" s="318">
        <v>100403.88405589569</v>
      </c>
      <c r="J16" s="130">
        <v>1072069.5192099998</v>
      </c>
      <c r="K16" s="312">
        <f t="shared" ref="K16:K20" si="5">I16/$I$21</f>
        <v>0.10284733864685421</v>
      </c>
      <c r="L16" s="92"/>
      <c r="M16" s="89"/>
      <c r="N16" s="89"/>
      <c r="O16" s="89"/>
      <c r="P16" s="89"/>
      <c r="Q16" s="89"/>
      <c r="R16" s="89"/>
      <c r="S16" s="89"/>
    </row>
    <row r="17" spans="1:20" ht="12.95" customHeight="1">
      <c r="A17" s="470"/>
      <c r="B17" s="470"/>
      <c r="C17" s="155" t="s">
        <v>6</v>
      </c>
      <c r="D17" s="318">
        <v>203786.20800000001</v>
      </c>
      <c r="E17" s="130">
        <v>118288.01622787063</v>
      </c>
      <c r="F17" s="130">
        <v>1292949.130804582</v>
      </c>
      <c r="G17" s="312">
        <f t="shared" si="3"/>
        <v>0.1592095368483708</v>
      </c>
      <c r="H17" s="312">
        <f t="shared" si="4"/>
        <v>-0.1650011840298844</v>
      </c>
      <c r="I17" s="318">
        <v>141662.49576107677</v>
      </c>
      <c r="J17" s="130">
        <v>1512624.0714138371</v>
      </c>
      <c r="K17" s="312">
        <f>I17/$I$21</f>
        <v>0.14511003047438867</v>
      </c>
      <c r="L17" s="91"/>
      <c r="M17" s="89"/>
      <c r="N17" s="89"/>
      <c r="O17" s="89"/>
      <c r="P17" s="89"/>
      <c r="Q17" s="89"/>
      <c r="R17" s="89"/>
      <c r="S17" s="89"/>
    </row>
    <row r="18" spans="1:20" ht="12.95" customHeight="1">
      <c r="A18" s="470"/>
      <c r="B18" s="470"/>
      <c r="C18" s="155" t="s">
        <v>7</v>
      </c>
      <c r="D18" s="318">
        <v>2572006</v>
      </c>
      <c r="E18" s="130">
        <v>211293.60360219199</v>
      </c>
      <c r="F18" s="130">
        <v>2309424.0632713293</v>
      </c>
      <c r="G18" s="312">
        <f t="shared" si="3"/>
        <v>0.28439023530265367</v>
      </c>
      <c r="H18" s="312">
        <f t="shared" si="4"/>
        <v>-0.25150778688823261</v>
      </c>
      <c r="I18" s="318">
        <v>282292.32034861651</v>
      </c>
      <c r="J18" s="130">
        <v>3014285.7689871928</v>
      </c>
      <c r="K18" s="312">
        <f>I18/$I$21</f>
        <v>0.28916225842555543</v>
      </c>
      <c r="L18" s="91"/>
      <c r="M18" s="89"/>
      <c r="N18" s="89"/>
      <c r="O18" s="89"/>
      <c r="P18" s="89"/>
      <c r="Q18" s="89"/>
      <c r="R18" s="89"/>
      <c r="S18" s="89"/>
    </row>
    <row r="19" spans="1:20" ht="12.95" customHeight="1">
      <c r="A19" s="470"/>
      <c r="B19" s="470"/>
      <c r="C19" s="155" t="s">
        <v>93</v>
      </c>
      <c r="D19" s="318">
        <v>270</v>
      </c>
      <c r="E19" s="130">
        <v>7538.3844910813623</v>
      </c>
      <c r="F19" s="130">
        <v>82376.548189999987</v>
      </c>
      <c r="G19" s="312">
        <f t="shared" si="3"/>
        <v>1.0146274675009911E-2</v>
      </c>
      <c r="H19" s="312">
        <f>(E19-I19)/I19</f>
        <v>-0.13051866763725706</v>
      </c>
      <c r="I19" s="318">
        <v>8669.9785383504804</v>
      </c>
      <c r="J19" s="130">
        <v>92568.720147000015</v>
      </c>
      <c r="K19" s="312">
        <f>I19/$I$21</f>
        <v>8.8809733525675328E-3</v>
      </c>
      <c r="L19" s="91"/>
      <c r="M19" s="89"/>
      <c r="N19" s="89"/>
      <c r="O19" s="89"/>
      <c r="P19" s="89"/>
      <c r="Q19" s="89"/>
      <c r="R19" s="89"/>
      <c r="S19" s="89"/>
    </row>
    <row r="20" spans="1:20" ht="12.95" customHeight="1">
      <c r="A20" s="470"/>
      <c r="B20" s="470"/>
      <c r="C20" s="155" t="s">
        <v>94</v>
      </c>
      <c r="D20" s="318"/>
      <c r="E20" s="130">
        <v>14208.29542937047</v>
      </c>
      <c r="F20" s="130">
        <v>155762.86193200006</v>
      </c>
      <c r="G20" s="312">
        <f t="shared" si="3"/>
        <v>1.9123628976558227E-2</v>
      </c>
      <c r="H20" s="312">
        <f t="shared" ref="H20" si="6">(E20-I20)/I20</f>
        <v>0.27009220452699267</v>
      </c>
      <c r="I20" s="318">
        <v>11186.822010817647</v>
      </c>
      <c r="J20" s="130">
        <v>119619.91143726349</v>
      </c>
      <c r="K20" s="312">
        <f t="shared" si="5"/>
        <v>1.1459067371219748E-2</v>
      </c>
      <c r="L20" s="91"/>
      <c r="M20" s="89"/>
      <c r="N20" s="89"/>
      <c r="O20" s="89"/>
      <c r="P20" s="89"/>
      <c r="Q20" s="89"/>
      <c r="R20" s="89"/>
      <c r="S20" s="89"/>
    </row>
    <row r="21" spans="1:20" ht="12.95" customHeight="1">
      <c r="A21" s="471"/>
      <c r="B21" s="471"/>
      <c r="C21" s="323" t="s">
        <v>0</v>
      </c>
      <c r="D21" s="326">
        <v>2783972.2080000001</v>
      </c>
      <c r="E21" s="324">
        <v>742970.66978171456</v>
      </c>
      <c r="F21" s="324">
        <v>8121095.6623409092</v>
      </c>
      <c r="G21" s="325">
        <f>SUM(G15:G20)</f>
        <v>1</v>
      </c>
      <c r="H21" s="325">
        <f>(E21-I21)/I21</f>
        <v>-0.23894820605564854</v>
      </c>
      <c r="I21" s="326">
        <v>976241.92688788404</v>
      </c>
      <c r="J21" s="324">
        <v>10424295.084390294</v>
      </c>
      <c r="K21" s="325">
        <f>SUM(K15:K20)</f>
        <v>0.99999999999999989</v>
      </c>
      <c r="L21" s="91"/>
      <c r="M21" s="89"/>
      <c r="N21" s="89"/>
      <c r="O21" s="89"/>
      <c r="P21" s="89"/>
      <c r="Q21" s="89"/>
      <c r="R21" s="89"/>
      <c r="S21" s="89"/>
    </row>
    <row r="22" spans="1:20" ht="12.95" customHeight="1">
      <c r="A22" s="469" t="str">
        <f>'3.1'!F5</f>
        <v>Prosinec</v>
      </c>
      <c r="B22" s="469"/>
      <c r="C22" s="165" t="s">
        <v>4</v>
      </c>
      <c r="D22" s="317">
        <v>1578</v>
      </c>
      <c r="E22" s="313">
        <v>350795.41498367634</v>
      </c>
      <c r="F22" s="313">
        <v>3823372.0697100004</v>
      </c>
      <c r="G22" s="314">
        <f>E22/$E$28</f>
        <v>0.36307689259125592</v>
      </c>
      <c r="H22" s="314">
        <f>(E22-I22)/I22</f>
        <v>-0.22294434889964773</v>
      </c>
      <c r="I22" s="317">
        <v>451441.81692383462</v>
      </c>
      <c r="J22" s="313">
        <v>4820917.0588679994</v>
      </c>
      <c r="K22" s="314">
        <f>I22/$I$28</f>
        <v>0.38854155985161359</v>
      </c>
      <c r="L22" s="93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70"/>
      <c r="B23" s="470"/>
      <c r="C23" s="155" t="s">
        <v>5</v>
      </c>
      <c r="D23" s="318">
        <v>6339</v>
      </c>
      <c r="E23" s="130">
        <v>93048.95697611777</v>
      </c>
      <c r="F23" s="130">
        <v>1014113.1915300003</v>
      </c>
      <c r="G23" s="312">
        <f t="shared" ref="G23:G27" si="7">E23/$E$28</f>
        <v>9.6306635476744701E-2</v>
      </c>
      <c r="H23" s="312">
        <f t="shared" ref="H23:H26" si="8">(E23-I23)/I23</f>
        <v>-0.16690374757818383</v>
      </c>
      <c r="I23" s="318">
        <v>111690.52400082686</v>
      </c>
      <c r="J23" s="130">
        <v>1192589.0396100001</v>
      </c>
      <c r="K23" s="312">
        <f t="shared" ref="K23:K27" si="9">I23/$I$28</f>
        <v>9.6128468363060438E-2</v>
      </c>
      <c r="L23" s="93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70"/>
      <c r="B24" s="470"/>
      <c r="C24" s="155" t="s">
        <v>6</v>
      </c>
      <c r="D24" s="318">
        <v>203671.20800000001</v>
      </c>
      <c r="E24" s="130">
        <v>172611.39838764942</v>
      </c>
      <c r="F24" s="130">
        <v>1880750.8450669476</v>
      </c>
      <c r="G24" s="312">
        <f t="shared" si="7"/>
        <v>0.17865458747610874</v>
      </c>
      <c r="H24" s="312">
        <f t="shared" si="8"/>
        <v>-0.10302557270037634</v>
      </c>
      <c r="I24" s="318">
        <v>192437.36848474346</v>
      </c>
      <c r="J24" s="130">
        <v>2054848.8335169642</v>
      </c>
      <c r="K24" s="312">
        <f t="shared" si="9"/>
        <v>0.16562469962196003</v>
      </c>
      <c r="L24" s="93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70"/>
      <c r="B25" s="470"/>
      <c r="C25" s="155" t="s">
        <v>7</v>
      </c>
      <c r="D25" s="318">
        <v>2569422</v>
      </c>
      <c r="E25" s="130">
        <v>324247.7408726234</v>
      </c>
      <c r="F25" s="130">
        <v>3532158.6115860916</v>
      </c>
      <c r="G25" s="312">
        <f t="shared" si="7"/>
        <v>0.33559977456160617</v>
      </c>
      <c r="H25" s="312">
        <f t="shared" si="8"/>
        <v>-0.1478572922310786</v>
      </c>
      <c r="I25" s="318">
        <v>380508.73159680999</v>
      </c>
      <c r="J25" s="130">
        <v>4063266.1699559996</v>
      </c>
      <c r="K25" s="312">
        <f t="shared" si="9"/>
        <v>0.32749171780142611</v>
      </c>
      <c r="L25" s="93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70"/>
      <c r="B26" s="470"/>
      <c r="C26" s="155" t="s">
        <v>93</v>
      </c>
      <c r="D26" s="318">
        <v>271</v>
      </c>
      <c r="E26" s="130">
        <v>7522.2403498386984</v>
      </c>
      <c r="F26" s="130">
        <v>81927.768920000017</v>
      </c>
      <c r="G26" s="312">
        <f t="shared" si="7"/>
        <v>7.7855967748925274E-3</v>
      </c>
      <c r="H26" s="312">
        <f t="shared" si="8"/>
        <v>-0.11787547712852302</v>
      </c>
      <c r="I26" s="318">
        <v>8527.4132560700473</v>
      </c>
      <c r="J26" s="130">
        <v>91083.935104999982</v>
      </c>
      <c r="K26" s="312">
        <f t="shared" si="9"/>
        <v>7.3392723575977058E-3</v>
      </c>
      <c r="L26" s="93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70"/>
      <c r="B27" s="470"/>
      <c r="C27" s="155" t="s">
        <v>94</v>
      </c>
      <c r="D27" s="318"/>
      <c r="E27" s="130">
        <v>17948.142009695417</v>
      </c>
      <c r="F27" s="130">
        <v>195446.11581800005</v>
      </c>
      <c r="G27" s="312">
        <f t="shared" si="7"/>
        <v>1.8576513119391905E-2</v>
      </c>
      <c r="H27" s="312">
        <f t="shared" ref="H27" si="10">(E27-I27)/I27</f>
        <v>3.8530319711495328E-2</v>
      </c>
      <c r="I27" s="318">
        <v>17282.251340222236</v>
      </c>
      <c r="J27" s="130">
        <v>184915.55068030974</v>
      </c>
      <c r="K27" s="312">
        <f t="shared" si="9"/>
        <v>1.4874282004341863E-2</v>
      </c>
      <c r="L27" s="93"/>
      <c r="M27" s="89"/>
      <c r="N27" s="89"/>
      <c r="O27" s="89"/>
      <c r="P27" s="89"/>
      <c r="Q27" s="89"/>
      <c r="R27" s="89"/>
      <c r="S27" s="89"/>
      <c r="T27" s="88"/>
    </row>
    <row r="28" spans="1:20" ht="12.95" customHeight="1">
      <c r="A28" s="471"/>
      <c r="B28" s="471"/>
      <c r="C28" s="323" t="s">
        <v>0</v>
      </c>
      <c r="D28" s="326">
        <v>2781281.2080000001</v>
      </c>
      <c r="E28" s="324">
        <v>966173.89357960108</v>
      </c>
      <c r="F28" s="324">
        <v>10527768.60263104</v>
      </c>
      <c r="G28" s="325">
        <f>SUM(G22:G27)</f>
        <v>1</v>
      </c>
      <c r="H28" s="325">
        <f>(E28-I28)/I28</f>
        <v>-0.16844497424424276</v>
      </c>
      <c r="I28" s="326">
        <v>1161888.1056025075</v>
      </c>
      <c r="J28" s="324">
        <v>12407620.587736271</v>
      </c>
      <c r="K28" s="325">
        <f>SUM(K22:K27)</f>
        <v>0.99999999999999956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72" t="str">
        <f>'3.1'!G5</f>
        <v>IV. čtvrtletí</v>
      </c>
      <c r="B29" s="469"/>
      <c r="C29" s="165" t="s">
        <v>4</v>
      </c>
      <c r="D29" s="317">
        <f>D22</f>
        <v>1578</v>
      </c>
      <c r="E29" s="313">
        <f>E8+E15+E22</f>
        <v>944939.42941586347</v>
      </c>
      <c r="F29" s="313">
        <f>F8+F15+F22</f>
        <v>10325442.862684</v>
      </c>
      <c r="G29" s="314">
        <f>E29/$E$35</f>
        <v>0.42627108299370581</v>
      </c>
      <c r="H29" s="314">
        <f>(E29-I29)/I29</f>
        <v>-0.23311070452733157</v>
      </c>
      <c r="I29" s="317">
        <f>I8+I15+I22</f>
        <v>1232171.8858175674</v>
      </c>
      <c r="J29" s="313">
        <f>J8+J15+J22</f>
        <v>13164014.389472</v>
      </c>
      <c r="K29" s="314">
        <f>I29/$I$35</f>
        <v>0.43252687201222473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70"/>
      <c r="B30" s="470"/>
      <c r="C30" s="155" t="s">
        <v>5</v>
      </c>
      <c r="D30" s="318">
        <f t="shared" ref="D30:D33" si="11">D23</f>
        <v>6339</v>
      </c>
      <c r="E30" s="130">
        <f>E9+E16+E23</f>
        <v>211053.80709087919</v>
      </c>
      <c r="F30" s="130">
        <f t="shared" ref="F30" si="12">F9+F16+F23</f>
        <v>2305401.8664300004</v>
      </c>
      <c r="G30" s="312">
        <f t="shared" ref="G30:G34" si="13">E30/$E$35</f>
        <v>9.520836163455304E-2</v>
      </c>
      <c r="H30" s="312">
        <f t="shared" ref="H30:H32" si="14">(E30-I30)/I30</f>
        <v>-0.25427059885669767</v>
      </c>
      <c r="I30" s="318">
        <f>I9+I16+I23</f>
        <v>283016.61000264389</v>
      </c>
      <c r="J30" s="130">
        <f t="shared" ref="J30" si="15">J9+J16+J23</f>
        <v>3023313.3111500004</v>
      </c>
      <c r="K30" s="312">
        <f t="shared" ref="K30:K34" si="16">I30/$I$35</f>
        <v>9.9346763597616586E-2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70"/>
      <c r="B31" s="470"/>
      <c r="C31" s="155" t="s">
        <v>6</v>
      </c>
      <c r="D31" s="318">
        <f t="shared" si="11"/>
        <v>203671.20800000001</v>
      </c>
      <c r="E31" s="130">
        <f t="shared" ref="E31:F31" si="17">E10+E17+E24</f>
        <v>352585.88758991403</v>
      </c>
      <c r="F31" s="130">
        <f t="shared" si="17"/>
        <v>3849788.6352370037</v>
      </c>
      <c r="G31" s="312">
        <f t="shared" si="13"/>
        <v>0.15905481713696654</v>
      </c>
      <c r="H31" s="312">
        <f t="shared" si="14"/>
        <v>-0.16865796881645675</v>
      </c>
      <c r="I31" s="318">
        <f t="shared" ref="I31:J31" si="18">I10+I17+I24</f>
        <v>424116.5180689274</v>
      </c>
      <c r="J31" s="130">
        <f t="shared" si="18"/>
        <v>4530385.7608703636</v>
      </c>
      <c r="K31" s="312">
        <f t="shared" si="16"/>
        <v>0.1488767866240939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70"/>
      <c r="B32" s="470"/>
      <c r="C32" s="155" t="s">
        <v>7</v>
      </c>
      <c r="D32" s="318">
        <f t="shared" si="11"/>
        <v>2569422</v>
      </c>
      <c r="E32" s="130">
        <f>E11+E18+E25</f>
        <v>644477.21124675008</v>
      </c>
      <c r="F32" s="130">
        <f t="shared" ref="E32:F34" si="19">F11+F18+F25</f>
        <v>7035544.9326349404</v>
      </c>
      <c r="G32" s="312">
        <f t="shared" si="13"/>
        <v>0.29072974441625465</v>
      </c>
      <c r="H32" s="312">
        <f t="shared" si="14"/>
        <v>-0.24136297240632529</v>
      </c>
      <c r="I32" s="318">
        <f>I11+I18+I25</f>
        <v>849519.84652129514</v>
      </c>
      <c r="J32" s="130">
        <f t="shared" ref="J32" si="20">J11+J18+J25</f>
        <v>9074905.7341906149</v>
      </c>
      <c r="K32" s="312">
        <f t="shared" si="16"/>
        <v>0.29820527976448524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70"/>
      <c r="B33" s="470"/>
      <c r="C33" s="155" t="s">
        <v>93</v>
      </c>
      <c r="D33" s="318">
        <f t="shared" si="11"/>
        <v>271</v>
      </c>
      <c r="E33" s="130">
        <f>E12+E19+E26</f>
        <v>21981.551959048782</v>
      </c>
      <c r="F33" s="130">
        <f t="shared" si="19"/>
        <v>240134.90768999996</v>
      </c>
      <c r="G33" s="312">
        <f t="shared" si="13"/>
        <v>9.9160852725327462E-3</v>
      </c>
      <c r="H33" s="312">
        <f>(E33-I33)/I33</f>
        <v>-0.15044331836919328</v>
      </c>
      <c r="I33" s="318">
        <f>I12+I19+I26</f>
        <v>25874.144049874405</v>
      </c>
      <c r="J33" s="130">
        <f t="shared" ref="J33" si="21">J12+J19+J26</f>
        <v>276457.025876</v>
      </c>
      <c r="K33" s="312">
        <f t="shared" si="16"/>
        <v>9.0825498623191663E-3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70"/>
      <c r="B34" s="470"/>
      <c r="C34" s="155" t="s">
        <v>94</v>
      </c>
      <c r="D34" s="318"/>
      <c r="E34" s="130">
        <f t="shared" si="19"/>
        <v>41719.164992870377</v>
      </c>
      <c r="F34" s="130">
        <f t="shared" si="19"/>
        <v>456213.83078700001</v>
      </c>
      <c r="G34" s="312">
        <f t="shared" si="13"/>
        <v>1.8819908545987283E-2</v>
      </c>
      <c r="H34" s="312">
        <f t="shared" ref="H34" si="22">(E34-I34)/I34</f>
        <v>0.22428563187320982</v>
      </c>
      <c r="I34" s="318">
        <f t="shared" ref="I34:J34" si="23">I13+I20+I27</f>
        <v>34076.333093151028</v>
      </c>
      <c r="J34" s="130">
        <f t="shared" si="23"/>
        <v>364648.3584632182</v>
      </c>
      <c r="K34" s="312">
        <f t="shared" si="16"/>
        <v>1.1961748139260407E-2</v>
      </c>
      <c r="M34" s="89"/>
      <c r="N34" s="89"/>
      <c r="O34" s="89"/>
      <c r="P34" s="89"/>
      <c r="Q34" s="89"/>
      <c r="R34" s="89"/>
      <c r="S34" s="89"/>
    </row>
    <row r="35" spans="1:20" ht="12.95" customHeight="1">
      <c r="A35" s="471"/>
      <c r="B35" s="471"/>
      <c r="C35" s="323" t="s">
        <v>0</v>
      </c>
      <c r="D35" s="326">
        <f>SUM(D29:D34)</f>
        <v>2781281.2080000001</v>
      </c>
      <c r="E35" s="324">
        <f>SUM(E29:E34)</f>
        <v>2216757.0522953258</v>
      </c>
      <c r="F35" s="324">
        <f>SUM(F29:F34)</f>
        <v>24212527.035462946</v>
      </c>
      <c r="G35" s="325">
        <f>SUM(G29:G34)</f>
        <v>1.0000000000000002</v>
      </c>
      <c r="H35" s="325">
        <f>(E35-I35)/I35</f>
        <v>-0.22185613478418889</v>
      </c>
      <c r="I35" s="326">
        <f>SUM(I29:I34)</f>
        <v>2848775.3375534592</v>
      </c>
      <c r="J35" s="324">
        <f>SUM(J29:J34)</f>
        <v>30433724.580022197</v>
      </c>
      <c r="K35" s="325">
        <f>SUM(K29:K34)</f>
        <v>1</v>
      </c>
      <c r="M35" s="89"/>
      <c r="N35" s="89"/>
      <c r="O35" s="89"/>
      <c r="P35" s="89"/>
      <c r="Q35" s="89"/>
      <c r="R35" s="89"/>
      <c r="S35" s="89"/>
    </row>
    <row r="36" spans="1:20" ht="20.100000000000001" customHeight="1">
      <c r="A36" s="127"/>
      <c r="B36" s="308"/>
      <c r="C36" s="102"/>
      <c r="D36" s="88"/>
      <c r="E36" s="88"/>
      <c r="F36" s="88"/>
      <c r="G36" s="473" t="s">
        <v>274</v>
      </c>
      <c r="H36" s="473"/>
      <c r="I36" s="473"/>
      <c r="J36" s="473"/>
      <c r="K36" s="473"/>
    </row>
    <row r="37" spans="1:20" ht="15" customHeight="1">
      <c r="A37" s="465" t="s">
        <v>273</v>
      </c>
      <c r="B37" s="465"/>
      <c r="C37" s="465"/>
      <c r="D37" s="465"/>
      <c r="E37" s="465"/>
      <c r="F37" s="120"/>
      <c r="G37" s="473"/>
      <c r="H37" s="473"/>
      <c r="I37" s="473"/>
      <c r="J37" s="473"/>
      <c r="K37" s="473"/>
      <c r="M37" s="94"/>
      <c r="N37" s="94"/>
      <c r="O37" s="94"/>
      <c r="P37" s="94"/>
      <c r="Q37" s="94"/>
      <c r="R37" s="94"/>
      <c r="S37" s="94"/>
    </row>
    <row r="38" spans="1:20" ht="15" customHeight="1">
      <c r="A38" s="466" t="str">
        <f>A29</f>
        <v>IV. čtvrtletí</v>
      </c>
      <c r="B38" s="467"/>
      <c r="C38" s="467"/>
      <c r="D38" s="467"/>
      <c r="E38" s="467"/>
      <c r="F38" s="126"/>
      <c r="G38" s="468" t="str">
        <f>A29</f>
        <v>IV. čtvrtletí</v>
      </c>
      <c r="H38" s="468"/>
      <c r="I38" s="468"/>
      <c r="J38" s="468"/>
      <c r="K38" s="468"/>
      <c r="M38" s="94"/>
      <c r="N38" s="94"/>
      <c r="O38" s="94"/>
      <c r="P38" s="94"/>
      <c r="Q38" s="94"/>
      <c r="R38" s="94"/>
      <c r="S38" s="94"/>
    </row>
    <row r="39" spans="1:20" ht="15" customHeight="1">
      <c r="A39" s="127"/>
      <c r="B39" s="127"/>
      <c r="C39" s="127"/>
      <c r="D39" s="76"/>
      <c r="E39" s="76"/>
      <c r="F39" s="76"/>
      <c r="G39" s="127"/>
      <c r="H39" s="127"/>
      <c r="I39" s="127"/>
      <c r="J39" s="127"/>
      <c r="K39" s="127"/>
      <c r="M39" s="94"/>
      <c r="N39" s="94"/>
      <c r="O39" s="94"/>
      <c r="P39" s="94"/>
      <c r="Q39" s="94"/>
      <c r="R39" s="94"/>
      <c r="S39" s="94"/>
      <c r="T39" s="94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/>
      <c r="D41" s="76"/>
      <c r="E41" s="76"/>
      <c r="F41" s="76"/>
      <c r="G41" s="95"/>
      <c r="H41" s="95"/>
      <c r="I41" s="95"/>
      <c r="J41" s="95"/>
      <c r="K41" s="95"/>
    </row>
    <row r="42" spans="1:20" ht="15" customHeight="1">
      <c r="A42" s="95"/>
      <c r="B42" s="95"/>
      <c r="C42" s="95">
        <f>D4</f>
        <v>2022</v>
      </c>
      <c r="D42" s="95">
        <f>I4</f>
        <v>2021</v>
      </c>
      <c r="E42" s="76"/>
      <c r="F42" s="76"/>
      <c r="G42" s="76"/>
      <c r="H42" s="95"/>
      <c r="I42" s="95">
        <f>D4</f>
        <v>2022</v>
      </c>
      <c r="J42" s="95">
        <f>I4</f>
        <v>2021</v>
      </c>
      <c r="K42" s="95"/>
    </row>
    <row r="43" spans="1:20" ht="15" customHeight="1">
      <c r="A43" s="95"/>
      <c r="B43" s="95" t="str">
        <f>A8</f>
        <v>Říjen</v>
      </c>
      <c r="C43" s="78">
        <f>E14</f>
        <v>507612.48893401044</v>
      </c>
      <c r="D43" s="78">
        <f>I14</f>
        <v>710645.30506306805</v>
      </c>
      <c r="E43" s="76"/>
      <c r="F43" s="76"/>
      <c r="G43" s="76"/>
      <c r="H43" s="95" t="str">
        <f>A8</f>
        <v>Říjen</v>
      </c>
      <c r="I43" s="96">
        <f>E14/E35</f>
        <v>0.22898877818316021</v>
      </c>
      <c r="J43" s="96">
        <f>I14/I35</f>
        <v>0.24945642279863786</v>
      </c>
      <c r="K43" s="95"/>
    </row>
    <row r="44" spans="1:20" ht="15" customHeight="1">
      <c r="A44" s="95"/>
      <c r="B44" s="95" t="str">
        <f>A15</f>
        <v>Listopad</v>
      </c>
      <c r="C44" s="78">
        <f>E21</f>
        <v>742970.66978171456</v>
      </c>
      <c r="D44" s="78">
        <f>I21</f>
        <v>976241.92688788404</v>
      </c>
      <c r="E44" s="76"/>
      <c r="F44" s="76"/>
      <c r="G44" s="76"/>
      <c r="H44" s="95" t="str">
        <f>A15</f>
        <v>Listopad</v>
      </c>
      <c r="I44" s="96">
        <f>E21/E35</f>
        <v>0.33516107189662969</v>
      </c>
      <c r="J44" s="96">
        <f>I21/I35</f>
        <v>0.34268828223087783</v>
      </c>
      <c r="K44" s="95"/>
    </row>
    <row r="45" spans="1:20" ht="15" customHeight="1">
      <c r="A45" s="95"/>
      <c r="B45" s="95" t="str">
        <f>A22</f>
        <v>Prosinec</v>
      </c>
      <c r="C45" s="78">
        <f>E28</f>
        <v>966173.89357960108</v>
      </c>
      <c r="D45" s="78">
        <f>I28</f>
        <v>1161888.1056025075</v>
      </c>
      <c r="E45" s="76"/>
      <c r="F45" s="76"/>
      <c r="G45" s="76"/>
      <c r="H45" s="95" t="str">
        <f>A22</f>
        <v>Prosinec</v>
      </c>
      <c r="I45" s="96">
        <f>E28/E35</f>
        <v>0.43585014992021026</v>
      </c>
      <c r="J45" s="96">
        <f>I28/I35</f>
        <v>0.40785529497048445</v>
      </c>
      <c r="K45" s="95"/>
    </row>
    <row r="46" spans="1:20" ht="15" customHeight="1">
      <c r="A46" s="95"/>
      <c r="B46" s="95"/>
      <c r="C46" s="78">
        <f>SUM(C43:C45)</f>
        <v>2216757.0522953263</v>
      </c>
      <c r="D46" s="78">
        <f>SUM(D43:D45)</f>
        <v>2848775.3375534597</v>
      </c>
      <c r="E46" s="95"/>
      <c r="F46" s="95"/>
      <c r="G46" s="95"/>
      <c r="H46" s="95"/>
      <c r="I46" s="97">
        <f>SUM(I43:I45)</f>
        <v>1.0000000000000002</v>
      </c>
      <c r="J46" s="97">
        <f>SUM(J43:J45)</f>
        <v>1</v>
      </c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21">
    <mergeCell ref="A2:K2"/>
    <mergeCell ref="A3:C3"/>
    <mergeCell ref="I6:J6"/>
    <mergeCell ref="E6:F6"/>
    <mergeCell ref="G6:G7"/>
    <mergeCell ref="H6:H7"/>
    <mergeCell ref="K6:K7"/>
    <mergeCell ref="I4:K5"/>
    <mergeCell ref="D6:D7"/>
    <mergeCell ref="C6:C7"/>
    <mergeCell ref="A6:B7"/>
    <mergeCell ref="A4:C4"/>
    <mergeCell ref="D4:G5"/>
    <mergeCell ref="A37:E37"/>
    <mergeCell ref="A38:E38"/>
    <mergeCell ref="G38:K38"/>
    <mergeCell ref="A8:B14"/>
    <mergeCell ref="A15:B21"/>
    <mergeCell ref="A22:B28"/>
    <mergeCell ref="A29:B35"/>
    <mergeCell ref="G36:K3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2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59" t="s">
        <v>300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21" ht="6" customHeight="1">
      <c r="A2" s="474"/>
      <c r="B2" s="474"/>
      <c r="C2" s="474"/>
      <c r="D2" s="320"/>
      <c r="E2" s="320"/>
      <c r="F2" s="321"/>
      <c r="G2" s="322"/>
      <c r="H2" s="322"/>
      <c r="I2" s="322"/>
      <c r="J2" s="284"/>
      <c r="K2" s="284"/>
    </row>
    <row r="3" spans="1:21" ht="15" customHeight="1">
      <c r="A3" s="484" t="s">
        <v>258</v>
      </c>
      <c r="B3" s="484"/>
      <c r="C3" s="484"/>
      <c r="D3" s="346">
        <f>'3.1'!A4</f>
        <v>2022</v>
      </c>
      <c r="E3" s="479"/>
      <c r="F3" s="479"/>
      <c r="G3" s="479"/>
      <c r="H3" s="345"/>
      <c r="I3" s="478">
        <f>D3-1</f>
        <v>2021</v>
      </c>
      <c r="J3" s="479"/>
      <c r="K3" s="479"/>
    </row>
    <row r="4" spans="1:21" ht="50.1" customHeight="1">
      <c r="A4" s="485"/>
      <c r="B4" s="485"/>
      <c r="C4" s="485"/>
      <c r="D4" s="348"/>
      <c r="E4" s="481"/>
      <c r="F4" s="481"/>
      <c r="G4" s="481"/>
      <c r="H4" s="175"/>
      <c r="I4" s="480"/>
      <c r="J4" s="481"/>
      <c r="K4" s="481"/>
    </row>
    <row r="5" spans="1:21" ht="24.95" customHeight="1">
      <c r="A5" s="484" t="s">
        <v>159</v>
      </c>
      <c r="B5" s="484"/>
      <c r="C5" s="486" t="s">
        <v>185</v>
      </c>
      <c r="D5" s="482" t="s">
        <v>160</v>
      </c>
      <c r="E5" s="476" t="s">
        <v>60</v>
      </c>
      <c r="F5" s="476"/>
      <c r="G5" s="477" t="s">
        <v>33</v>
      </c>
      <c r="H5" s="477" t="s">
        <v>272</v>
      </c>
      <c r="I5" s="475" t="s">
        <v>60</v>
      </c>
      <c r="J5" s="476"/>
      <c r="K5" s="477" t="s">
        <v>33</v>
      </c>
    </row>
    <row r="6" spans="1:21" ht="22.5" customHeight="1">
      <c r="A6" s="485"/>
      <c r="B6" s="485"/>
      <c r="C6" s="487"/>
      <c r="D6" s="483"/>
      <c r="E6" s="222" t="s">
        <v>263</v>
      </c>
      <c r="F6" s="222" t="s">
        <v>264</v>
      </c>
      <c r="G6" s="464"/>
      <c r="H6" s="464"/>
      <c r="I6" s="224" t="s">
        <v>263</v>
      </c>
      <c r="J6" s="222" t="s">
        <v>264</v>
      </c>
      <c r="K6" s="464"/>
    </row>
    <row r="7" spans="1:21" ht="12.95" customHeight="1">
      <c r="A7" s="419" t="str">
        <f>'3.1'!D5</f>
        <v>Říjen</v>
      </c>
      <c r="B7" s="419"/>
      <c r="C7" s="165" t="s">
        <v>4</v>
      </c>
      <c r="D7" s="317">
        <v>133</v>
      </c>
      <c r="E7" s="313">
        <v>11219.028312855455</v>
      </c>
      <c r="F7" s="313">
        <v>123028.35811</v>
      </c>
      <c r="G7" s="314">
        <f t="shared" ref="G7:G12" si="0">E7/$E$13</f>
        <v>0.23995448172784362</v>
      </c>
      <c r="H7" s="314">
        <f>(E7-I7)/I7</f>
        <v>-0.25707598195756748</v>
      </c>
      <c r="I7" s="317">
        <v>15101.178640605847</v>
      </c>
      <c r="J7" s="313">
        <v>161607.51273000002</v>
      </c>
      <c r="K7" s="314">
        <f>I7/$I$13</f>
        <v>0.2189955918126493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20"/>
      <c r="B8" s="420"/>
      <c r="C8" s="155" t="s">
        <v>5</v>
      </c>
      <c r="D8" s="318">
        <v>1509</v>
      </c>
      <c r="E8" s="130">
        <v>8812.7033728931146</v>
      </c>
      <c r="F8" s="130">
        <v>96640.473370000007</v>
      </c>
      <c r="G8" s="312">
        <f t="shared" si="0"/>
        <v>0.1884875954935146</v>
      </c>
      <c r="H8" s="312">
        <f t="shared" ref="H8:H11" si="1">(E8-I8)/I8</f>
        <v>-0.32938665027139974</v>
      </c>
      <c r="I8" s="318">
        <v>13141.258485921357</v>
      </c>
      <c r="J8" s="130">
        <v>140633.04525999998</v>
      </c>
      <c r="K8" s="312">
        <f t="shared" ref="K8:K12" si="2">I8/$I$13</f>
        <v>0.19057305047362111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20"/>
      <c r="B9" s="420"/>
      <c r="C9" s="155" t="s">
        <v>6</v>
      </c>
      <c r="D9" s="318">
        <v>37732</v>
      </c>
      <c r="E9" s="130">
        <v>10324.142694394011</v>
      </c>
      <c r="F9" s="130">
        <v>113214.980115474</v>
      </c>
      <c r="G9" s="312">
        <f t="shared" si="0"/>
        <v>0.22081451623390119</v>
      </c>
      <c r="H9" s="312">
        <f t="shared" si="1"/>
        <v>-0.32706666028268172</v>
      </c>
      <c r="I9" s="318">
        <v>15341.999103107173</v>
      </c>
      <c r="J9" s="130">
        <v>164184.58373356299</v>
      </c>
      <c r="K9" s="312">
        <f t="shared" si="2"/>
        <v>0.22248794303643152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20"/>
      <c r="B10" s="420"/>
      <c r="C10" s="155" t="s">
        <v>7</v>
      </c>
      <c r="D10" s="318">
        <v>369166</v>
      </c>
      <c r="E10" s="130">
        <v>14267.922891934621</v>
      </c>
      <c r="F10" s="130">
        <v>156462.63852751881</v>
      </c>
      <c r="G10" s="312">
        <f t="shared" si="0"/>
        <v>0.30516475646504748</v>
      </c>
      <c r="H10" s="312">
        <f t="shared" si="1"/>
        <v>-0.36576483393400105</v>
      </c>
      <c r="I10" s="318">
        <v>22496.265825868588</v>
      </c>
      <c r="J10" s="130">
        <v>240746.98579742259</v>
      </c>
      <c r="K10" s="312">
        <f t="shared" si="2"/>
        <v>0.32623831327069969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20"/>
      <c r="B11" s="420"/>
      <c r="C11" s="155" t="s">
        <v>93</v>
      </c>
      <c r="D11" s="318">
        <v>39</v>
      </c>
      <c r="E11" s="130">
        <v>945.18611812871791</v>
      </c>
      <c r="F11" s="130">
        <v>10364.95046</v>
      </c>
      <c r="G11" s="312">
        <f t="shared" si="0"/>
        <v>2.0215801118181113E-2</v>
      </c>
      <c r="H11" s="312">
        <f t="shared" si="1"/>
        <v>-0.23101724811283184</v>
      </c>
      <c r="I11" s="318">
        <v>1229.1382554538802</v>
      </c>
      <c r="J11" s="130">
        <v>13153.797719999999</v>
      </c>
      <c r="K11" s="312">
        <f t="shared" si="2"/>
        <v>1.7824824543754336E-2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20"/>
      <c r="B12" s="420"/>
      <c r="C12" s="155" t="s">
        <v>94</v>
      </c>
      <c r="D12" s="318"/>
      <c r="E12" s="130">
        <v>1185.8354073861915</v>
      </c>
      <c r="F12" s="130">
        <v>13003.920620000001</v>
      </c>
      <c r="G12" s="312">
        <f t="shared" si="0"/>
        <v>2.5362848961512016E-2</v>
      </c>
      <c r="H12" s="312">
        <f>(E12-I12)/I12</f>
        <v>-0.27987218837490907</v>
      </c>
      <c r="I12" s="318">
        <v>1646.7013053004468</v>
      </c>
      <c r="J12" s="130">
        <v>17622.408040000002</v>
      </c>
      <c r="K12" s="312">
        <f t="shared" si="2"/>
        <v>2.3880276862843976E-2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21"/>
      <c r="B13" s="421"/>
      <c r="C13" s="323" t="s">
        <v>0</v>
      </c>
      <c r="D13" s="326">
        <v>408579</v>
      </c>
      <c r="E13" s="324">
        <v>46754.81879759211</v>
      </c>
      <c r="F13" s="324">
        <v>512715.32120299287</v>
      </c>
      <c r="G13" s="325">
        <f>SUM(G7:G12)</f>
        <v>1</v>
      </c>
      <c r="H13" s="325">
        <f>(E13-I13)/I13</f>
        <v>-0.32196688375437427</v>
      </c>
      <c r="I13" s="326">
        <v>68956.541616257295</v>
      </c>
      <c r="J13" s="324">
        <v>737948.33328098559</v>
      </c>
      <c r="K13" s="325">
        <f>SUM(K7:K12)</f>
        <v>1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19" t="str">
        <f>'3.1'!E5</f>
        <v>Listopad</v>
      </c>
      <c r="B14" s="419"/>
      <c r="C14" s="165" t="s">
        <v>4</v>
      </c>
      <c r="D14" s="317">
        <v>140</v>
      </c>
      <c r="E14" s="313">
        <v>17409.813049331824</v>
      </c>
      <c r="F14" s="313">
        <v>190703.86418999999</v>
      </c>
      <c r="G14" s="314">
        <f>E14/$E$20</f>
        <v>0.20811974716698672</v>
      </c>
      <c r="H14" s="314">
        <f>(E14-I14)/I14</f>
        <v>-0.16504720869838499</v>
      </c>
      <c r="I14" s="317">
        <v>20851.254383126881</v>
      </c>
      <c r="J14" s="313">
        <v>222599.11205</v>
      </c>
      <c r="K14" s="314">
        <f>I14/$I$20</f>
        <v>0.20092377116596793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20"/>
      <c r="B15" s="420"/>
      <c r="C15" s="155" t="s">
        <v>5</v>
      </c>
      <c r="D15" s="318">
        <v>1510</v>
      </c>
      <c r="E15" s="130">
        <v>15525.524391868294</v>
      </c>
      <c r="F15" s="130">
        <v>170063.53687000001</v>
      </c>
      <c r="G15" s="312">
        <f t="shared" ref="G15:G19" si="3">E15/$E$20</f>
        <v>0.18559465296466951</v>
      </c>
      <c r="H15" s="312">
        <f t="shared" ref="H15:H17" si="4">(E15-I15)/I15</f>
        <v>-0.23030914933443555</v>
      </c>
      <c r="I15" s="318">
        <v>20171.117245895693</v>
      </c>
      <c r="J15" s="130">
        <v>215338.28631999998</v>
      </c>
      <c r="K15" s="312">
        <f t="shared" ref="K15:K19" si="5">I15/$I$20</f>
        <v>0.19436993435540659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20"/>
      <c r="B16" s="420"/>
      <c r="C16" s="155" t="s">
        <v>6</v>
      </c>
      <c r="D16" s="318">
        <v>37726</v>
      </c>
      <c r="E16" s="130">
        <v>20471.698317870636</v>
      </c>
      <c r="F16" s="130">
        <v>224242.95204458199</v>
      </c>
      <c r="G16" s="312">
        <f t="shared" si="3"/>
        <v>0.24472202348879221</v>
      </c>
      <c r="H16" s="312">
        <f t="shared" si="4"/>
        <v>-0.15868981285189881</v>
      </c>
      <c r="I16" s="318">
        <v>24333.115931076765</v>
      </c>
      <c r="J16" s="130">
        <v>259770.017770837</v>
      </c>
      <c r="K16" s="312">
        <f>I16/$I$20</f>
        <v>0.2344751700428615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20"/>
      <c r="B17" s="420"/>
      <c r="C17" s="155" t="s">
        <v>7</v>
      </c>
      <c r="D17" s="318">
        <v>368580</v>
      </c>
      <c r="E17" s="130">
        <v>27617.899102191972</v>
      </c>
      <c r="F17" s="130">
        <v>302521.02819132968</v>
      </c>
      <c r="G17" s="312">
        <f t="shared" si="3"/>
        <v>0.33014887420931499</v>
      </c>
      <c r="H17" s="312">
        <f t="shared" si="4"/>
        <v>-0.21353895501443895</v>
      </c>
      <c r="I17" s="318">
        <v>35116.677778616511</v>
      </c>
      <c r="J17" s="130">
        <v>374890.74709719262</v>
      </c>
      <c r="K17" s="312">
        <f>I17/$I$20</f>
        <v>0.33838613257768341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20"/>
      <c r="B18" s="420"/>
      <c r="C18" s="155" t="s">
        <v>93</v>
      </c>
      <c r="D18" s="318">
        <v>37</v>
      </c>
      <c r="E18" s="130">
        <v>1032.577491081362</v>
      </c>
      <c r="F18" s="130">
        <v>11310.6505</v>
      </c>
      <c r="G18" s="312">
        <f t="shared" si="3"/>
        <v>1.2343599886181561E-2</v>
      </c>
      <c r="H18" s="312">
        <f>(E18-I18)/I18</f>
        <v>-0.11490010081465576</v>
      </c>
      <c r="I18" s="318">
        <v>1166.622538350482</v>
      </c>
      <c r="J18" s="130">
        <v>12454.36706</v>
      </c>
      <c r="K18" s="312">
        <f>I18/$I$20</f>
        <v>1.1241635425170121E-2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20"/>
      <c r="B19" s="420"/>
      <c r="C19" s="155" t="s">
        <v>94</v>
      </c>
      <c r="D19" s="318"/>
      <c r="E19" s="130">
        <v>1595.3523388805656</v>
      </c>
      <c r="F19" s="130">
        <v>17475.175360000001</v>
      </c>
      <c r="G19" s="312">
        <f t="shared" si="3"/>
        <v>1.9071102284055088E-2</v>
      </c>
      <c r="H19" s="312">
        <f t="shared" ref="H19" si="6">(E19-I19)/I19</f>
        <v>-0.25386438271860967</v>
      </c>
      <c r="I19" s="318">
        <v>2138.1533087689472</v>
      </c>
      <c r="J19" s="130">
        <v>22826.017210000002</v>
      </c>
      <c r="K19" s="312">
        <f t="shared" si="5"/>
        <v>2.0603356432910436E-2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21"/>
      <c r="B20" s="421"/>
      <c r="C20" s="323" t="s">
        <v>0</v>
      </c>
      <c r="D20" s="326">
        <v>407993</v>
      </c>
      <c r="E20" s="324">
        <v>83652.864691224648</v>
      </c>
      <c r="F20" s="324">
        <v>916317.20715591172</v>
      </c>
      <c r="G20" s="325">
        <f>SUM(G14:G19)</f>
        <v>1.0000000000000002</v>
      </c>
      <c r="H20" s="325">
        <f>(E20-I20)/I20</f>
        <v>-0.19391664723066063</v>
      </c>
      <c r="I20" s="326">
        <v>103776.94118583528</v>
      </c>
      <c r="J20" s="324">
        <v>1107878.5475080295</v>
      </c>
      <c r="K20" s="325">
        <f>SUM(K14:K19)</f>
        <v>1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19" t="str">
        <f>'3.1'!F5</f>
        <v>Prosinec</v>
      </c>
      <c r="B21" s="419"/>
      <c r="C21" s="165" t="s">
        <v>4</v>
      </c>
      <c r="D21" s="317">
        <v>138</v>
      </c>
      <c r="E21" s="313">
        <v>22022.410963676339</v>
      </c>
      <c r="F21" s="313">
        <v>240785.43715000001</v>
      </c>
      <c r="G21" s="314">
        <f>E21/$E$27</f>
        <v>0.19050804569192339</v>
      </c>
      <c r="H21" s="314">
        <f>(E21-I21)/I21</f>
        <v>-0.10508760764916338</v>
      </c>
      <c r="I21" s="317">
        <v>24608.454583834606</v>
      </c>
      <c r="J21" s="313">
        <v>262664.9430699998</v>
      </c>
      <c r="K21" s="314">
        <f>I21/$I$27</f>
        <v>0.19061521733186335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20"/>
      <c r="B22" s="420"/>
      <c r="C22" s="155" t="s">
        <v>5</v>
      </c>
      <c r="D22" s="318">
        <v>1507</v>
      </c>
      <c r="E22" s="130">
        <v>21861.03183611776</v>
      </c>
      <c r="F22" s="130">
        <v>239021.27098</v>
      </c>
      <c r="G22" s="312">
        <f t="shared" ref="G22:G26" si="7">E22/$E$27</f>
        <v>0.18911201224865684</v>
      </c>
      <c r="H22" s="312">
        <f t="shared" ref="H22:H26" si="8">(E22-I22)/I22</f>
        <v>-0.11082679249119914</v>
      </c>
      <c r="I22" s="318">
        <v>24585.796840826857</v>
      </c>
      <c r="J22" s="130">
        <v>262369.48921000015</v>
      </c>
      <c r="K22" s="312">
        <f t="shared" ref="K22:K26" si="9">I22/$I$27</f>
        <v>0.19043971217801639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20"/>
      <c r="B23" s="420"/>
      <c r="C23" s="155" t="s">
        <v>6</v>
      </c>
      <c r="D23" s="318">
        <v>37679</v>
      </c>
      <c r="E23" s="130">
        <v>29469.613937649425</v>
      </c>
      <c r="F23" s="130">
        <v>322210.98397694796</v>
      </c>
      <c r="G23" s="312">
        <f t="shared" si="7"/>
        <v>0.25493115026402385</v>
      </c>
      <c r="H23" s="312">
        <f t="shared" si="8"/>
        <v>-5.568977900268765E-2</v>
      </c>
      <c r="I23" s="318">
        <v>31207.555824743424</v>
      </c>
      <c r="J23" s="130">
        <v>332994.41947196401</v>
      </c>
      <c r="K23" s="312">
        <f t="shared" si="9"/>
        <v>0.24173135357461284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20"/>
      <c r="B24" s="420"/>
      <c r="C24" s="155" t="s">
        <v>7</v>
      </c>
      <c r="D24" s="318">
        <v>368076</v>
      </c>
      <c r="E24" s="130">
        <v>39357.866472623362</v>
      </c>
      <c r="F24" s="130">
        <v>430325.85734609101</v>
      </c>
      <c r="G24" s="312">
        <f t="shared" si="7"/>
        <v>0.34047090650838829</v>
      </c>
      <c r="H24" s="312">
        <f t="shared" si="8"/>
        <v>-0.11955329855928828</v>
      </c>
      <c r="I24" s="318">
        <v>44702.156766809894</v>
      </c>
      <c r="J24" s="130">
        <v>476961.21056599973</v>
      </c>
      <c r="K24" s="312">
        <f t="shared" si="9"/>
        <v>0.34625950598725996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20"/>
      <c r="B25" s="420"/>
      <c r="C25" s="155" t="s">
        <v>93</v>
      </c>
      <c r="D25" s="318">
        <v>38</v>
      </c>
      <c r="E25" s="130">
        <v>910.69934983869985</v>
      </c>
      <c r="F25" s="130">
        <v>9957.2846199999985</v>
      </c>
      <c r="G25" s="312">
        <f t="shared" si="7"/>
        <v>7.8781362148240136E-3</v>
      </c>
      <c r="H25" s="312">
        <f t="shared" si="8"/>
        <v>-0.14651588343517391</v>
      </c>
      <c r="I25" s="318">
        <v>1067.0372560700466</v>
      </c>
      <c r="J25" s="130">
        <v>11420.83295</v>
      </c>
      <c r="K25" s="312">
        <f t="shared" si="9"/>
        <v>8.2651894199238778E-3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20"/>
      <c r="B26" s="420"/>
      <c r="C26" s="155" t="s">
        <v>94</v>
      </c>
      <c r="D26" s="318"/>
      <c r="E26" s="130">
        <v>1976.7023491088876</v>
      </c>
      <c r="F26" s="130">
        <v>21612.607830000001</v>
      </c>
      <c r="G26" s="312">
        <f t="shared" si="7"/>
        <v>1.7099749072183503E-2</v>
      </c>
      <c r="H26" s="312">
        <f t="shared" si="8"/>
        <v>-0.32516322794652774</v>
      </c>
      <c r="I26" s="318">
        <v>2929.1562507685326</v>
      </c>
      <c r="J26" s="130">
        <v>31280.643290000004</v>
      </c>
      <c r="K26" s="312">
        <f t="shared" si="9"/>
        <v>2.2689021508323678E-2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21"/>
      <c r="B27" s="421"/>
      <c r="C27" s="323" t="s">
        <v>0</v>
      </c>
      <c r="D27" s="326">
        <v>407438</v>
      </c>
      <c r="E27" s="324">
        <v>115598.32490901448</v>
      </c>
      <c r="F27" s="324">
        <v>1263913.4419030391</v>
      </c>
      <c r="G27" s="325">
        <f>SUM(G21:G26)</f>
        <v>0.99999999999999989</v>
      </c>
      <c r="H27" s="325">
        <f>(E27-I27)/I27</f>
        <v>-0.10458416839365864</v>
      </c>
      <c r="I27" s="326">
        <v>129100.15752305335</v>
      </c>
      <c r="J27" s="324">
        <v>1377691.5385579637</v>
      </c>
      <c r="K27" s="325">
        <f>SUM(K21:K26)</f>
        <v>1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488" t="str">
        <f>'3.1'!G5</f>
        <v>IV. čtvrtletí</v>
      </c>
      <c r="B28" s="488"/>
      <c r="C28" s="165" t="s">
        <v>4</v>
      </c>
      <c r="D28" s="317">
        <f>D21</f>
        <v>138</v>
      </c>
      <c r="E28" s="313">
        <f>E7+E14+E21</f>
        <v>50651.252325863621</v>
      </c>
      <c r="F28" s="313">
        <f>F7+F14+F21</f>
        <v>554517.65945000004</v>
      </c>
      <c r="G28" s="314">
        <f>E28/$E$34</f>
        <v>0.20589437085598497</v>
      </c>
      <c r="H28" s="314">
        <f>(E28-I28)/I28</f>
        <v>-0.16363094520539131</v>
      </c>
      <c r="I28" s="317">
        <f>I7+I14+I21</f>
        <v>60560.887607567332</v>
      </c>
      <c r="J28" s="313">
        <f>J7+J14+J21</f>
        <v>646871.56784999976</v>
      </c>
      <c r="K28" s="314">
        <f>I28/$I$34</f>
        <v>0.2006432667423319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89"/>
      <c r="B29" s="489"/>
      <c r="C29" s="155" t="s">
        <v>5</v>
      </c>
      <c r="D29" s="318">
        <f t="shared" ref="D29:D32" si="10">D22</f>
        <v>1507</v>
      </c>
      <c r="E29" s="130">
        <f>E8+E15+E22</f>
        <v>46199.259600879173</v>
      </c>
      <c r="F29" s="130">
        <f t="shared" ref="F29" si="11">F8+F15+F22</f>
        <v>505725.28122</v>
      </c>
      <c r="G29" s="312">
        <f t="shared" ref="G29:G33" si="12">E29/$E$34</f>
        <v>0.18779728146382321</v>
      </c>
      <c r="H29" s="312">
        <f t="shared" ref="H29:H31" si="13">(E29-I29)/I29</f>
        <v>-0.20206014200338185</v>
      </c>
      <c r="I29" s="318">
        <f>I8+I15+I22</f>
        <v>57898.172572643911</v>
      </c>
      <c r="J29" s="130">
        <f t="shared" ref="J29" si="14">J8+J15+J22</f>
        <v>618340.82079000014</v>
      </c>
      <c r="K29" s="312">
        <f t="shared" ref="K29:K33" si="15">I29/$I$34</f>
        <v>0.1918214699669458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89"/>
      <c r="B30" s="489"/>
      <c r="C30" s="155" t="s">
        <v>6</v>
      </c>
      <c r="D30" s="318">
        <f t="shared" si="10"/>
        <v>37679</v>
      </c>
      <c r="E30" s="130">
        <f t="shared" ref="E30:F33" si="16">E9+E16+E23</f>
        <v>60265.45494991407</v>
      </c>
      <c r="F30" s="130">
        <f t="shared" si="16"/>
        <v>659668.91613700392</v>
      </c>
      <c r="G30" s="312">
        <f t="shared" si="12"/>
        <v>0.24497554081059331</v>
      </c>
      <c r="H30" s="312">
        <f t="shared" si="13"/>
        <v>-0.1497857766977202</v>
      </c>
      <c r="I30" s="318">
        <f t="shared" ref="I30:J32" si="17">I9+I16+I23</f>
        <v>70882.670858927362</v>
      </c>
      <c r="J30" s="130">
        <f t="shared" si="17"/>
        <v>756949.02097636403</v>
      </c>
      <c r="K30" s="312">
        <f t="shared" si="15"/>
        <v>0.23484019469324235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89"/>
      <c r="B31" s="489"/>
      <c r="C31" s="155" t="s">
        <v>7</v>
      </c>
      <c r="D31" s="318">
        <f t="shared" si="10"/>
        <v>368076</v>
      </c>
      <c r="E31" s="130">
        <f>E10+E17+E24</f>
        <v>81243.688466749954</v>
      </c>
      <c r="F31" s="130">
        <f t="shared" si="16"/>
        <v>889309.52406493947</v>
      </c>
      <c r="G31" s="312">
        <f t="shared" si="12"/>
        <v>0.33025083003406097</v>
      </c>
      <c r="H31" s="312">
        <f t="shared" si="13"/>
        <v>-0.20594625649662887</v>
      </c>
      <c r="I31" s="318">
        <f>I10+I17+I24</f>
        <v>102315.100371295</v>
      </c>
      <c r="J31" s="130">
        <f t="shared" si="17"/>
        <v>1092598.9434606149</v>
      </c>
      <c r="K31" s="312">
        <f t="shared" si="15"/>
        <v>0.33897845270354071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89"/>
      <c r="B32" s="489"/>
      <c r="C32" s="155" t="s">
        <v>93</v>
      </c>
      <c r="D32" s="318">
        <f t="shared" si="10"/>
        <v>38</v>
      </c>
      <c r="E32" s="130">
        <f>E11+E18+E25</f>
        <v>2888.4629590487798</v>
      </c>
      <c r="F32" s="130">
        <f t="shared" si="16"/>
        <v>31632.885579999998</v>
      </c>
      <c r="G32" s="312">
        <f t="shared" si="12"/>
        <v>1.1741432568499185E-2</v>
      </c>
      <c r="H32" s="312">
        <f>(E32-I32)/I32</f>
        <v>-0.16585867340616622</v>
      </c>
      <c r="I32" s="318">
        <f>I11+I18+I25</f>
        <v>3462.7980498744087</v>
      </c>
      <c r="J32" s="130">
        <f t="shared" si="17"/>
        <v>37028.997730000003</v>
      </c>
      <c r="K32" s="312">
        <f t="shared" si="15"/>
        <v>1.1472538469019421E-2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89"/>
      <c r="B33" s="489"/>
      <c r="C33" s="155" t="s">
        <v>94</v>
      </c>
      <c r="D33" s="318"/>
      <c r="E33" s="130">
        <f t="shared" si="16"/>
        <v>4757.8900953756447</v>
      </c>
      <c r="F33" s="130">
        <f t="shared" si="16"/>
        <v>52091.703810000006</v>
      </c>
      <c r="G33" s="312">
        <f t="shared" si="12"/>
        <v>1.9340544267038275E-2</v>
      </c>
      <c r="H33" s="312">
        <f t="shared" ref="H33" si="18">(E33-I33)/I33</f>
        <v>-0.29134906225825741</v>
      </c>
      <c r="I33" s="318">
        <f t="shared" ref="I33:J33" si="19">I12+I19+I26</f>
        <v>6714.0108648379264</v>
      </c>
      <c r="J33" s="130">
        <f t="shared" si="19"/>
        <v>71729.068540000007</v>
      </c>
      <c r="K33" s="312">
        <f t="shared" si="15"/>
        <v>2.224407742491975E-2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90"/>
      <c r="B34" s="490"/>
      <c r="C34" s="323" t="s">
        <v>0</v>
      </c>
      <c r="D34" s="326">
        <f>SUM(D28:D33)</f>
        <v>407438</v>
      </c>
      <c r="E34" s="324">
        <f>SUM(E28:E33)</f>
        <v>246006.00839783126</v>
      </c>
      <c r="F34" s="324">
        <f>SUM(F28:F33)</f>
        <v>2692945.9702619431</v>
      </c>
      <c r="G34" s="325">
        <f>SUM(G28:G33)</f>
        <v>0.99999999999999989</v>
      </c>
      <c r="H34" s="325">
        <f>(E34-I34)/I34</f>
        <v>-0.18496159628587189</v>
      </c>
      <c r="I34" s="326">
        <f>SUM(I28:I33)</f>
        <v>301833.64032514597</v>
      </c>
      <c r="J34" s="324">
        <f>SUM(J28:J33)</f>
        <v>3223518.4193469789</v>
      </c>
      <c r="K34" s="325">
        <f>SUM(K28:K33)</f>
        <v>0.99999999999999989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08"/>
      <c r="C35" s="102"/>
      <c r="D35" s="88"/>
      <c r="E35" s="88"/>
      <c r="F35" s="88"/>
      <c r="G35" s="473" t="s">
        <v>274</v>
      </c>
      <c r="H35" s="473"/>
      <c r="I35" s="473"/>
      <c r="J35" s="473"/>
      <c r="K35" s="473"/>
    </row>
    <row r="36" spans="1:20" ht="15" customHeight="1">
      <c r="A36" s="465" t="s">
        <v>273</v>
      </c>
      <c r="B36" s="465"/>
      <c r="C36" s="465"/>
      <c r="D36" s="465"/>
      <c r="E36" s="465"/>
      <c r="F36" s="120"/>
      <c r="G36" s="473"/>
      <c r="H36" s="473"/>
      <c r="I36" s="473"/>
      <c r="J36" s="473"/>
      <c r="K36" s="473"/>
      <c r="M36" s="94"/>
      <c r="N36" s="94"/>
      <c r="O36" s="94"/>
      <c r="P36" s="94"/>
      <c r="Q36" s="94"/>
      <c r="R36" s="94"/>
      <c r="S36" s="94"/>
    </row>
    <row r="37" spans="1:20" ht="15" customHeight="1">
      <c r="A37" s="466" t="str">
        <f>A28</f>
        <v>IV. čtvrtletí</v>
      </c>
      <c r="B37" s="467"/>
      <c r="C37" s="467"/>
      <c r="D37" s="467"/>
      <c r="E37" s="467"/>
      <c r="F37" s="126"/>
      <c r="G37" s="468" t="str">
        <f>A28</f>
        <v>IV. čtvrtletí</v>
      </c>
      <c r="H37" s="468"/>
      <c r="I37" s="468"/>
      <c r="J37" s="468"/>
      <c r="K37" s="468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2022</v>
      </c>
      <c r="D41" s="95">
        <f>I3</f>
        <v>2021</v>
      </c>
      <c r="E41" s="76"/>
      <c r="F41" s="76"/>
      <c r="G41" s="76"/>
      <c r="H41" s="95"/>
      <c r="I41" s="95">
        <f>D3</f>
        <v>2022</v>
      </c>
      <c r="J41" s="95">
        <f>I3</f>
        <v>2021</v>
      </c>
      <c r="K41" s="95"/>
    </row>
    <row r="42" spans="1:20" ht="15" customHeight="1">
      <c r="A42" s="95"/>
      <c r="B42" s="95" t="str">
        <f>A7</f>
        <v>Říjen</v>
      </c>
      <c r="C42" s="78">
        <f>E13</f>
        <v>46754.81879759211</v>
      </c>
      <c r="D42" s="78">
        <f>I13</f>
        <v>68956.541616257295</v>
      </c>
      <c r="E42" s="76"/>
      <c r="F42" s="76"/>
      <c r="G42" s="76"/>
      <c r="H42" s="95" t="str">
        <f>A7</f>
        <v>Říjen</v>
      </c>
      <c r="I42" s="96">
        <f>E13/E34</f>
        <v>0.19005559702420785</v>
      </c>
      <c r="J42" s="96">
        <f>I13/I34</f>
        <v>0.22845876802193038</v>
      </c>
      <c r="K42" s="95"/>
    </row>
    <row r="43" spans="1:20" ht="15" customHeight="1">
      <c r="A43" s="95"/>
      <c r="B43" s="95" t="str">
        <f>A14</f>
        <v>Listopad</v>
      </c>
      <c r="C43" s="78">
        <f>E20</f>
        <v>83652.864691224648</v>
      </c>
      <c r="D43" s="78">
        <f>I20</f>
        <v>103776.94118583528</v>
      </c>
      <c r="E43" s="76"/>
      <c r="F43" s="76"/>
      <c r="G43" s="76"/>
      <c r="H43" s="95" t="str">
        <f>A14</f>
        <v>Listopad</v>
      </c>
      <c r="I43" s="96">
        <f>E20/E34</f>
        <v>0.34004399012866593</v>
      </c>
      <c r="J43" s="96">
        <f>I20/I34</f>
        <v>0.34382165312667951</v>
      </c>
      <c r="K43" s="95"/>
    </row>
    <row r="44" spans="1:20" ht="15" customHeight="1">
      <c r="A44" s="95"/>
      <c r="B44" s="95" t="str">
        <f>A21</f>
        <v>Prosinec</v>
      </c>
      <c r="C44" s="78">
        <f>E27</f>
        <v>115598.32490901448</v>
      </c>
      <c r="D44" s="78">
        <f>I27</f>
        <v>129100.15752305335</v>
      </c>
      <c r="E44" s="76"/>
      <c r="F44" s="76"/>
      <c r="G44" s="76"/>
      <c r="H44" s="95" t="str">
        <f>A21</f>
        <v>Prosinec</v>
      </c>
      <c r="I44" s="96">
        <f>E27/E34</f>
        <v>0.46990041284712608</v>
      </c>
      <c r="J44" s="96">
        <f>I27/I34</f>
        <v>0.42771957885138995</v>
      </c>
      <c r="K44" s="95"/>
    </row>
    <row r="45" spans="1:20" ht="15" customHeight="1">
      <c r="A45" s="95"/>
      <c r="B45" s="95"/>
      <c r="C45" s="78">
        <f>SUM(C42:C44)</f>
        <v>246006.00839783123</v>
      </c>
      <c r="D45" s="78">
        <f>SUM(D42:D44)</f>
        <v>301833.64032514591</v>
      </c>
      <c r="E45" s="95"/>
      <c r="F45" s="95"/>
      <c r="G45" s="95"/>
      <c r="H45" s="95"/>
      <c r="I45" s="97">
        <f>SUM(I42:I44)</f>
        <v>0.99999999999999978</v>
      </c>
      <c r="J45" s="97">
        <f>SUM(J42:J44)</f>
        <v>0.99999999999999978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D5:D6"/>
    <mergeCell ref="C5:C6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A1:K1"/>
    <mergeCell ref="A2:C2"/>
    <mergeCell ref="E3:G4"/>
    <mergeCell ref="I3:K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2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59" t="s">
        <v>301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21" ht="6" customHeight="1">
      <c r="A2" s="474"/>
      <c r="B2" s="474"/>
      <c r="C2" s="474"/>
      <c r="D2" s="320"/>
      <c r="E2" s="320"/>
      <c r="F2" s="321"/>
      <c r="G2" s="322"/>
      <c r="H2" s="322"/>
      <c r="I2" s="322"/>
      <c r="J2" s="284"/>
      <c r="K2" s="284"/>
    </row>
    <row r="3" spans="1:21" ht="15" customHeight="1">
      <c r="A3" s="484" t="s">
        <v>88</v>
      </c>
      <c r="B3" s="484"/>
      <c r="C3" s="484"/>
      <c r="D3" s="346">
        <f>'3.1'!A4</f>
        <v>2022</v>
      </c>
      <c r="E3" s="479"/>
      <c r="F3" s="479"/>
      <c r="G3" s="479"/>
      <c r="H3" s="345"/>
      <c r="I3" s="478">
        <f>D3-1</f>
        <v>2021</v>
      </c>
      <c r="J3" s="479"/>
      <c r="K3" s="479"/>
    </row>
    <row r="4" spans="1:21" ht="50.1" customHeight="1">
      <c r="A4" s="485"/>
      <c r="B4" s="485"/>
      <c r="C4" s="485"/>
      <c r="D4" s="348"/>
      <c r="E4" s="481"/>
      <c r="F4" s="481"/>
      <c r="G4" s="481"/>
      <c r="H4" s="175"/>
      <c r="I4" s="480"/>
      <c r="J4" s="481"/>
      <c r="K4" s="481"/>
    </row>
    <row r="5" spans="1:21" ht="24.95" customHeight="1">
      <c r="A5" s="484" t="s">
        <v>159</v>
      </c>
      <c r="B5" s="484"/>
      <c r="C5" s="486" t="s">
        <v>185</v>
      </c>
      <c r="D5" s="482" t="s">
        <v>160</v>
      </c>
      <c r="E5" s="476" t="s">
        <v>60</v>
      </c>
      <c r="F5" s="476"/>
      <c r="G5" s="477" t="s">
        <v>33</v>
      </c>
      <c r="H5" s="477" t="s">
        <v>272</v>
      </c>
      <c r="I5" s="475" t="s">
        <v>60</v>
      </c>
      <c r="J5" s="476"/>
      <c r="K5" s="477" t="s">
        <v>33</v>
      </c>
    </row>
    <row r="6" spans="1:21" ht="22.5" customHeight="1">
      <c r="A6" s="485"/>
      <c r="B6" s="485"/>
      <c r="C6" s="487"/>
      <c r="D6" s="483"/>
      <c r="E6" s="222" t="s">
        <v>263</v>
      </c>
      <c r="F6" s="222" t="s">
        <v>264</v>
      </c>
      <c r="G6" s="464"/>
      <c r="H6" s="464"/>
      <c r="I6" s="224" t="s">
        <v>263</v>
      </c>
      <c r="J6" s="222" t="s">
        <v>264</v>
      </c>
      <c r="K6" s="464"/>
    </row>
    <row r="7" spans="1:21" ht="12.95" customHeight="1">
      <c r="A7" s="419" t="str">
        <f>'3.1'!D5</f>
        <v>Říjen</v>
      </c>
      <c r="B7" s="419"/>
      <c r="C7" s="165" t="s">
        <v>4</v>
      </c>
      <c r="D7" s="317">
        <v>1241</v>
      </c>
      <c r="E7" s="313">
        <v>219532.50399999999</v>
      </c>
      <c r="F7" s="313">
        <v>2406013.3556300001</v>
      </c>
      <c r="G7" s="314">
        <f t="shared" ref="G7:G12" si="0">E7/$E$13</f>
        <v>0.54156766497461395</v>
      </c>
      <c r="H7" s="314">
        <f>(E7-I7)/I7</f>
        <v>-0.30257666375828612</v>
      </c>
      <c r="I7" s="317">
        <v>314776.53900000005</v>
      </c>
      <c r="J7" s="313">
        <v>3367200.2276400006</v>
      </c>
      <c r="K7" s="314">
        <f>I7/$I$13</f>
        <v>0.52232699884931433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20"/>
      <c r="B8" s="420"/>
      <c r="C8" s="155" t="s">
        <v>5</v>
      </c>
      <c r="D8" s="318">
        <v>4352</v>
      </c>
      <c r="E8" s="130">
        <v>34882.92</v>
      </c>
      <c r="F8" s="130">
        <v>382308.16977000004</v>
      </c>
      <c r="G8" s="312">
        <f t="shared" si="0"/>
        <v>8.6053141050567439E-2</v>
      </c>
      <c r="H8" s="312">
        <f t="shared" ref="H8:H11" si="1">(E8-I8)/I8</f>
        <v>-0.34331067398866683</v>
      </c>
      <c r="I8" s="318">
        <v>53119.364999999998</v>
      </c>
      <c r="J8" s="130">
        <v>568222.33088000026</v>
      </c>
      <c r="K8" s="312">
        <f t="shared" ref="K8:K12" si="2">I8/$I$13</f>
        <v>8.8144048439490919E-2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20"/>
      <c r="B9" s="420"/>
      <c r="C9" s="155" t="s">
        <v>6</v>
      </c>
      <c r="D9" s="318">
        <v>154799</v>
      </c>
      <c r="E9" s="130">
        <v>48587.756000000001</v>
      </c>
      <c r="F9" s="130">
        <v>532506.53474000003</v>
      </c>
      <c r="G9" s="312">
        <f t="shared" si="0"/>
        <v>0.11986178394465127</v>
      </c>
      <c r="H9" s="312">
        <f t="shared" si="1"/>
        <v>-0.30229363002574078</v>
      </c>
      <c r="I9" s="318">
        <v>69639.260999999999</v>
      </c>
      <c r="J9" s="130">
        <v>744937.71065600007</v>
      </c>
      <c r="K9" s="312">
        <f t="shared" si="2"/>
        <v>0.11555647163467317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20"/>
      <c r="B10" s="420"/>
      <c r="C10" s="155" t="s">
        <v>7</v>
      </c>
      <c r="D10" s="318">
        <v>2095366</v>
      </c>
      <c r="E10" s="130">
        <v>90528.1</v>
      </c>
      <c r="F10" s="130">
        <v>992160.2</v>
      </c>
      <c r="G10" s="312">
        <f t="shared" si="0"/>
        <v>0.22332497848058233</v>
      </c>
      <c r="H10" s="312">
        <f t="shared" si="1"/>
        <v>-0.42194073961747569</v>
      </c>
      <c r="I10" s="318">
        <v>156606.954</v>
      </c>
      <c r="J10" s="130">
        <v>1675243.2999999996</v>
      </c>
      <c r="K10" s="312">
        <f t="shared" si="2"/>
        <v>0.25986701722313749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20"/>
      <c r="B11" s="420"/>
      <c r="C11" s="155" t="s">
        <v>93</v>
      </c>
      <c r="D11" s="318">
        <v>210</v>
      </c>
      <c r="E11" s="130">
        <v>5589.6019999999999</v>
      </c>
      <c r="F11" s="130">
        <v>61260.430120000005</v>
      </c>
      <c r="G11" s="312">
        <f t="shared" si="0"/>
        <v>1.3789063797484093E-2</v>
      </c>
      <c r="H11" s="312">
        <f t="shared" si="1"/>
        <v>-0.19727167825966452</v>
      </c>
      <c r="I11" s="318">
        <v>6963.2550000000001</v>
      </c>
      <c r="J11" s="130">
        <v>74486.668903999991</v>
      </c>
      <c r="K11" s="312">
        <f t="shared" si="2"/>
        <v>1.1554533568248178E-2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20"/>
      <c r="B12" s="420"/>
      <c r="C12" s="155" t="s">
        <v>94</v>
      </c>
      <c r="D12" s="318"/>
      <c r="E12" s="130">
        <v>6243.9841064182956</v>
      </c>
      <c r="F12" s="130">
        <v>68432.248219999878</v>
      </c>
      <c r="G12" s="312">
        <f t="shared" si="0"/>
        <v>1.5403367752100883E-2</v>
      </c>
      <c r="H12" s="312">
        <f>(E12-I12)/I12</f>
        <v>3.0616576811838017</v>
      </c>
      <c r="I12" s="318">
        <v>1537.2994468107017</v>
      </c>
      <c r="J12" s="130">
        <v>16444.661094978248</v>
      </c>
      <c r="K12" s="312">
        <f t="shared" si="2"/>
        <v>2.5509302851358462E-3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21"/>
      <c r="B13" s="421"/>
      <c r="C13" s="323" t="s">
        <v>0</v>
      </c>
      <c r="D13" s="326">
        <v>2255968</v>
      </c>
      <c r="E13" s="324">
        <v>405364.86610641831</v>
      </c>
      <c r="F13" s="324">
        <v>4442680.9384799991</v>
      </c>
      <c r="G13" s="325">
        <f>SUM(G7:G12)</f>
        <v>1</v>
      </c>
      <c r="H13" s="325">
        <f>(E13-I13)/I13</f>
        <v>-0.32735452704015028</v>
      </c>
      <c r="I13" s="326">
        <v>602642.6734468108</v>
      </c>
      <c r="J13" s="324">
        <v>6446534.899174979</v>
      </c>
      <c r="K13" s="325">
        <f>SUM(K7:K12)</f>
        <v>1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19" t="str">
        <f>'3.1'!E5</f>
        <v>Listopad</v>
      </c>
      <c r="B14" s="419"/>
      <c r="C14" s="165" t="s">
        <v>4</v>
      </c>
      <c r="D14" s="317">
        <v>1243</v>
      </c>
      <c r="E14" s="313">
        <v>261979.26800000004</v>
      </c>
      <c r="F14" s="313">
        <v>2862955.9047600003</v>
      </c>
      <c r="G14" s="314">
        <f>E14/$E$20</f>
        <v>0.43752675418491954</v>
      </c>
      <c r="H14" s="314">
        <f>(E14-I14)/I14</f>
        <v>-0.24339894273847379</v>
      </c>
      <c r="I14" s="317">
        <v>346258.13099999999</v>
      </c>
      <c r="J14" s="313">
        <v>3697445.5044899997</v>
      </c>
      <c r="K14" s="314">
        <f>I14/$I$20</f>
        <v>0.44409490669263807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20"/>
      <c r="B15" s="420"/>
      <c r="C15" s="155" t="s">
        <v>5</v>
      </c>
      <c r="D15" s="318">
        <v>4347</v>
      </c>
      <c r="E15" s="130">
        <v>52567.954000000012</v>
      </c>
      <c r="F15" s="130">
        <v>574470.13531999988</v>
      </c>
      <c r="G15" s="312">
        <f t="shared" ref="G15:G19" si="3">E15/$E$20</f>
        <v>8.7792772547796272E-2</v>
      </c>
      <c r="H15" s="312">
        <f t="shared" ref="H15:H17" si="4">(E15-I15)/I15</f>
        <v>-0.29063935138190494</v>
      </c>
      <c r="I15" s="318">
        <v>74106.104000000007</v>
      </c>
      <c r="J15" s="130">
        <v>791326.77260000003</v>
      </c>
      <c r="K15" s="312">
        <f t="shared" ref="K15:K19" si="5">I15/$I$20</f>
        <v>9.5045113442361107E-2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20"/>
      <c r="B16" s="420"/>
      <c r="C16" s="155" t="s">
        <v>6</v>
      </c>
      <c r="D16" s="318">
        <v>154428</v>
      </c>
      <c r="E16" s="130">
        <v>92010.615000000005</v>
      </c>
      <c r="F16" s="130">
        <v>1005508.2646700001</v>
      </c>
      <c r="G16" s="312">
        <f t="shared" si="3"/>
        <v>0.15366523480593994</v>
      </c>
      <c r="H16" s="312">
        <f t="shared" si="4"/>
        <v>-0.15857220396742841</v>
      </c>
      <c r="I16" s="318">
        <v>109350.57699999999</v>
      </c>
      <c r="J16" s="130">
        <v>1167680.122773</v>
      </c>
      <c r="K16" s="312">
        <f>I16/$I$20</f>
        <v>0.14024806911928123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20"/>
      <c r="B17" s="420"/>
      <c r="C17" s="155" t="s">
        <v>7</v>
      </c>
      <c r="D17" s="318">
        <v>2093791</v>
      </c>
      <c r="E17" s="130">
        <v>174957.5</v>
      </c>
      <c r="F17" s="130">
        <v>1911965.7</v>
      </c>
      <c r="G17" s="312">
        <f t="shared" si="3"/>
        <v>0.29219330094207324</v>
      </c>
      <c r="H17" s="312">
        <f t="shared" si="4"/>
        <v>-0.25593711003494152</v>
      </c>
      <c r="I17" s="318">
        <v>235138.05400000003</v>
      </c>
      <c r="J17" s="130">
        <v>2510872.9</v>
      </c>
      <c r="K17" s="312">
        <f>I17/$I$20</f>
        <v>0.30157735747444009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20"/>
      <c r="B18" s="420"/>
      <c r="C18" s="155" t="s">
        <v>93</v>
      </c>
      <c r="D18" s="318">
        <v>210</v>
      </c>
      <c r="E18" s="130">
        <v>6096.8260000000009</v>
      </c>
      <c r="F18" s="130">
        <v>66627.152690000003</v>
      </c>
      <c r="G18" s="312">
        <f t="shared" si="3"/>
        <v>1.0182196900444147E-2</v>
      </c>
      <c r="H18" s="312">
        <f>(E18-I18)/I18</f>
        <v>-0.13306674766047874</v>
      </c>
      <c r="I18" s="318">
        <v>7032.6359999999995</v>
      </c>
      <c r="J18" s="130">
        <v>75096.548087000003</v>
      </c>
      <c r="K18" s="312">
        <f>I18/$I$20</f>
        <v>9.0197385956065444E-3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20"/>
      <c r="B19" s="420"/>
      <c r="C19" s="155" t="s">
        <v>94</v>
      </c>
      <c r="D19" s="318"/>
      <c r="E19" s="130">
        <v>11160.976000489905</v>
      </c>
      <c r="F19" s="130">
        <v>121969.07245000007</v>
      </c>
      <c r="G19" s="312">
        <f t="shared" si="3"/>
        <v>1.8639740618826877E-2</v>
      </c>
      <c r="H19" s="312">
        <f t="shared" ref="H19" si="6">(E19-I19)/I19</f>
        <v>0.4293384248321177</v>
      </c>
      <c r="I19" s="318">
        <v>7808.4908420487</v>
      </c>
      <c r="J19" s="130">
        <v>83381.376327596852</v>
      </c>
      <c r="K19" s="312">
        <f t="shared" si="5"/>
        <v>1.0014814675673092E-2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21"/>
      <c r="B20" s="421"/>
      <c r="C20" s="323" t="s">
        <v>0</v>
      </c>
      <c r="D20" s="326">
        <v>2254019</v>
      </c>
      <c r="E20" s="324">
        <v>598773.13900048996</v>
      </c>
      <c r="F20" s="324">
        <v>6543496.2298900001</v>
      </c>
      <c r="G20" s="325">
        <f>SUM(G14:G19)</f>
        <v>1</v>
      </c>
      <c r="H20" s="325">
        <f>(E20-I20)/I20</f>
        <v>-0.23204084615566589</v>
      </c>
      <c r="I20" s="326">
        <v>779693.99284204864</v>
      </c>
      <c r="J20" s="324">
        <v>8325803.224277596</v>
      </c>
      <c r="K20" s="325">
        <f>SUM(K14:K19)</f>
        <v>1.0000000000000002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19" t="str">
        <f>'3.1'!F5</f>
        <v>Prosinec</v>
      </c>
      <c r="B21" s="419"/>
      <c r="C21" s="165" t="s">
        <v>4</v>
      </c>
      <c r="D21" s="317">
        <v>1244</v>
      </c>
      <c r="E21" s="313">
        <v>274270.06000000006</v>
      </c>
      <c r="F21" s="313">
        <v>2985948.16041</v>
      </c>
      <c r="G21" s="314">
        <f>E21/$E$27</f>
        <v>0.35746671362597826</v>
      </c>
      <c r="H21" s="314">
        <f>(E21-I21)/I21</f>
        <v>-0.25908356942818728</v>
      </c>
      <c r="I21" s="317">
        <v>370176.78200000001</v>
      </c>
      <c r="J21" s="313">
        <v>3953500.7757599996</v>
      </c>
      <c r="K21" s="314">
        <f>I21/$I$27</f>
        <v>0.39281998538130924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20"/>
      <c r="B22" s="420"/>
      <c r="C22" s="155" t="s">
        <v>5</v>
      </c>
      <c r="D22" s="318">
        <v>4350</v>
      </c>
      <c r="E22" s="130">
        <v>66454.292999999991</v>
      </c>
      <c r="F22" s="130">
        <v>723480.17970000033</v>
      </c>
      <c r="G22" s="312">
        <f t="shared" ref="G22:G26" si="7">E22/$E$27</f>
        <v>8.6612434930184667E-2</v>
      </c>
      <c r="H22" s="312">
        <f t="shared" ref="H22:H26" si="8">(E22-I22)/I22</f>
        <v>-0.17766770195058987</v>
      </c>
      <c r="I22" s="318">
        <v>80811.97</v>
      </c>
      <c r="J22" s="130">
        <v>863075.91873999988</v>
      </c>
      <c r="K22" s="312">
        <f t="shared" ref="K22:K26" si="9">I22/$I$27</f>
        <v>8.5755126787057115E-2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20"/>
      <c r="B23" s="420"/>
      <c r="C23" s="155" t="s">
        <v>6</v>
      </c>
      <c r="D23" s="318">
        <v>154279</v>
      </c>
      <c r="E23" s="130">
        <v>134216.99099999998</v>
      </c>
      <c r="F23" s="130">
        <v>1461204.27254</v>
      </c>
      <c r="G23" s="312">
        <f t="shared" si="7"/>
        <v>0.17493016439905065</v>
      </c>
      <c r="H23" s="312">
        <f t="shared" si="8"/>
        <v>-0.11205663784596724</v>
      </c>
      <c r="I23" s="318">
        <v>151154.90100000001</v>
      </c>
      <c r="J23" s="130">
        <v>1614341.0198850001</v>
      </c>
      <c r="K23" s="312">
        <f t="shared" si="9"/>
        <v>0.1604008378924566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20"/>
      <c r="B24" s="420"/>
      <c r="C24" s="155" t="s">
        <v>7</v>
      </c>
      <c r="D24" s="318">
        <v>2091335</v>
      </c>
      <c r="E24" s="130">
        <v>271303.09999999998</v>
      </c>
      <c r="F24" s="130">
        <v>2953645.9000000004</v>
      </c>
      <c r="G24" s="312">
        <f t="shared" si="7"/>
        <v>0.35359976059195131</v>
      </c>
      <c r="H24" s="312">
        <f t="shared" si="8"/>
        <v>-0.15296120956031944</v>
      </c>
      <c r="I24" s="318">
        <v>320295.95700000005</v>
      </c>
      <c r="J24" s="130">
        <v>3420772.736</v>
      </c>
      <c r="K24" s="312">
        <f t="shared" si="9"/>
        <v>0.33988801908822164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20"/>
      <c r="B25" s="420"/>
      <c r="C25" s="155" t="s">
        <v>93</v>
      </c>
      <c r="D25" s="318">
        <v>210</v>
      </c>
      <c r="E25" s="130">
        <v>6208.9809999999989</v>
      </c>
      <c r="F25" s="130">
        <v>67596.469299999997</v>
      </c>
      <c r="G25" s="312">
        <f t="shared" si="7"/>
        <v>8.092403644189743E-3</v>
      </c>
      <c r="H25" s="312">
        <f t="shared" si="8"/>
        <v>-0.11331267484066659</v>
      </c>
      <c r="I25" s="318">
        <v>7002.4470000000001</v>
      </c>
      <c r="J25" s="130">
        <v>74786.412154999998</v>
      </c>
      <c r="K25" s="312">
        <f t="shared" si="9"/>
        <v>7.4307770285101044E-3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20"/>
      <c r="B26" s="420"/>
      <c r="C26" s="155" t="s">
        <v>94</v>
      </c>
      <c r="D26" s="318"/>
      <c r="E26" s="130">
        <v>14806.992670586533</v>
      </c>
      <c r="F26" s="130">
        <v>161202.04751000003</v>
      </c>
      <c r="G26" s="312">
        <f t="shared" si="7"/>
        <v>1.9298522808645299E-2</v>
      </c>
      <c r="H26" s="312">
        <f t="shared" si="8"/>
        <v>0.14647391438139332</v>
      </c>
      <c r="I26" s="318">
        <v>12915.246029453701</v>
      </c>
      <c r="J26" s="130">
        <v>137935.32358864305</v>
      </c>
      <c r="K26" s="312">
        <f t="shared" si="9"/>
        <v>1.3705253822445338E-2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21"/>
      <c r="B27" s="421"/>
      <c r="C27" s="323" t="s">
        <v>0</v>
      </c>
      <c r="D27" s="326">
        <v>2251418</v>
      </c>
      <c r="E27" s="324">
        <v>767260.41767058661</v>
      </c>
      <c r="F27" s="324">
        <v>8353077.0294600008</v>
      </c>
      <c r="G27" s="325">
        <f>SUM(G21:G26)</f>
        <v>0.99999999999999989</v>
      </c>
      <c r="H27" s="325">
        <f>(E27-I27)/I27</f>
        <v>-0.1858073204250367</v>
      </c>
      <c r="I27" s="326">
        <v>942357.30302945373</v>
      </c>
      <c r="J27" s="324">
        <v>10064412.186128642</v>
      </c>
      <c r="K27" s="325">
        <f>SUM(K21:K26)</f>
        <v>1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488" t="str">
        <f>'3.1'!G5</f>
        <v>IV. čtvrtletí</v>
      </c>
      <c r="B28" s="419"/>
      <c r="C28" s="165" t="s">
        <v>4</v>
      </c>
      <c r="D28" s="317">
        <f>D21</f>
        <v>1244</v>
      </c>
      <c r="E28" s="313">
        <f>E7+E14+E21</f>
        <v>755781.83200000005</v>
      </c>
      <c r="F28" s="313">
        <f>F7+F14+F21</f>
        <v>8254917.4208000004</v>
      </c>
      <c r="G28" s="314">
        <f>E28/$E$34</f>
        <v>0.42665829566166086</v>
      </c>
      <c r="H28" s="314">
        <f>(E28-I28)/I28</f>
        <v>-0.26709325179216492</v>
      </c>
      <c r="I28" s="317">
        <f>I7+I14+I21</f>
        <v>1031211.452</v>
      </c>
      <c r="J28" s="313">
        <f>J7+J14+J21</f>
        <v>11018146.507890001</v>
      </c>
      <c r="K28" s="314">
        <f>I28/$I$34</f>
        <v>0.44359019535908611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20"/>
      <c r="B29" s="420"/>
      <c r="C29" s="155" t="s">
        <v>5</v>
      </c>
      <c r="D29" s="318">
        <f t="shared" ref="D29:D32" si="10">D22</f>
        <v>4350</v>
      </c>
      <c r="E29" s="130">
        <f>E8+E15+E22</f>
        <v>153905.16700000002</v>
      </c>
      <c r="F29" s="130">
        <f t="shared" ref="F29" si="11">F8+F15+F22</f>
        <v>1680258.4847900001</v>
      </c>
      <c r="G29" s="312">
        <f t="shared" ref="G29:G33" si="12">E29/$E$34</f>
        <v>8.6883427816697362E-2</v>
      </c>
      <c r="H29" s="312">
        <f t="shared" ref="H29:H31" si="13">(E29-I29)/I29</f>
        <v>-0.26020447213830583</v>
      </c>
      <c r="I29" s="318">
        <f>I8+I15+I22</f>
        <v>208037.43900000001</v>
      </c>
      <c r="J29" s="130">
        <f t="shared" ref="J29" si="14">J8+J15+J22</f>
        <v>2222625.0222200002</v>
      </c>
      <c r="K29" s="312">
        <f t="shared" ref="K29:K33" si="15">I29/$I$34</f>
        <v>8.9490247639350262E-2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20"/>
      <c r="B30" s="420"/>
      <c r="C30" s="155" t="s">
        <v>6</v>
      </c>
      <c r="D30" s="318">
        <f t="shared" si="10"/>
        <v>154279</v>
      </c>
      <c r="E30" s="130">
        <f t="shared" ref="E30:F33" si="16">E9+E16+E23</f>
        <v>274815.36199999996</v>
      </c>
      <c r="F30" s="130">
        <f t="shared" si="16"/>
        <v>2999219.0719499998</v>
      </c>
      <c r="G30" s="312">
        <f t="shared" si="12"/>
        <v>0.15514034475039132</v>
      </c>
      <c r="H30" s="312">
        <f t="shared" si="13"/>
        <v>-0.16759127274779936</v>
      </c>
      <c r="I30" s="318">
        <f t="shared" ref="I30:J32" si="17">I9+I16+I23</f>
        <v>330144.739</v>
      </c>
      <c r="J30" s="130">
        <f t="shared" si="17"/>
        <v>3526958.8533140002</v>
      </c>
      <c r="K30" s="312">
        <f t="shared" si="15"/>
        <v>0.14201643027310415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20"/>
      <c r="B31" s="420"/>
      <c r="C31" s="155" t="s">
        <v>7</v>
      </c>
      <c r="D31" s="318">
        <f t="shared" si="10"/>
        <v>2091335</v>
      </c>
      <c r="E31" s="130">
        <f>E10+E17+E24</f>
        <v>536788.69999999995</v>
      </c>
      <c r="F31" s="130">
        <f t="shared" si="16"/>
        <v>5857771.8000000007</v>
      </c>
      <c r="G31" s="312">
        <f t="shared" si="12"/>
        <v>0.30303103643861939</v>
      </c>
      <c r="H31" s="312">
        <f t="shared" si="13"/>
        <v>-0.24612666070413533</v>
      </c>
      <c r="I31" s="318">
        <f>I10+I17+I24</f>
        <v>712040.96500000008</v>
      </c>
      <c r="J31" s="130">
        <f t="shared" si="17"/>
        <v>7606888.9359999988</v>
      </c>
      <c r="K31" s="312">
        <f t="shared" si="15"/>
        <v>0.30629449484432436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20"/>
      <c r="B32" s="420"/>
      <c r="C32" s="155" t="s">
        <v>93</v>
      </c>
      <c r="D32" s="318">
        <f t="shared" si="10"/>
        <v>210</v>
      </c>
      <c r="E32" s="130">
        <f>E11+E18+E25</f>
        <v>17895.409</v>
      </c>
      <c r="F32" s="130">
        <f t="shared" si="16"/>
        <v>195484.05210999999</v>
      </c>
      <c r="G32" s="312">
        <f t="shared" si="12"/>
        <v>1.0102418953236159E-2</v>
      </c>
      <c r="H32" s="312">
        <f>(E32-I32)/I32</f>
        <v>-0.14777021876683766</v>
      </c>
      <c r="I32" s="318">
        <f>I11+I18+I25</f>
        <v>20998.338</v>
      </c>
      <c r="J32" s="130">
        <f t="shared" si="17"/>
        <v>224369.62914599999</v>
      </c>
      <c r="K32" s="312">
        <f t="shared" si="15"/>
        <v>9.0327321691110549E-3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20"/>
      <c r="B33" s="420"/>
      <c r="C33" s="155" t="s">
        <v>94</v>
      </c>
      <c r="D33" s="318"/>
      <c r="E33" s="130">
        <f t="shared" si="16"/>
        <v>32211.952777494735</v>
      </c>
      <c r="F33" s="130">
        <f t="shared" si="16"/>
        <v>351603.36817999999</v>
      </c>
      <c r="G33" s="312">
        <f t="shared" si="12"/>
        <v>1.8184476379394902E-2</v>
      </c>
      <c r="H33" s="312">
        <f t="shared" ref="H33" si="18">(E33-I33)/I33</f>
        <v>0.44701047682112982</v>
      </c>
      <c r="I33" s="318">
        <f t="shared" ref="I33:J33" si="19">I12+I19+I26</f>
        <v>22261.036318313105</v>
      </c>
      <c r="J33" s="130">
        <f t="shared" si="19"/>
        <v>237761.36101121816</v>
      </c>
      <c r="K33" s="312">
        <f t="shared" si="15"/>
        <v>9.5758997150239382E-3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21"/>
      <c r="B34" s="421"/>
      <c r="C34" s="323" t="s">
        <v>0</v>
      </c>
      <c r="D34" s="326">
        <f>SUM(D28:D33)</f>
        <v>2251418</v>
      </c>
      <c r="E34" s="324">
        <f>SUM(E28:E33)</f>
        <v>1771398.4227774946</v>
      </c>
      <c r="F34" s="324">
        <f>SUM(F28:F33)</f>
        <v>19339254.197830003</v>
      </c>
      <c r="G34" s="325">
        <f>SUM(G28:G33)</f>
        <v>1</v>
      </c>
      <c r="H34" s="325">
        <f>(E34-I34)/I34</f>
        <v>-0.23800790720985338</v>
      </c>
      <c r="I34" s="326">
        <f>SUM(I28:I33)</f>
        <v>2324693.9693183135</v>
      </c>
      <c r="J34" s="324">
        <f>SUM(J28:J33)</f>
        <v>24836750.30958122</v>
      </c>
      <c r="K34" s="325">
        <f>SUM(K28:K33)</f>
        <v>0.99999999999999989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08"/>
      <c r="C35" s="102"/>
      <c r="D35" s="88"/>
      <c r="E35" s="88"/>
      <c r="F35" s="88"/>
      <c r="G35" s="473" t="s">
        <v>274</v>
      </c>
      <c r="H35" s="473"/>
      <c r="I35" s="473"/>
      <c r="J35" s="473"/>
      <c r="K35" s="473"/>
    </row>
    <row r="36" spans="1:20" ht="15" customHeight="1">
      <c r="A36" s="465" t="s">
        <v>273</v>
      </c>
      <c r="B36" s="465"/>
      <c r="C36" s="465"/>
      <c r="D36" s="465"/>
      <c r="E36" s="465"/>
      <c r="F36" s="120"/>
      <c r="G36" s="473"/>
      <c r="H36" s="473"/>
      <c r="I36" s="473"/>
      <c r="J36" s="473"/>
      <c r="K36" s="473"/>
      <c r="M36" s="94"/>
      <c r="N36" s="94"/>
      <c r="O36" s="94"/>
      <c r="P36" s="94"/>
      <c r="Q36" s="94"/>
      <c r="R36" s="94"/>
      <c r="S36" s="94"/>
    </row>
    <row r="37" spans="1:20" ht="15" customHeight="1">
      <c r="A37" s="466" t="str">
        <f>A28</f>
        <v>IV. čtvrtletí</v>
      </c>
      <c r="B37" s="467"/>
      <c r="C37" s="467"/>
      <c r="D37" s="467"/>
      <c r="E37" s="467"/>
      <c r="F37" s="126"/>
      <c r="G37" s="468" t="str">
        <f>A28</f>
        <v>IV. čtvrtletí</v>
      </c>
      <c r="H37" s="468"/>
      <c r="I37" s="468"/>
      <c r="J37" s="468"/>
      <c r="K37" s="468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2022</v>
      </c>
      <c r="D41" s="95">
        <f>I3</f>
        <v>2021</v>
      </c>
      <c r="E41" s="76"/>
      <c r="F41" s="76"/>
      <c r="G41" s="76"/>
      <c r="H41" s="95"/>
      <c r="I41" s="95">
        <f>D3</f>
        <v>2022</v>
      </c>
      <c r="J41" s="95">
        <f>I3</f>
        <v>2021</v>
      </c>
      <c r="K41" s="95"/>
    </row>
    <row r="42" spans="1:20" ht="15" customHeight="1">
      <c r="A42" s="95"/>
      <c r="B42" s="95" t="str">
        <f>A7</f>
        <v>Říjen</v>
      </c>
      <c r="C42" s="78">
        <f>E13</f>
        <v>405364.86610641831</v>
      </c>
      <c r="D42" s="78">
        <f>I13</f>
        <v>602642.6734468108</v>
      </c>
      <c r="E42" s="76"/>
      <c r="F42" s="76"/>
      <c r="G42" s="76"/>
      <c r="H42" s="95" t="str">
        <f>A7</f>
        <v>Říjen</v>
      </c>
      <c r="I42" s="96">
        <f>E13/E34</f>
        <v>0.22883889976079999</v>
      </c>
      <c r="J42" s="96">
        <f>I13/I34</f>
        <v>0.25923527199734081</v>
      </c>
      <c r="K42" s="95"/>
    </row>
    <row r="43" spans="1:20" ht="15" customHeight="1">
      <c r="A43" s="95"/>
      <c r="B43" s="95" t="str">
        <f>A14</f>
        <v>Listopad</v>
      </c>
      <c r="C43" s="78">
        <f>E20</f>
        <v>598773.13900048996</v>
      </c>
      <c r="D43" s="78">
        <f>I20</f>
        <v>779693.99284204864</v>
      </c>
      <c r="E43" s="76"/>
      <c r="F43" s="76"/>
      <c r="G43" s="76"/>
      <c r="H43" s="95" t="str">
        <f>A14</f>
        <v>Listopad</v>
      </c>
      <c r="I43" s="96">
        <f>E20/E34</f>
        <v>0.33802284754303513</v>
      </c>
      <c r="J43" s="96">
        <f>I20/I34</f>
        <v>0.33539640190604691</v>
      </c>
      <c r="K43" s="95"/>
    </row>
    <row r="44" spans="1:20" ht="15" customHeight="1">
      <c r="A44" s="95"/>
      <c r="B44" s="95" t="str">
        <f>A21</f>
        <v>Prosinec</v>
      </c>
      <c r="C44" s="78">
        <f>E27</f>
        <v>767260.41767058661</v>
      </c>
      <c r="D44" s="78">
        <f>I27</f>
        <v>942357.30302945373</v>
      </c>
      <c r="E44" s="76"/>
      <c r="F44" s="76"/>
      <c r="G44" s="76"/>
      <c r="H44" s="95" t="str">
        <f>A21</f>
        <v>Prosinec</v>
      </c>
      <c r="I44" s="96">
        <f>E27/E34</f>
        <v>0.43313825269616502</v>
      </c>
      <c r="J44" s="96">
        <f>I27/I34</f>
        <v>0.40536832609661211</v>
      </c>
      <c r="K44" s="95"/>
    </row>
    <row r="45" spans="1:20" ht="15" customHeight="1">
      <c r="A45" s="95"/>
      <c r="B45" s="95"/>
      <c r="C45" s="78">
        <f>SUM(C42:C44)</f>
        <v>1771398.4227774949</v>
      </c>
      <c r="D45" s="78">
        <f>SUM(D42:D44)</f>
        <v>2324693.9693183131</v>
      </c>
      <c r="E45" s="95"/>
      <c r="F45" s="95"/>
      <c r="G45" s="95"/>
      <c r="H45" s="95"/>
      <c r="I45" s="97">
        <f>SUM(I42:I44)</f>
        <v>1</v>
      </c>
      <c r="J45" s="97">
        <f>SUM(J42:J44)</f>
        <v>0.99999999999999978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  <mergeCell ref="A1:K1"/>
    <mergeCell ref="A2:C2"/>
    <mergeCell ref="E3:G4"/>
    <mergeCell ref="I3:K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2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59" t="s">
        <v>302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21" ht="6" customHeight="1">
      <c r="A2" s="474"/>
      <c r="B2" s="474"/>
      <c r="C2" s="474"/>
      <c r="D2" s="320"/>
      <c r="E2" s="320"/>
      <c r="F2" s="321"/>
      <c r="G2" s="322"/>
      <c r="H2" s="322"/>
      <c r="I2" s="322"/>
      <c r="J2" s="284"/>
      <c r="K2" s="284"/>
    </row>
    <row r="3" spans="1:21" ht="15" customHeight="1">
      <c r="A3" s="484" t="s">
        <v>211</v>
      </c>
      <c r="B3" s="484"/>
      <c r="C3" s="484"/>
      <c r="D3" s="346">
        <f>'3.1'!A4</f>
        <v>2022</v>
      </c>
      <c r="E3" s="479"/>
      <c r="F3" s="479"/>
      <c r="G3" s="479"/>
      <c r="H3" s="345"/>
      <c r="I3" s="478">
        <f>D3-1</f>
        <v>2021</v>
      </c>
      <c r="J3" s="479"/>
      <c r="K3" s="479"/>
    </row>
    <row r="4" spans="1:21" ht="50.1" customHeight="1">
      <c r="A4" s="485"/>
      <c r="B4" s="485"/>
      <c r="C4" s="485"/>
      <c r="D4" s="348"/>
      <c r="E4" s="481"/>
      <c r="F4" s="481"/>
      <c r="G4" s="481"/>
      <c r="H4" s="175"/>
      <c r="I4" s="480"/>
      <c r="J4" s="481"/>
      <c r="K4" s="481"/>
    </row>
    <row r="5" spans="1:21" ht="24.95" customHeight="1">
      <c r="A5" s="484" t="s">
        <v>159</v>
      </c>
      <c r="B5" s="484"/>
      <c r="C5" s="486" t="s">
        <v>185</v>
      </c>
      <c r="D5" s="482" t="s">
        <v>160</v>
      </c>
      <c r="E5" s="476" t="s">
        <v>60</v>
      </c>
      <c r="F5" s="476"/>
      <c r="G5" s="477" t="s">
        <v>33</v>
      </c>
      <c r="H5" s="477" t="s">
        <v>272</v>
      </c>
      <c r="I5" s="475" t="s">
        <v>60</v>
      </c>
      <c r="J5" s="476"/>
      <c r="K5" s="477" t="s">
        <v>33</v>
      </c>
    </row>
    <row r="6" spans="1:21" ht="22.5" customHeight="1">
      <c r="A6" s="485"/>
      <c r="B6" s="485"/>
      <c r="C6" s="487"/>
      <c r="D6" s="483"/>
      <c r="E6" s="222" t="s">
        <v>263</v>
      </c>
      <c r="F6" s="222" t="s">
        <v>264</v>
      </c>
      <c r="G6" s="464"/>
      <c r="H6" s="464"/>
      <c r="I6" s="224" t="s">
        <v>263</v>
      </c>
      <c r="J6" s="222" t="s">
        <v>264</v>
      </c>
      <c r="K6" s="464"/>
    </row>
    <row r="7" spans="1:21" ht="12.95" customHeight="1">
      <c r="A7" s="419" t="str">
        <f>'3.1'!D5</f>
        <v>Říjen</v>
      </c>
      <c r="B7" s="419"/>
      <c r="C7" s="165" t="s">
        <v>4</v>
      </c>
      <c r="D7" s="317">
        <v>100</v>
      </c>
      <c r="E7" s="313">
        <v>9176.1700400000009</v>
      </c>
      <c r="F7" s="313">
        <v>100494.66093</v>
      </c>
      <c r="G7" s="314">
        <f t="shared" ref="G7:G12" si="0">E7/$E$13</f>
        <v>0.47796231630641273</v>
      </c>
      <c r="H7" s="314">
        <f>(E7-I7)/I7</f>
        <v>-6.9176857023288629E-2</v>
      </c>
      <c r="I7" s="317">
        <v>9858.1240799999996</v>
      </c>
      <c r="J7" s="313">
        <v>105322.22438</v>
      </c>
      <c r="K7" s="314">
        <f>I7/$I$13</f>
        <v>0.35132262416831078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20"/>
      <c r="B8" s="420"/>
      <c r="C8" s="155" t="s">
        <v>5</v>
      </c>
      <c r="D8" s="318">
        <v>344</v>
      </c>
      <c r="E8" s="130">
        <v>2466.7087899999997</v>
      </c>
      <c r="F8" s="130">
        <v>27014.654640000001</v>
      </c>
      <c r="G8" s="312">
        <f t="shared" si="0"/>
        <v>0.12848430682762155</v>
      </c>
      <c r="H8" s="312">
        <f t="shared" ref="H8:H11" si="1">(E8-I8)/I8</f>
        <v>-0.4653347635991078</v>
      </c>
      <c r="I8" s="318">
        <v>4613.55746</v>
      </c>
      <c r="J8" s="130">
        <v>49290.325190000003</v>
      </c>
      <c r="K8" s="312">
        <f t="shared" ref="K8:K12" si="2">I8/$I$13</f>
        <v>0.16441739832498503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20"/>
      <c r="B9" s="420"/>
      <c r="C9" s="155" t="s">
        <v>6</v>
      </c>
      <c r="D9" s="318">
        <v>10625</v>
      </c>
      <c r="E9" s="130">
        <v>2714.2022800000004</v>
      </c>
      <c r="F9" s="130">
        <v>29725.129110000002</v>
      </c>
      <c r="G9" s="312">
        <f t="shared" si="0"/>
        <v>0.1413755851316969</v>
      </c>
      <c r="H9" s="312">
        <f t="shared" si="1"/>
        <v>-0.45639770930809603</v>
      </c>
      <c r="I9" s="318">
        <v>4992.9927200000002</v>
      </c>
      <c r="J9" s="130">
        <v>53344.135549999999</v>
      </c>
      <c r="K9" s="312">
        <f t="shared" si="2"/>
        <v>0.17793966586426571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20"/>
      <c r="B10" s="420"/>
      <c r="C10" s="155" t="s">
        <v>7</v>
      </c>
      <c r="D10" s="318">
        <v>102262</v>
      </c>
      <c r="E10" s="130">
        <v>4139.8438800000004</v>
      </c>
      <c r="F10" s="130">
        <v>45339.419249999999</v>
      </c>
      <c r="G10" s="312">
        <f t="shared" si="0"/>
        <v>0.2156334681469925</v>
      </c>
      <c r="H10" s="312">
        <f t="shared" si="1"/>
        <v>-0.45639770918143768</v>
      </c>
      <c r="I10" s="318">
        <v>7615.5747500000007</v>
      </c>
      <c r="J10" s="130">
        <v>81363.509449999998</v>
      </c>
      <c r="K10" s="312">
        <f t="shared" si="2"/>
        <v>0.27140292453287196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20"/>
      <c r="B11" s="420"/>
      <c r="C11" s="155" t="s">
        <v>93</v>
      </c>
      <c r="D11" s="318">
        <v>17</v>
      </c>
      <c r="E11" s="130">
        <v>346.81299999999999</v>
      </c>
      <c r="F11" s="130">
        <v>3797.6349999999998</v>
      </c>
      <c r="G11" s="312">
        <f t="shared" si="0"/>
        <v>1.8064567688108785E-2</v>
      </c>
      <c r="H11" s="312">
        <f t="shared" si="1"/>
        <v>-0.22930273178384847</v>
      </c>
      <c r="I11" s="318">
        <v>449.99900000000002</v>
      </c>
      <c r="J11" s="130">
        <v>4807.66</v>
      </c>
      <c r="K11" s="312">
        <f t="shared" si="2"/>
        <v>1.6037009503040836E-2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20"/>
      <c r="B12" s="420"/>
      <c r="C12" s="155" t="s">
        <v>94</v>
      </c>
      <c r="D12" s="318"/>
      <c r="E12" s="130">
        <v>354.78400000000005</v>
      </c>
      <c r="F12" s="130">
        <v>3885.4969999999998</v>
      </c>
      <c r="G12" s="312">
        <f t="shared" si="0"/>
        <v>1.8479755899167529E-2</v>
      </c>
      <c r="H12" s="312">
        <f>(E12-I12)/I12</f>
        <v>-0.33032330157196133</v>
      </c>
      <c r="I12" s="318">
        <v>529.78399999999999</v>
      </c>
      <c r="J12" s="130">
        <v>5660.3029999999999</v>
      </c>
      <c r="K12" s="312">
        <f t="shared" si="2"/>
        <v>1.888037760652576E-2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21"/>
      <c r="B13" s="421"/>
      <c r="C13" s="323" t="s">
        <v>0</v>
      </c>
      <c r="D13" s="326">
        <v>113348</v>
      </c>
      <c r="E13" s="324">
        <v>19198.521990000001</v>
      </c>
      <c r="F13" s="324">
        <v>210256.99593000003</v>
      </c>
      <c r="G13" s="325">
        <f>SUM(G7:G12)</f>
        <v>1</v>
      </c>
      <c r="H13" s="325">
        <f>(E13-I13)/I13</f>
        <v>-0.31580541379432298</v>
      </c>
      <c r="I13" s="326">
        <v>28060.032009999999</v>
      </c>
      <c r="J13" s="324">
        <v>299788.15756999998</v>
      </c>
      <c r="K13" s="325">
        <f>SUM(K7:K12)</f>
        <v>1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19" t="str">
        <f>'3.1'!E5</f>
        <v>Listopad</v>
      </c>
      <c r="B14" s="419"/>
      <c r="C14" s="165" t="s">
        <v>4</v>
      </c>
      <c r="D14" s="317">
        <v>108</v>
      </c>
      <c r="E14" s="313">
        <v>10692.134029999999</v>
      </c>
      <c r="F14" s="313">
        <v>116430.89277000001</v>
      </c>
      <c r="G14" s="314">
        <f>E14/$E$20</f>
        <v>0.35951612768728375</v>
      </c>
      <c r="H14" s="314">
        <f>(E14-I14)/I14</f>
        <v>-9.5697527991538578E-2</v>
      </c>
      <c r="I14" s="317">
        <v>11823.625790000002</v>
      </c>
      <c r="J14" s="313">
        <v>126237.28724000001</v>
      </c>
      <c r="K14" s="314">
        <f>I14/$I$20</f>
        <v>0.30322986936441743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20"/>
      <c r="B15" s="420"/>
      <c r="C15" s="155" t="s">
        <v>5</v>
      </c>
      <c r="D15" s="318">
        <v>337</v>
      </c>
      <c r="E15" s="130">
        <v>3666.9915599999999</v>
      </c>
      <c r="F15" s="130">
        <v>39931.337930000002</v>
      </c>
      <c r="G15" s="312">
        <f t="shared" ref="G15:G19" si="3">E15/$E$20</f>
        <v>0.12330023194753685</v>
      </c>
      <c r="H15" s="312">
        <f t="shared" ref="H15:H17" si="4">(E15-I15)/I15</f>
        <v>-0.39371230530471324</v>
      </c>
      <c r="I15" s="318">
        <v>6048.2698099999998</v>
      </c>
      <c r="J15" s="130">
        <v>64575.562290000002</v>
      </c>
      <c r="K15" s="312">
        <f t="shared" ref="K15:K19" si="5">I15/$I$20</f>
        <v>0.15511452213907129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20"/>
      <c r="B16" s="420"/>
      <c r="C16" s="155" t="s">
        <v>6</v>
      </c>
      <c r="D16" s="318">
        <v>10607</v>
      </c>
      <c r="E16" s="130">
        <v>5715.9089100000001</v>
      </c>
      <c r="F16" s="130">
        <v>62242.818490000005</v>
      </c>
      <c r="G16" s="312">
        <f t="shared" si="3"/>
        <v>0.19219375961530508</v>
      </c>
      <c r="H16" s="312">
        <f t="shared" si="4"/>
        <v>-0.275751580216828</v>
      </c>
      <c r="I16" s="318">
        <v>7892.1938300000002</v>
      </c>
      <c r="J16" s="130">
        <v>84262.585869999995</v>
      </c>
      <c r="K16" s="312">
        <f>I16/$I$20</f>
        <v>0.20240397882801742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20"/>
      <c r="B17" s="420"/>
      <c r="C17" s="155" t="s">
        <v>7</v>
      </c>
      <c r="D17" s="318">
        <v>102090</v>
      </c>
      <c r="E17" s="130">
        <v>8718.2044999999998</v>
      </c>
      <c r="F17" s="130">
        <v>94937.335080000004</v>
      </c>
      <c r="G17" s="312">
        <f t="shared" si="3"/>
        <v>0.29314401722158845</v>
      </c>
      <c r="H17" s="312">
        <f t="shared" si="4"/>
        <v>-0.27575158020208029</v>
      </c>
      <c r="I17" s="318">
        <v>12037.58857</v>
      </c>
      <c r="J17" s="130">
        <v>128522.12188999999</v>
      </c>
      <c r="K17" s="312">
        <f>I17/$I$20</f>
        <v>0.30871717985449737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20"/>
      <c r="B18" s="420"/>
      <c r="C18" s="155" t="s">
        <v>93</v>
      </c>
      <c r="D18" s="318">
        <v>17</v>
      </c>
      <c r="E18" s="130">
        <v>379.50599999999997</v>
      </c>
      <c r="F18" s="130">
        <v>4133.2659999999996</v>
      </c>
      <c r="G18" s="312">
        <f t="shared" si="3"/>
        <v>1.2760645084626787E-2</v>
      </c>
      <c r="H18" s="312">
        <f>(E18-I18)/I18</f>
        <v>-0.13966847722594525</v>
      </c>
      <c r="I18" s="318">
        <v>441.11600000000004</v>
      </c>
      <c r="J18" s="130">
        <v>4709.9530000000004</v>
      </c>
      <c r="K18" s="312">
        <f>I18/$I$20</f>
        <v>1.1312904301122535E-2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20"/>
      <c r="B19" s="420"/>
      <c r="C19" s="155" t="s">
        <v>94</v>
      </c>
      <c r="D19" s="318"/>
      <c r="E19" s="130">
        <v>567.601</v>
      </c>
      <c r="F19" s="130">
        <v>6180.71</v>
      </c>
      <c r="G19" s="312">
        <f t="shared" si="3"/>
        <v>1.9085218443658993E-2</v>
      </c>
      <c r="H19" s="312">
        <f t="shared" ref="H19" si="6">(E19-I19)/I19</f>
        <v>-0.24268571245590342</v>
      </c>
      <c r="I19" s="318">
        <v>749.49199999999996</v>
      </c>
      <c r="J19" s="130">
        <v>8002.1179999999995</v>
      </c>
      <c r="K19" s="312">
        <f t="shared" si="5"/>
        <v>1.9221545512874007E-2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21"/>
      <c r="B20" s="421"/>
      <c r="C20" s="323" t="s">
        <v>0</v>
      </c>
      <c r="D20" s="326">
        <v>113159</v>
      </c>
      <c r="E20" s="324">
        <v>29740.346000000001</v>
      </c>
      <c r="F20" s="324">
        <v>323856.36027000006</v>
      </c>
      <c r="G20" s="325">
        <f>SUM(G14:G19)</f>
        <v>0.99999999999999989</v>
      </c>
      <c r="H20" s="325">
        <f>(E20-I20)/I20</f>
        <v>-0.23727616277742727</v>
      </c>
      <c r="I20" s="326">
        <v>38992.286</v>
      </c>
      <c r="J20" s="324">
        <v>416309.62829000002</v>
      </c>
      <c r="K20" s="325">
        <f>SUM(K14:K19)</f>
        <v>1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19" t="str">
        <f>'3.1'!F5</f>
        <v>Prosinec</v>
      </c>
      <c r="B21" s="419"/>
      <c r="C21" s="165" t="s">
        <v>4</v>
      </c>
      <c r="D21" s="317">
        <v>100</v>
      </c>
      <c r="E21" s="313">
        <v>10248.492020000002</v>
      </c>
      <c r="F21" s="313">
        <v>111821.37314000001</v>
      </c>
      <c r="G21" s="314">
        <f>E21/$E$27</f>
        <v>0.26860767149752662</v>
      </c>
      <c r="H21" s="314">
        <f>(E21-I21)/I21</f>
        <v>-6.9915046354440832E-2</v>
      </c>
      <c r="I21" s="317">
        <v>11018.877339999999</v>
      </c>
      <c r="J21" s="313">
        <v>117597.85154999999</v>
      </c>
      <c r="K21" s="314">
        <f>I21/$I$27</f>
        <v>0.25188848383661877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20"/>
      <c r="B22" s="420"/>
      <c r="C22" s="155" t="s">
        <v>5</v>
      </c>
      <c r="D22" s="318">
        <v>347</v>
      </c>
      <c r="E22" s="130">
        <v>4639.6931399999994</v>
      </c>
      <c r="F22" s="130">
        <v>50623.691849999996</v>
      </c>
      <c r="G22" s="312">
        <f t="shared" ref="G22:G26" si="7">E22/$E$27</f>
        <v>0.12160395581773087</v>
      </c>
      <c r="H22" s="312">
        <f t="shared" ref="H22:H26" si="8">(E22-I22)/I22</f>
        <v>-0.24896243611363669</v>
      </c>
      <c r="I22" s="318">
        <v>6177.7111599999998</v>
      </c>
      <c r="J22" s="130">
        <v>65931.004660000006</v>
      </c>
      <c r="K22" s="312">
        <f t="shared" ref="K22:K26" si="9">I22/$I$27</f>
        <v>0.14122076593267163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20"/>
      <c r="B23" s="420"/>
      <c r="C23" s="155" t="s">
        <v>6</v>
      </c>
      <c r="D23" s="318">
        <v>10596</v>
      </c>
      <c r="E23" s="130">
        <v>8771.5674500000005</v>
      </c>
      <c r="F23" s="130">
        <v>95706.572400000005</v>
      </c>
      <c r="G23" s="312">
        <f t="shared" si="7"/>
        <v>0.22989824293467098</v>
      </c>
      <c r="H23" s="312">
        <f t="shared" si="8"/>
        <v>-0.12358458500142316</v>
      </c>
      <c r="I23" s="318">
        <v>10008.45866</v>
      </c>
      <c r="J23" s="130">
        <v>106814.27416</v>
      </c>
      <c r="K23" s="312">
        <f t="shared" si="9"/>
        <v>0.22879059269107693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20"/>
      <c r="B24" s="420"/>
      <c r="C24" s="155" t="s">
        <v>7</v>
      </c>
      <c r="D24" s="318">
        <v>101965</v>
      </c>
      <c r="E24" s="130">
        <v>13378.8554</v>
      </c>
      <c r="F24" s="130">
        <v>145975.22524</v>
      </c>
      <c r="G24" s="312">
        <f t="shared" si="7"/>
        <v>0.35065287549456564</v>
      </c>
      <c r="H24" s="312">
        <f t="shared" si="8"/>
        <v>-0.12358458436893899</v>
      </c>
      <c r="I24" s="318">
        <v>15265.42683</v>
      </c>
      <c r="J24" s="130">
        <v>162918.60739000002</v>
      </c>
      <c r="K24" s="312">
        <f t="shared" si="9"/>
        <v>0.34896342891203669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20"/>
      <c r="B25" s="420"/>
      <c r="C25" s="155" t="s">
        <v>93</v>
      </c>
      <c r="D25" s="318">
        <v>17</v>
      </c>
      <c r="E25" s="130">
        <v>368.35599999999999</v>
      </c>
      <c r="F25" s="130">
        <v>4020.1060000000002</v>
      </c>
      <c r="G25" s="312">
        <f t="shared" si="7"/>
        <v>9.6544201087393634E-3</v>
      </c>
      <c r="H25" s="312">
        <f t="shared" si="8"/>
        <v>-0.13475193964150403</v>
      </c>
      <c r="I25" s="318">
        <v>425.72300000000001</v>
      </c>
      <c r="J25" s="130">
        <v>4543.3899999999994</v>
      </c>
      <c r="K25" s="312">
        <f t="shared" si="9"/>
        <v>9.7319098575587605E-3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20"/>
      <c r="B26" s="420"/>
      <c r="C26" s="155" t="s">
        <v>94</v>
      </c>
      <c r="D26" s="318"/>
      <c r="E26" s="130">
        <v>747.16599999999994</v>
      </c>
      <c r="F26" s="130">
        <v>8152.2750000000005</v>
      </c>
      <c r="G26" s="312">
        <f t="shared" si="7"/>
        <v>1.9582834146766592E-2</v>
      </c>
      <c r="H26" s="312">
        <f t="shared" si="8"/>
        <v>-0.11980585841093751</v>
      </c>
      <c r="I26" s="318">
        <v>848.86500000000046</v>
      </c>
      <c r="J26" s="130">
        <v>9086.126999999984</v>
      </c>
      <c r="K26" s="312">
        <f t="shared" si="9"/>
        <v>1.9404818770037375E-2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21"/>
      <c r="B27" s="421"/>
      <c r="C27" s="323" t="s">
        <v>0</v>
      </c>
      <c r="D27" s="326">
        <v>113025</v>
      </c>
      <c r="E27" s="324">
        <v>38154.130010000001</v>
      </c>
      <c r="F27" s="324">
        <v>416299.24363000004</v>
      </c>
      <c r="G27" s="325">
        <f>SUM(G21:G26)</f>
        <v>1</v>
      </c>
      <c r="H27" s="325">
        <f>(E27-I27)/I27</f>
        <v>-0.12780715641180407</v>
      </c>
      <c r="I27" s="326">
        <v>43745.061989999995</v>
      </c>
      <c r="J27" s="324">
        <v>466891.25476000004</v>
      </c>
      <c r="K27" s="325">
        <f>SUM(K21:K26)</f>
        <v>1.0000000000000002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488" t="str">
        <f>'3.1'!G5</f>
        <v>IV. čtvrtletí</v>
      </c>
      <c r="B28" s="419"/>
      <c r="C28" s="165" t="s">
        <v>4</v>
      </c>
      <c r="D28" s="317">
        <f>D21</f>
        <v>100</v>
      </c>
      <c r="E28" s="313">
        <f>E7+E14+E21</f>
        <v>30116.79609</v>
      </c>
      <c r="F28" s="313">
        <f>F7+F14+F21</f>
        <v>328746.92683999997</v>
      </c>
      <c r="G28" s="314">
        <f>E28/$E$34</f>
        <v>0.34580042921475729</v>
      </c>
      <c r="H28" s="314">
        <f>(E28-I28)/I28</f>
        <v>-7.9014726641385397E-2</v>
      </c>
      <c r="I28" s="317">
        <f>I7+I14+I21</f>
        <v>32700.627209999999</v>
      </c>
      <c r="J28" s="313">
        <f>J7+J14+J21</f>
        <v>349157.36317000003</v>
      </c>
      <c r="K28" s="314">
        <f>I28/$I$34</f>
        <v>0.29513899344912303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20"/>
      <c r="B29" s="420"/>
      <c r="C29" s="155" t="s">
        <v>5</v>
      </c>
      <c r="D29" s="318">
        <f t="shared" ref="D29:D32" si="10">D22</f>
        <v>347</v>
      </c>
      <c r="E29" s="130">
        <f>E8+E15+E22</f>
        <v>10773.393489999999</v>
      </c>
      <c r="F29" s="130">
        <f t="shared" ref="F29" si="11">F8+F15+F22</f>
        <v>117569.68442000001</v>
      </c>
      <c r="G29" s="312">
        <f t="shared" ref="G29:G33" si="12">E29/$E$34</f>
        <v>0.1236998810168413</v>
      </c>
      <c r="H29" s="312">
        <f t="shared" ref="H29:H31" si="13">(E29-I29)/I29</f>
        <v>-0.36023225726858604</v>
      </c>
      <c r="I29" s="318">
        <f>I8+I15+I22</f>
        <v>16839.538430000001</v>
      </c>
      <c r="J29" s="130">
        <f t="shared" ref="J29" si="14">J8+J15+J22</f>
        <v>179796.89214000001</v>
      </c>
      <c r="K29" s="312">
        <f t="shared" ref="K29:K33" si="15">I29/$I$34</f>
        <v>0.1519849876414045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20"/>
      <c r="B30" s="420"/>
      <c r="C30" s="155" t="s">
        <v>6</v>
      </c>
      <c r="D30" s="318">
        <f t="shared" si="10"/>
        <v>10596</v>
      </c>
      <c r="E30" s="130">
        <f t="shared" ref="E30:F33" si="16">E9+E16+E23</f>
        <v>17201.678639999998</v>
      </c>
      <c r="F30" s="130">
        <f t="shared" si="16"/>
        <v>187674.52000000002</v>
      </c>
      <c r="G30" s="312">
        <f t="shared" si="12"/>
        <v>0.19750931802806923</v>
      </c>
      <c r="H30" s="312">
        <f t="shared" si="13"/>
        <v>-0.24862648642400287</v>
      </c>
      <c r="I30" s="318">
        <f t="shared" ref="I30:J32" si="17">I9+I16+I23</f>
        <v>22893.645210000002</v>
      </c>
      <c r="J30" s="130">
        <f t="shared" si="17"/>
        <v>244420.99557999999</v>
      </c>
      <c r="K30" s="312">
        <f t="shared" si="15"/>
        <v>0.20662623258781027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20"/>
      <c r="B31" s="420"/>
      <c r="C31" s="155" t="s">
        <v>7</v>
      </c>
      <c r="D31" s="318">
        <f t="shared" si="10"/>
        <v>101965</v>
      </c>
      <c r="E31" s="130">
        <f>E10+E17+E24</f>
        <v>26236.903780000001</v>
      </c>
      <c r="F31" s="130">
        <f t="shared" si="16"/>
        <v>286251.97956999997</v>
      </c>
      <c r="G31" s="312">
        <f t="shared" si="12"/>
        <v>0.3012515860345053</v>
      </c>
      <c r="H31" s="312">
        <f t="shared" si="13"/>
        <v>-0.24862648614122246</v>
      </c>
      <c r="I31" s="318">
        <f>I10+I17+I24</f>
        <v>34918.590150000004</v>
      </c>
      <c r="J31" s="130">
        <f t="shared" si="17"/>
        <v>372804.23872999998</v>
      </c>
      <c r="K31" s="312">
        <f t="shared" si="15"/>
        <v>0.31515718286840355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20"/>
      <c r="B32" s="420"/>
      <c r="C32" s="155" t="s">
        <v>93</v>
      </c>
      <c r="D32" s="318">
        <f t="shared" si="10"/>
        <v>17</v>
      </c>
      <c r="E32" s="130">
        <f>E11+E18+E25</f>
        <v>1094.675</v>
      </c>
      <c r="F32" s="130">
        <f t="shared" si="16"/>
        <v>11951.007</v>
      </c>
      <c r="G32" s="312">
        <f t="shared" si="12"/>
        <v>1.2569035687576169E-2</v>
      </c>
      <c r="H32" s="312">
        <f>(E32-I32)/I32</f>
        <v>-0.16870943882239123</v>
      </c>
      <c r="I32" s="318">
        <f>I11+I18+I25</f>
        <v>1316.838</v>
      </c>
      <c r="J32" s="130">
        <f t="shared" si="17"/>
        <v>14061.003000000001</v>
      </c>
      <c r="K32" s="312">
        <f t="shared" si="15"/>
        <v>1.1885100532160596E-2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20"/>
      <c r="B33" s="420"/>
      <c r="C33" s="155" t="s">
        <v>94</v>
      </c>
      <c r="D33" s="318"/>
      <c r="E33" s="130">
        <f t="shared" si="16"/>
        <v>1669.5509999999999</v>
      </c>
      <c r="F33" s="130">
        <f t="shared" si="16"/>
        <v>18218.482</v>
      </c>
      <c r="G33" s="312">
        <f t="shared" si="12"/>
        <v>1.9169750018250605E-2</v>
      </c>
      <c r="H33" s="312">
        <f t="shared" ref="H33" si="18">(E33-I33)/I33</f>
        <v>-0.21548854140773591</v>
      </c>
      <c r="I33" s="318">
        <f t="shared" ref="I33:J33" si="19">I12+I19+I26</f>
        <v>2128.1410000000005</v>
      </c>
      <c r="J33" s="130">
        <f t="shared" si="19"/>
        <v>22748.547999999981</v>
      </c>
      <c r="K33" s="312">
        <f t="shared" si="15"/>
        <v>1.9207502921097956E-2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21"/>
      <c r="B34" s="421"/>
      <c r="C34" s="323" t="s">
        <v>0</v>
      </c>
      <c r="D34" s="326">
        <f>SUM(D28:D33)</f>
        <v>113025</v>
      </c>
      <c r="E34" s="324">
        <f>SUM(E28:E33)</f>
        <v>87092.998000000007</v>
      </c>
      <c r="F34" s="324">
        <f>SUM(F28:F33)</f>
        <v>950412.59982999985</v>
      </c>
      <c r="G34" s="325">
        <f>SUM(G28:G33)</f>
        <v>0.99999999999999989</v>
      </c>
      <c r="H34" s="325">
        <f>(E34-I34)/I34</f>
        <v>-0.21394352465735209</v>
      </c>
      <c r="I34" s="326">
        <f>SUM(I28:I33)</f>
        <v>110797.38000000002</v>
      </c>
      <c r="J34" s="324">
        <f>SUM(J28:J33)</f>
        <v>1182989.0406200001</v>
      </c>
      <c r="K34" s="325">
        <f>SUM(K28:K33)</f>
        <v>0.99999999999999989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08"/>
      <c r="C35" s="102"/>
      <c r="D35" s="88"/>
      <c r="E35" s="88"/>
      <c r="F35" s="88"/>
      <c r="G35" s="473" t="s">
        <v>274</v>
      </c>
      <c r="H35" s="473"/>
      <c r="I35" s="473"/>
      <c r="J35" s="473"/>
      <c r="K35" s="473"/>
    </row>
    <row r="36" spans="1:20" ht="15" customHeight="1">
      <c r="A36" s="465" t="s">
        <v>273</v>
      </c>
      <c r="B36" s="465"/>
      <c r="C36" s="465"/>
      <c r="D36" s="465"/>
      <c r="E36" s="465"/>
      <c r="F36" s="120"/>
      <c r="G36" s="473"/>
      <c r="H36" s="473"/>
      <c r="I36" s="473"/>
      <c r="J36" s="473"/>
      <c r="K36" s="473"/>
      <c r="M36" s="94"/>
      <c r="N36" s="94"/>
      <c r="O36" s="94"/>
      <c r="P36" s="94"/>
      <c r="Q36" s="94"/>
      <c r="R36" s="94"/>
      <c r="S36" s="94"/>
    </row>
    <row r="37" spans="1:20" ht="15" customHeight="1">
      <c r="A37" s="466" t="str">
        <f>A28</f>
        <v>IV. čtvrtletí</v>
      </c>
      <c r="B37" s="467"/>
      <c r="C37" s="467"/>
      <c r="D37" s="467"/>
      <c r="E37" s="467"/>
      <c r="F37" s="126"/>
      <c r="G37" s="468" t="str">
        <f>A28</f>
        <v>IV. čtvrtletí</v>
      </c>
      <c r="H37" s="468"/>
      <c r="I37" s="468"/>
      <c r="J37" s="468"/>
      <c r="K37" s="468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2022</v>
      </c>
      <c r="D41" s="95">
        <f>I3</f>
        <v>2021</v>
      </c>
      <c r="E41" s="76"/>
      <c r="F41" s="76"/>
      <c r="G41" s="76"/>
      <c r="H41" s="95"/>
      <c r="I41" s="95">
        <f>D3</f>
        <v>2022</v>
      </c>
      <c r="J41" s="95">
        <f>I3</f>
        <v>2021</v>
      </c>
      <c r="K41" s="95"/>
    </row>
    <row r="42" spans="1:20" ht="15" customHeight="1">
      <c r="A42" s="95"/>
      <c r="B42" s="95" t="str">
        <f>A7</f>
        <v>Říjen</v>
      </c>
      <c r="C42" s="78">
        <f>E13</f>
        <v>19198.521990000001</v>
      </c>
      <c r="D42" s="78">
        <f>I13</f>
        <v>28060.032009999999</v>
      </c>
      <c r="E42" s="76"/>
      <c r="F42" s="76"/>
      <c r="G42" s="76"/>
      <c r="H42" s="95" t="str">
        <f>A7</f>
        <v>Říjen</v>
      </c>
      <c r="I42" s="96">
        <f>E13/E34</f>
        <v>0.2204370320332755</v>
      </c>
      <c r="J42" s="96">
        <f>I13/I34</f>
        <v>0.25325537490146421</v>
      </c>
      <c r="K42" s="95"/>
    </row>
    <row r="43" spans="1:20" ht="15" customHeight="1">
      <c r="A43" s="95"/>
      <c r="B43" s="95" t="str">
        <f>A14</f>
        <v>Listopad</v>
      </c>
      <c r="C43" s="78">
        <f>E20</f>
        <v>29740.346000000001</v>
      </c>
      <c r="D43" s="78">
        <f>I20</f>
        <v>38992.286</v>
      </c>
      <c r="E43" s="76"/>
      <c r="F43" s="76"/>
      <c r="G43" s="76"/>
      <c r="H43" s="95" t="str">
        <f>A14</f>
        <v>Listopad</v>
      </c>
      <c r="I43" s="96">
        <f>E20/E34</f>
        <v>0.34147803707480595</v>
      </c>
      <c r="J43" s="96">
        <f>I20/I34</f>
        <v>0.35192426030290602</v>
      </c>
      <c r="K43" s="95"/>
    </row>
    <row r="44" spans="1:20" ht="15" customHeight="1">
      <c r="A44" s="95"/>
      <c r="B44" s="95" t="str">
        <f>A21</f>
        <v>Prosinec</v>
      </c>
      <c r="C44" s="78">
        <f>E27</f>
        <v>38154.130010000001</v>
      </c>
      <c r="D44" s="78">
        <f>I27</f>
        <v>43745.061989999995</v>
      </c>
      <c r="E44" s="76"/>
      <c r="F44" s="76"/>
      <c r="G44" s="76"/>
      <c r="H44" s="95" t="str">
        <f>A21</f>
        <v>Prosinec</v>
      </c>
      <c r="I44" s="96">
        <f>E27/E34</f>
        <v>0.43808493089191852</v>
      </c>
      <c r="J44" s="96">
        <f>I27/I34</f>
        <v>0.39482036479562954</v>
      </c>
      <c r="K44" s="95"/>
    </row>
    <row r="45" spans="1:20" ht="15" customHeight="1">
      <c r="A45" s="95"/>
      <c r="B45" s="95"/>
      <c r="C45" s="78">
        <f>SUM(C42:C44)</f>
        <v>87092.997999999992</v>
      </c>
      <c r="D45" s="78">
        <f>SUM(D42:D44)</f>
        <v>110797.38</v>
      </c>
      <c r="E45" s="95"/>
      <c r="F45" s="95"/>
      <c r="G45" s="95"/>
      <c r="H45" s="95"/>
      <c r="I45" s="97">
        <f>SUM(I42:I44)</f>
        <v>1</v>
      </c>
      <c r="J45" s="97">
        <f>SUM(J42:J44)</f>
        <v>0.99999999999999978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  <mergeCell ref="A1:K1"/>
    <mergeCell ref="A2:C2"/>
    <mergeCell ref="I3:K4"/>
    <mergeCell ref="E3:G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0"/>
  <sheetViews>
    <sheetView showGridLines="0" topLeftCell="A13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59" t="s">
        <v>303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21" ht="6" customHeight="1">
      <c r="A2" s="474"/>
      <c r="B2" s="474"/>
      <c r="C2" s="474"/>
      <c r="D2" s="320"/>
      <c r="E2" s="320"/>
      <c r="F2" s="321"/>
      <c r="G2" s="322"/>
      <c r="H2" s="322"/>
      <c r="I2" s="322"/>
      <c r="J2" s="284"/>
      <c r="K2" s="284"/>
    </row>
    <row r="3" spans="1:21" ht="15" customHeight="1">
      <c r="A3" s="484" t="s">
        <v>34</v>
      </c>
      <c r="B3" s="484"/>
      <c r="C3" s="484"/>
      <c r="D3" s="346">
        <f>'3.1'!A4</f>
        <v>2022</v>
      </c>
      <c r="E3" s="479"/>
      <c r="F3" s="479"/>
      <c r="G3" s="479"/>
      <c r="H3" s="345"/>
      <c r="I3" s="478">
        <f>D3-1</f>
        <v>2021</v>
      </c>
      <c r="J3" s="479"/>
      <c r="K3" s="479"/>
    </row>
    <row r="4" spans="1:21" ht="50.1" customHeight="1">
      <c r="A4" s="485"/>
      <c r="B4" s="485"/>
      <c r="C4" s="485"/>
      <c r="D4" s="348"/>
      <c r="E4" s="481"/>
      <c r="F4" s="481"/>
      <c r="G4" s="481"/>
      <c r="H4" s="175"/>
      <c r="I4" s="480"/>
      <c r="J4" s="481"/>
      <c r="K4" s="481"/>
    </row>
    <row r="5" spans="1:21" ht="24.95" customHeight="1">
      <c r="A5" s="484" t="s">
        <v>159</v>
      </c>
      <c r="B5" s="484"/>
      <c r="C5" s="486" t="s">
        <v>185</v>
      </c>
      <c r="D5" s="482" t="s">
        <v>160</v>
      </c>
      <c r="E5" s="476" t="s">
        <v>60</v>
      </c>
      <c r="F5" s="476"/>
      <c r="G5" s="477" t="s">
        <v>33</v>
      </c>
      <c r="H5" s="477" t="s">
        <v>272</v>
      </c>
      <c r="I5" s="475" t="s">
        <v>60</v>
      </c>
      <c r="J5" s="476"/>
      <c r="K5" s="477" t="s">
        <v>33</v>
      </c>
    </row>
    <row r="6" spans="1:21" ht="22.5" customHeight="1">
      <c r="A6" s="485"/>
      <c r="B6" s="485"/>
      <c r="C6" s="487"/>
      <c r="D6" s="483"/>
      <c r="E6" s="222" t="s">
        <v>263</v>
      </c>
      <c r="F6" s="222" t="s">
        <v>264</v>
      </c>
      <c r="G6" s="464"/>
      <c r="H6" s="464"/>
      <c r="I6" s="224" t="s">
        <v>263</v>
      </c>
      <c r="J6" s="222" t="s">
        <v>264</v>
      </c>
      <c r="K6" s="464"/>
    </row>
    <row r="7" spans="1:21" ht="12.95" customHeight="1">
      <c r="A7" s="419" t="str">
        <f>'3.1'!D5</f>
        <v>Říjen</v>
      </c>
      <c r="B7" s="419"/>
      <c r="C7" s="165" t="s">
        <v>4</v>
      </c>
      <c r="D7" s="317">
        <v>94</v>
      </c>
      <c r="E7" s="313">
        <v>34389.901999999995</v>
      </c>
      <c r="F7" s="313">
        <v>376999.31428100006</v>
      </c>
      <c r="G7" s="314">
        <f t="shared" ref="G7:G12" si="0">E7/$E$13</f>
        <v>0.94752947481090322</v>
      </c>
      <c r="H7" s="314">
        <f>(E7-I7)/I7</f>
        <v>2.8348199296572254</v>
      </c>
      <c r="I7" s="317">
        <v>8967.8009999999995</v>
      </c>
      <c r="J7" s="313">
        <v>95840.272659000009</v>
      </c>
      <c r="K7" s="314">
        <f>I7/$I$13</f>
        <v>0.81628924662175373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20"/>
      <c r="B8" s="420"/>
      <c r="C8" s="155" t="s">
        <v>5</v>
      </c>
      <c r="D8" s="318">
        <v>132</v>
      </c>
      <c r="E8" s="130">
        <v>26.558</v>
      </c>
      <c r="F8" s="130">
        <v>277.423</v>
      </c>
      <c r="G8" s="312">
        <f t="shared" si="0"/>
        <v>7.3174060781062912E-4</v>
      </c>
      <c r="H8" s="312">
        <f t="shared" ref="H8:H11" si="1">(E8-I8)/I8</f>
        <v>-0.44695029258032948</v>
      </c>
      <c r="I8" s="318">
        <v>48.021000000000001</v>
      </c>
      <c r="J8" s="130">
        <v>509.05099999999999</v>
      </c>
      <c r="K8" s="312">
        <f t="shared" ref="K8:K12" si="2">I8/$I$13</f>
        <v>4.3710856108452054E-3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20"/>
      <c r="B9" s="420"/>
      <c r="C9" s="155" t="s">
        <v>6</v>
      </c>
      <c r="D9" s="318">
        <v>1064</v>
      </c>
      <c r="E9" s="130">
        <v>60.372</v>
      </c>
      <c r="F9" s="130">
        <v>642.0154</v>
      </c>
      <c r="G9" s="312">
        <f t="shared" si="0"/>
        <v>1.6634025142986408E-3</v>
      </c>
      <c r="H9" s="312">
        <f t="shared" si="1"/>
        <v>0.42383434352963384</v>
      </c>
      <c r="I9" s="318">
        <v>42.400999999999996</v>
      </c>
      <c r="J9" s="130">
        <v>446.42599999999999</v>
      </c>
      <c r="K9" s="312">
        <f t="shared" si="2"/>
        <v>3.8595281436339833E-3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20"/>
      <c r="B10" s="420"/>
      <c r="C10" s="155" t="s">
        <v>7</v>
      </c>
      <c r="D10" s="318">
        <v>7550</v>
      </c>
      <c r="E10" s="130">
        <v>0</v>
      </c>
      <c r="F10" s="130">
        <v>0</v>
      </c>
      <c r="G10" s="312">
        <f t="shared" si="0"/>
        <v>0</v>
      </c>
      <c r="H10" s="349" t="e">
        <f t="shared" si="1"/>
        <v>#DIV/0!</v>
      </c>
      <c r="I10" s="318">
        <v>0</v>
      </c>
      <c r="J10" s="130">
        <v>0</v>
      </c>
      <c r="K10" s="312">
        <f t="shared" si="2"/>
        <v>0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20"/>
      <c r="B11" s="420"/>
      <c r="C11" s="155" t="s">
        <v>93</v>
      </c>
      <c r="D11" s="318">
        <v>6</v>
      </c>
      <c r="E11" s="130">
        <v>39.326000000000001</v>
      </c>
      <c r="F11" s="130">
        <v>407.57499999999999</v>
      </c>
      <c r="G11" s="312">
        <f t="shared" si="0"/>
        <v>1.0835315589562769E-3</v>
      </c>
      <c r="H11" s="312">
        <f t="shared" si="1"/>
        <v>0.14452852153667059</v>
      </c>
      <c r="I11" s="318">
        <v>34.36</v>
      </c>
      <c r="J11" s="130">
        <v>356.24400000000003</v>
      </c>
      <c r="K11" s="312">
        <f t="shared" si="2"/>
        <v>3.1276004578963627E-3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20"/>
      <c r="B12" s="420"/>
      <c r="C12" s="155" t="s">
        <v>96</v>
      </c>
      <c r="D12" s="318">
        <v>0</v>
      </c>
      <c r="E12" s="130">
        <v>1778.1240400000011</v>
      </c>
      <c r="F12" s="130">
        <v>19683.187197000017</v>
      </c>
      <c r="G12" s="312">
        <f t="shared" si="0"/>
        <v>4.8991850508031183E-2</v>
      </c>
      <c r="H12" s="312">
        <f>(E12-I12)/I12</f>
        <v>-6.092023956440025E-2</v>
      </c>
      <c r="I12" s="318">
        <v>1893.4749900000015</v>
      </c>
      <c r="J12" s="130">
        <v>20385.524210666677</v>
      </c>
      <c r="K12" s="312">
        <f t="shared" si="2"/>
        <v>0.17235253916587065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21"/>
      <c r="B13" s="421"/>
      <c r="C13" s="323" t="s">
        <v>0</v>
      </c>
      <c r="D13" s="326">
        <v>8846</v>
      </c>
      <c r="E13" s="324">
        <v>36294.282039999998</v>
      </c>
      <c r="F13" s="324">
        <v>398009.51487800007</v>
      </c>
      <c r="G13" s="325">
        <f>SUM(G7:G12)</f>
        <v>1</v>
      </c>
      <c r="H13" s="325">
        <f>(E13-I13)/I13</f>
        <v>2.30366743676728</v>
      </c>
      <c r="I13" s="326">
        <v>10986.057990000001</v>
      </c>
      <c r="J13" s="324">
        <v>117537.51786966671</v>
      </c>
      <c r="K13" s="325">
        <f>SUM(K7:K12)</f>
        <v>1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19" t="str">
        <f>'3.1'!E5</f>
        <v>Listopad</v>
      </c>
      <c r="B14" s="419"/>
      <c r="C14" s="165" t="s">
        <v>4</v>
      </c>
      <c r="D14" s="317">
        <v>96</v>
      </c>
      <c r="E14" s="313">
        <v>29745.195</v>
      </c>
      <c r="F14" s="313">
        <v>325444.44230300002</v>
      </c>
      <c r="G14" s="314">
        <f>E14/$E$20</f>
        <v>0.96561764431399266</v>
      </c>
      <c r="H14" s="314">
        <f>(E14-I14)/I14</f>
        <v>-0.4397573597403745</v>
      </c>
      <c r="I14" s="317">
        <v>53093.414999999994</v>
      </c>
      <c r="J14" s="313">
        <v>566845.18941500015</v>
      </c>
      <c r="K14" s="314">
        <f>I14/$I$20</f>
        <v>0.98725718969435272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20"/>
      <c r="B15" s="420"/>
      <c r="C15" s="155" t="s">
        <v>5</v>
      </c>
      <c r="D15" s="318">
        <v>129</v>
      </c>
      <c r="E15" s="130">
        <v>55.49</v>
      </c>
      <c r="F15" s="130">
        <v>582.94399999999996</v>
      </c>
      <c r="G15" s="312">
        <f t="shared" ref="G15:G19" si="3">E15/$E$20</f>
        <v>1.8013707115715144E-3</v>
      </c>
      <c r="H15" s="312">
        <f t="shared" ref="H15:H17" si="4">(E15-I15)/I15</f>
        <v>-0.29215618741469263</v>
      </c>
      <c r="I15" s="318">
        <v>78.393000000000001</v>
      </c>
      <c r="J15" s="130">
        <v>828.89800000000002</v>
      </c>
      <c r="K15" s="312">
        <f t="shared" ref="K15:K19" si="5">I15/$I$20</f>
        <v>1.4576958907561212E-3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20"/>
      <c r="B16" s="420"/>
      <c r="C16" s="155" t="s">
        <v>6</v>
      </c>
      <c r="D16" s="318">
        <v>1025.2080000000001</v>
      </c>
      <c r="E16" s="130">
        <v>89.793999999999997</v>
      </c>
      <c r="F16" s="130">
        <v>955.09559999999988</v>
      </c>
      <c r="G16" s="312">
        <f t="shared" si="3"/>
        <v>2.9149807474293126E-3</v>
      </c>
      <c r="H16" s="312">
        <f t="shared" si="4"/>
        <v>3.6774469166021867E-2</v>
      </c>
      <c r="I16" s="318">
        <v>86.609000000000009</v>
      </c>
      <c r="J16" s="130">
        <v>911.34500000000003</v>
      </c>
      <c r="K16" s="312">
        <f>I16/$I$20</f>
        <v>1.6104701108835854E-3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20"/>
      <c r="B17" s="420"/>
      <c r="C17" s="155" t="s">
        <v>7</v>
      </c>
      <c r="D17" s="318">
        <v>7545</v>
      </c>
      <c r="E17" s="130">
        <v>0</v>
      </c>
      <c r="F17" s="130">
        <v>0</v>
      </c>
      <c r="G17" s="312">
        <f t="shared" si="3"/>
        <v>0</v>
      </c>
      <c r="H17" s="349" t="e">
        <f t="shared" si="4"/>
        <v>#DIV/0!</v>
      </c>
      <c r="I17" s="318">
        <v>0</v>
      </c>
      <c r="J17" s="130">
        <v>0</v>
      </c>
      <c r="K17" s="312">
        <f>I17/$I$20</f>
        <v>0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20"/>
      <c r="B18" s="420"/>
      <c r="C18" s="155" t="s">
        <v>93</v>
      </c>
      <c r="D18" s="318">
        <v>6</v>
      </c>
      <c r="E18" s="130">
        <v>29.475000000000001</v>
      </c>
      <c r="F18" s="130">
        <v>305.47899999999998</v>
      </c>
      <c r="G18" s="312">
        <f t="shared" si="3"/>
        <v>9.5684630966967729E-4</v>
      </c>
      <c r="H18" s="312">
        <f>(E18-I18)/I18</f>
        <v>-4.3575192541547691E-3</v>
      </c>
      <c r="I18" s="318">
        <v>29.603999999999999</v>
      </c>
      <c r="J18" s="130">
        <v>307.85199999999998</v>
      </c>
      <c r="K18" s="312">
        <f>I18/$I$20</f>
        <v>5.5047809306882258E-4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20"/>
      <c r="B19" s="420"/>
      <c r="C19" s="155" t="s">
        <v>96</v>
      </c>
      <c r="D19" s="318">
        <v>0</v>
      </c>
      <c r="E19" s="130">
        <v>884.36608999999862</v>
      </c>
      <c r="F19" s="130">
        <v>10137.904122000005</v>
      </c>
      <c r="G19" s="312">
        <f t="shared" si="3"/>
        <v>2.8709157917336737E-2</v>
      </c>
      <c r="H19" s="312">
        <f t="shared" ref="H19" si="6">(E19-I19)/I19</f>
        <v>0.80230604158839902</v>
      </c>
      <c r="I19" s="318">
        <v>490.68585999999959</v>
      </c>
      <c r="J19" s="130">
        <v>5410.3998996666523</v>
      </c>
      <c r="K19" s="312">
        <f t="shared" si="5"/>
        <v>9.1241662109388944E-3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21"/>
      <c r="B20" s="421"/>
      <c r="C20" s="323" t="s">
        <v>0</v>
      </c>
      <c r="D20" s="326">
        <v>8801.2080000000005</v>
      </c>
      <c r="E20" s="324">
        <v>30804.320090000001</v>
      </c>
      <c r="F20" s="324">
        <v>337425.86502500001</v>
      </c>
      <c r="G20" s="325">
        <f>SUM(G14:G19)</f>
        <v>0.99999999999999989</v>
      </c>
      <c r="H20" s="325">
        <f>(E20-I20)/I20</f>
        <v>-0.42720229085850486</v>
      </c>
      <c r="I20" s="326">
        <v>53778.706859999984</v>
      </c>
      <c r="J20" s="324">
        <v>574303.68431466678</v>
      </c>
      <c r="K20" s="325">
        <f>SUM(K14:K19)</f>
        <v>1.0000000000000002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19" t="str">
        <f>'3.1'!F5</f>
        <v>Prosinec</v>
      </c>
      <c r="B21" s="419"/>
      <c r="C21" s="165" t="s">
        <v>4</v>
      </c>
      <c r="D21" s="317">
        <v>96</v>
      </c>
      <c r="E21" s="313">
        <v>44254.45199999999</v>
      </c>
      <c r="F21" s="313">
        <v>484817.09901000001</v>
      </c>
      <c r="G21" s="314">
        <f>E21/$E$27</f>
        <v>0.97992585264622911</v>
      </c>
      <c r="H21" s="314">
        <f>(E21-I21)/I21</f>
        <v>-3.030939133812274E-2</v>
      </c>
      <c r="I21" s="317">
        <v>45637.703000000009</v>
      </c>
      <c r="J21" s="313">
        <v>487153.488488</v>
      </c>
      <c r="K21" s="314">
        <f>I21/$I$27</f>
        <v>0.97755452558762579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20"/>
      <c r="B22" s="420"/>
      <c r="C22" s="155" t="s">
        <v>5</v>
      </c>
      <c r="D22" s="318">
        <v>135</v>
      </c>
      <c r="E22" s="130">
        <v>93.938999999999993</v>
      </c>
      <c r="F22" s="130">
        <v>988.04899999999998</v>
      </c>
      <c r="G22" s="312">
        <f t="shared" ref="G22:G26" si="7">E22/$E$27</f>
        <v>2.0800902623703062E-3</v>
      </c>
      <c r="H22" s="312">
        <f t="shared" ref="H22:H26" si="8">(E22-I22)/I22</f>
        <v>-0.18346574413712788</v>
      </c>
      <c r="I22" s="318">
        <v>115.04600000000001</v>
      </c>
      <c r="J22" s="130">
        <v>1212.627</v>
      </c>
      <c r="K22" s="312">
        <f t="shared" ref="K22:K26" si="9">I22/$I$27</f>
        <v>2.4642725325320159E-3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20"/>
      <c r="B23" s="420"/>
      <c r="C23" s="155" t="s">
        <v>6</v>
      </c>
      <c r="D23" s="318">
        <v>1117.2080000000001</v>
      </c>
      <c r="E23" s="130">
        <v>153.226</v>
      </c>
      <c r="F23" s="130">
        <v>1629.0161500000002</v>
      </c>
      <c r="G23" s="312">
        <f t="shared" si="7"/>
        <v>3.3928816630148565E-3</v>
      </c>
      <c r="H23" s="312">
        <f t="shared" si="8"/>
        <v>1.3057800249800611</v>
      </c>
      <c r="I23" s="318">
        <v>66.453000000000003</v>
      </c>
      <c r="J23" s="130">
        <v>699.12</v>
      </c>
      <c r="K23" s="312">
        <f t="shared" si="9"/>
        <v>1.4234158736883512E-3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20"/>
      <c r="B24" s="420"/>
      <c r="C24" s="155" t="s">
        <v>7</v>
      </c>
      <c r="D24" s="318">
        <v>8046</v>
      </c>
      <c r="E24" s="130">
        <v>207.91900000000001</v>
      </c>
      <c r="F24" s="130">
        <v>2211.6289999999999</v>
      </c>
      <c r="G24" s="312">
        <f t="shared" si="7"/>
        <v>4.6039481712789338E-3</v>
      </c>
      <c r="H24" s="349">
        <f t="shared" si="8"/>
        <v>-0.15201210484887287</v>
      </c>
      <c r="I24" s="318">
        <v>245.191</v>
      </c>
      <c r="J24" s="130">
        <v>2613.616</v>
      </c>
      <c r="K24" s="312">
        <f t="shared" si="9"/>
        <v>5.2519639667963896E-3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20"/>
      <c r="B25" s="420"/>
      <c r="C25" s="155" t="s">
        <v>93</v>
      </c>
      <c r="D25" s="318">
        <v>6</v>
      </c>
      <c r="E25" s="130">
        <v>34.204000000000001</v>
      </c>
      <c r="F25" s="130">
        <v>353.90899999999999</v>
      </c>
      <c r="G25" s="312">
        <f t="shared" si="7"/>
        <v>7.5737880256457877E-4</v>
      </c>
      <c r="H25" s="312">
        <f t="shared" si="8"/>
        <v>6.2038129541079221E-2</v>
      </c>
      <c r="I25" s="318">
        <v>32.206000000000003</v>
      </c>
      <c r="J25" s="130">
        <v>333.3</v>
      </c>
      <c r="K25" s="312">
        <f t="shared" si="9"/>
        <v>6.8984894027368277E-4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20"/>
      <c r="B26" s="420"/>
      <c r="C26" s="155" t="s">
        <v>96</v>
      </c>
      <c r="D26" s="318">
        <v>0</v>
      </c>
      <c r="E26" s="130">
        <v>417.28098999999884</v>
      </c>
      <c r="F26" s="130">
        <v>4479.1854780000167</v>
      </c>
      <c r="G26" s="312">
        <f t="shared" si="7"/>
        <v>9.2398484545421905E-3</v>
      </c>
      <c r="H26" s="312">
        <f t="shared" si="8"/>
        <v>-0.29152413734253146</v>
      </c>
      <c r="I26" s="318">
        <v>588.98406000000091</v>
      </c>
      <c r="J26" s="130">
        <v>6613.4568016666781</v>
      </c>
      <c r="K26" s="312">
        <f t="shared" si="9"/>
        <v>1.2615973099083766E-2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21"/>
      <c r="B27" s="421"/>
      <c r="C27" s="323" t="s">
        <v>0</v>
      </c>
      <c r="D27" s="326">
        <v>9400.2080000000005</v>
      </c>
      <c r="E27" s="324">
        <v>45161.02098999999</v>
      </c>
      <c r="F27" s="324">
        <v>494478.88763800001</v>
      </c>
      <c r="G27" s="325">
        <f>SUM(G21:G26)</f>
        <v>1</v>
      </c>
      <c r="H27" s="325">
        <f>(E27-I27)/I27</f>
        <v>-3.2655950082933836E-2</v>
      </c>
      <c r="I27" s="326">
        <v>46685.583060000012</v>
      </c>
      <c r="J27" s="324">
        <v>498625.60828966665</v>
      </c>
      <c r="K27" s="325">
        <f>SUM(K21:K26)</f>
        <v>1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488" t="str">
        <f>'3.1'!G5</f>
        <v>IV. čtvrtletí</v>
      </c>
      <c r="B28" s="419"/>
      <c r="C28" s="165" t="s">
        <v>4</v>
      </c>
      <c r="D28" s="317">
        <f>D21</f>
        <v>96</v>
      </c>
      <c r="E28" s="313">
        <f>E7+E14+E21</f>
        <v>108389.54899999998</v>
      </c>
      <c r="F28" s="313">
        <f>F7+F14+F21</f>
        <v>1187260.8555940001</v>
      </c>
      <c r="G28" s="314">
        <f>E28/$E$34</f>
        <v>0.96552568045001286</v>
      </c>
      <c r="H28" s="314">
        <f>(E28-I28)/I28</f>
        <v>6.4125991830984875E-3</v>
      </c>
      <c r="I28" s="317">
        <f>I7+I14+I21</f>
        <v>107698.91899999999</v>
      </c>
      <c r="J28" s="313">
        <f>J7+J14+J21</f>
        <v>1149838.9505620003</v>
      </c>
      <c r="K28" s="314">
        <f>I28/$I$34</f>
        <v>0.96633990848526174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20"/>
      <c r="B29" s="420"/>
      <c r="C29" s="155" t="s">
        <v>5</v>
      </c>
      <c r="D29" s="318">
        <f t="shared" ref="D29:D32" si="10">D22</f>
        <v>135</v>
      </c>
      <c r="E29" s="130">
        <f>E8+E15+E22</f>
        <v>175.98699999999999</v>
      </c>
      <c r="F29" s="130">
        <f t="shared" ref="F29" si="11">F8+F15+F22</f>
        <v>1848.4159999999999</v>
      </c>
      <c r="G29" s="312">
        <f t="shared" ref="G29:G33" si="12">E29/$E$34</f>
        <v>1.5676785215275361E-3</v>
      </c>
      <c r="H29" s="312">
        <f t="shared" ref="H29:H31" si="13">(E29-I29)/I29</f>
        <v>-0.27115464259090538</v>
      </c>
      <c r="I29" s="318">
        <f>I8+I15+I22</f>
        <v>241.46</v>
      </c>
      <c r="J29" s="130">
        <f t="shared" ref="J29" si="14">J8+J15+J22</f>
        <v>2550.576</v>
      </c>
      <c r="K29" s="312">
        <f t="shared" ref="K29:K33" si="15">I29/$I$34</f>
        <v>2.1665253139899325E-3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20"/>
      <c r="B30" s="420"/>
      <c r="C30" s="155" t="s">
        <v>6</v>
      </c>
      <c r="D30" s="318">
        <f t="shared" si="10"/>
        <v>1117.2080000000001</v>
      </c>
      <c r="E30" s="130">
        <f t="shared" ref="E30:F33" si="16">E9+E16+E23</f>
        <v>303.392</v>
      </c>
      <c r="F30" s="130">
        <f t="shared" si="16"/>
        <v>3226.1271500000003</v>
      </c>
      <c r="G30" s="312">
        <f t="shared" si="12"/>
        <v>2.7025923619544753E-3</v>
      </c>
      <c r="H30" s="312">
        <f t="shared" si="13"/>
        <v>0.55217099911492207</v>
      </c>
      <c r="I30" s="318">
        <f t="shared" ref="I30:J32" si="17">I9+I16+I23</f>
        <v>195.46299999999999</v>
      </c>
      <c r="J30" s="130">
        <f t="shared" si="17"/>
        <v>2056.8910000000001</v>
      </c>
      <c r="K30" s="312">
        <f t="shared" si="15"/>
        <v>1.7538123807190184E-3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20"/>
      <c r="B31" s="420"/>
      <c r="C31" s="155" t="s">
        <v>7</v>
      </c>
      <c r="D31" s="318">
        <f t="shared" si="10"/>
        <v>8046</v>
      </c>
      <c r="E31" s="130">
        <f>E10+E17+E24</f>
        <v>207.91900000000001</v>
      </c>
      <c r="F31" s="130">
        <f t="shared" si="16"/>
        <v>2211.6289999999999</v>
      </c>
      <c r="G31" s="312">
        <f t="shared" si="12"/>
        <v>1.8521262963598665E-3</v>
      </c>
      <c r="H31" s="349">
        <f t="shared" si="13"/>
        <v>-0.15201210484887287</v>
      </c>
      <c r="I31" s="318">
        <f>I10+I17+I24</f>
        <v>245.191</v>
      </c>
      <c r="J31" s="130">
        <f t="shared" si="17"/>
        <v>2613.616</v>
      </c>
      <c r="K31" s="312">
        <f t="shared" si="15"/>
        <v>2.2000021049552953E-3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20"/>
      <c r="B32" s="420"/>
      <c r="C32" s="155" t="s">
        <v>93</v>
      </c>
      <c r="D32" s="318">
        <f t="shared" si="10"/>
        <v>6</v>
      </c>
      <c r="E32" s="130">
        <f>E11+E18+E25</f>
        <v>103.005</v>
      </c>
      <c r="F32" s="130">
        <f t="shared" si="16"/>
        <v>1066.963</v>
      </c>
      <c r="G32" s="312">
        <f t="shared" si="12"/>
        <v>9.1756053634611562E-4</v>
      </c>
      <c r="H32" s="312">
        <f>(E32-I32)/I32</f>
        <v>7.107205989393775E-2</v>
      </c>
      <c r="I32" s="318">
        <f>I11+I18+I25</f>
        <v>96.17</v>
      </c>
      <c r="J32" s="130">
        <f t="shared" si="17"/>
        <v>997.39599999999996</v>
      </c>
      <c r="K32" s="312">
        <f t="shared" si="15"/>
        <v>8.6289546693618744E-4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20"/>
      <c r="B33" s="420"/>
      <c r="C33" s="155" t="s">
        <v>96</v>
      </c>
      <c r="D33" s="318"/>
      <c r="E33" s="130">
        <f t="shared" si="16"/>
        <v>3079.7711199999985</v>
      </c>
      <c r="F33" s="130">
        <f t="shared" si="16"/>
        <v>34300.276797000035</v>
      </c>
      <c r="G33" s="312">
        <f t="shared" si="12"/>
        <v>2.7434361833799097E-2</v>
      </c>
      <c r="H33" s="312">
        <f t="shared" ref="H33" si="18">(E33-I33)/I33</f>
        <v>3.5863105643241806E-2</v>
      </c>
      <c r="I33" s="318">
        <f t="shared" ref="I33:J33" si="19">I12+I19+I26</f>
        <v>2973.1449100000018</v>
      </c>
      <c r="J33" s="130">
        <f t="shared" si="19"/>
        <v>32409.380912000008</v>
      </c>
      <c r="K33" s="312">
        <f t="shared" si="15"/>
        <v>2.6676856248137679E-2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21"/>
      <c r="B34" s="421"/>
      <c r="C34" s="323" t="s">
        <v>0</v>
      </c>
      <c r="D34" s="326">
        <f>SUM(D28:D33)</f>
        <v>9400.2080000000005</v>
      </c>
      <c r="E34" s="324">
        <f>SUM(E28:E33)</f>
        <v>112259.62311999999</v>
      </c>
      <c r="F34" s="324">
        <f>SUM(F28:F33)</f>
        <v>1229914.2675410002</v>
      </c>
      <c r="G34" s="325">
        <f>SUM(G28:G33)</f>
        <v>0.99999999999999989</v>
      </c>
      <c r="H34" s="325">
        <f>(E34-I34)/I34</f>
        <v>7.2613071666092557E-3</v>
      </c>
      <c r="I34" s="326">
        <f>SUM(I28:I33)</f>
        <v>111450.34791000001</v>
      </c>
      <c r="J34" s="324">
        <f>SUM(J28:J33)</f>
        <v>1190466.8104740002</v>
      </c>
      <c r="K34" s="325">
        <f>SUM(K28:K33)</f>
        <v>0.99999999999999989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08"/>
      <c r="C35" s="102"/>
      <c r="D35" s="88"/>
      <c r="E35" s="88"/>
      <c r="F35" s="88"/>
      <c r="G35" s="473" t="s">
        <v>274</v>
      </c>
      <c r="H35" s="473"/>
      <c r="I35" s="473"/>
      <c r="J35" s="473"/>
      <c r="K35" s="473"/>
    </row>
    <row r="36" spans="1:20" ht="15" customHeight="1">
      <c r="A36" s="465" t="s">
        <v>273</v>
      </c>
      <c r="B36" s="465"/>
      <c r="C36" s="465"/>
      <c r="D36" s="465"/>
      <c r="E36" s="465"/>
      <c r="F36" s="120"/>
      <c r="G36" s="473"/>
      <c r="H36" s="473"/>
      <c r="I36" s="473"/>
      <c r="J36" s="473"/>
      <c r="K36" s="473"/>
      <c r="M36" s="94"/>
      <c r="N36" s="94"/>
      <c r="O36" s="94"/>
      <c r="P36" s="94"/>
      <c r="Q36" s="94"/>
      <c r="R36" s="94"/>
      <c r="S36" s="94"/>
    </row>
    <row r="37" spans="1:20" ht="15" customHeight="1">
      <c r="A37" s="466" t="str">
        <f>A28</f>
        <v>IV. čtvrtletí</v>
      </c>
      <c r="B37" s="466"/>
      <c r="C37" s="466"/>
      <c r="D37" s="466"/>
      <c r="E37" s="466"/>
      <c r="F37" s="126"/>
      <c r="G37" s="468" t="str">
        <f>A28</f>
        <v>IV. čtvrtletí</v>
      </c>
      <c r="H37" s="468"/>
      <c r="I37" s="468"/>
      <c r="J37" s="468"/>
      <c r="K37" s="468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2022</v>
      </c>
      <c r="D41" s="95">
        <f>I3</f>
        <v>2021</v>
      </c>
      <c r="E41" s="76"/>
      <c r="F41" s="76"/>
      <c r="G41" s="76"/>
      <c r="H41" s="95"/>
      <c r="I41" s="95">
        <f>D3</f>
        <v>2022</v>
      </c>
      <c r="J41" s="95">
        <f>I3</f>
        <v>2021</v>
      </c>
      <c r="K41" s="95"/>
    </row>
    <row r="42" spans="1:20" ht="15" customHeight="1">
      <c r="A42" s="95"/>
      <c r="B42" s="95" t="str">
        <f>A7</f>
        <v>Říjen</v>
      </c>
      <c r="C42" s="78">
        <f>E13</f>
        <v>36294.282039999998</v>
      </c>
      <c r="D42" s="78">
        <f>I13</f>
        <v>10986.057990000001</v>
      </c>
      <c r="E42" s="76"/>
      <c r="F42" s="76"/>
      <c r="G42" s="76"/>
      <c r="H42" s="95" t="str">
        <f>A7</f>
        <v>Říjen</v>
      </c>
      <c r="I42" s="96">
        <f>E13/E34</f>
        <v>0.32330664428833156</v>
      </c>
      <c r="J42" s="96">
        <f>I13/I34</f>
        <v>9.8573563887585355E-2</v>
      </c>
      <c r="K42" s="95"/>
    </row>
    <row r="43" spans="1:20" ht="15" customHeight="1">
      <c r="A43" s="95"/>
      <c r="B43" s="95" t="str">
        <f>A14</f>
        <v>Listopad</v>
      </c>
      <c r="C43" s="78">
        <f>E20</f>
        <v>30804.320090000001</v>
      </c>
      <c r="D43" s="78">
        <f>I20</f>
        <v>53778.706859999984</v>
      </c>
      <c r="E43" s="76"/>
      <c r="F43" s="76"/>
      <c r="G43" s="76"/>
      <c r="H43" s="95" t="str">
        <f>A14</f>
        <v>Listopad</v>
      </c>
      <c r="I43" s="96">
        <f>E20/E34</f>
        <v>0.27440248981658977</v>
      </c>
      <c r="J43" s="96">
        <f>I20/I34</f>
        <v>0.4825351187187692</v>
      </c>
      <c r="K43" s="95"/>
    </row>
    <row r="44" spans="1:20" ht="15" customHeight="1">
      <c r="A44" s="95"/>
      <c r="B44" s="95" t="str">
        <f>A21</f>
        <v>Prosinec</v>
      </c>
      <c r="C44" s="78">
        <f>E27</f>
        <v>45161.02098999999</v>
      </c>
      <c r="D44" s="78">
        <f>I27</f>
        <v>46685.583060000012</v>
      </c>
      <c r="E44" s="76"/>
      <c r="F44" s="76"/>
      <c r="G44" s="76"/>
      <c r="H44" s="95" t="str">
        <f>A21</f>
        <v>Prosinec</v>
      </c>
      <c r="I44" s="96">
        <f>E27/E34</f>
        <v>0.40229086589507868</v>
      </c>
      <c r="J44" s="96">
        <f>I27/I34</f>
        <v>0.41889131739364532</v>
      </c>
      <c r="K44" s="95"/>
    </row>
    <row r="45" spans="1:20" ht="15" customHeight="1">
      <c r="A45" s="95"/>
      <c r="B45" s="95"/>
      <c r="C45" s="78">
        <f>SUM(C42:C44)</f>
        <v>112259.62311999999</v>
      </c>
      <c r="D45" s="78">
        <f>SUM(D42:D44)</f>
        <v>111450.34791</v>
      </c>
      <c r="E45" s="95"/>
      <c r="F45" s="95"/>
      <c r="G45" s="95"/>
      <c r="H45" s="95"/>
      <c r="I45" s="97">
        <f>SUM(I42:I44)</f>
        <v>1</v>
      </c>
      <c r="J45" s="97">
        <f>SUM(J42:J44)</f>
        <v>0.99999999999999978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491" t="s">
        <v>204</v>
      </c>
      <c r="B52" s="491"/>
      <c r="C52" s="491"/>
      <c r="D52" s="491"/>
      <c r="E52" s="491"/>
      <c r="F52" s="491"/>
      <c r="G52" s="491"/>
      <c r="H52" s="491"/>
      <c r="I52" s="491"/>
      <c r="J52" s="491"/>
      <c r="K52" s="491"/>
    </row>
    <row r="53" spans="1:11" ht="15" customHeight="1">
      <c r="A53" s="491"/>
      <c r="B53" s="491"/>
      <c r="C53" s="491"/>
      <c r="D53" s="491"/>
      <c r="E53" s="491"/>
      <c r="F53" s="491"/>
      <c r="G53" s="491"/>
      <c r="H53" s="491"/>
      <c r="I53" s="491"/>
      <c r="J53" s="491"/>
      <c r="K53" s="491"/>
    </row>
    <row r="54" spans="1:11" ht="15" customHeight="1">
      <c r="A54" s="491"/>
      <c r="B54" s="491"/>
      <c r="C54" s="491"/>
      <c r="D54" s="491"/>
      <c r="E54" s="491"/>
      <c r="F54" s="491"/>
      <c r="G54" s="491"/>
      <c r="H54" s="491"/>
      <c r="I54" s="491"/>
      <c r="J54" s="491"/>
      <c r="K54" s="491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/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22">
    <mergeCell ref="E3:G4"/>
    <mergeCell ref="A37:E37"/>
    <mergeCell ref="G37:K37"/>
    <mergeCell ref="A1:K1"/>
    <mergeCell ref="A2:C2"/>
    <mergeCell ref="I3:K4"/>
    <mergeCell ref="A3:C4"/>
    <mergeCell ref="D5:D6"/>
    <mergeCell ref="C5:C6"/>
    <mergeCell ref="A5:B6"/>
    <mergeCell ref="G5:G6"/>
    <mergeCell ref="H5:H6"/>
    <mergeCell ref="K5:K6"/>
    <mergeCell ref="E5:F5"/>
    <mergeCell ref="I5:J5"/>
    <mergeCell ref="A52:K54"/>
    <mergeCell ref="A7:B13"/>
    <mergeCell ref="A14:B20"/>
    <mergeCell ref="A21:B27"/>
    <mergeCell ref="A28:B34"/>
    <mergeCell ref="A36:E36"/>
    <mergeCell ref="G35:K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4 H10" evalError="1"/>
    <ignoredError sqref="H34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topLeftCell="A13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492" t="str">
        <f>"5.6 Spotřeba zemního plynu a teplota ovzduší: "&amp;LOWER(A3)</f>
        <v>5.6 Spotřeba zemního plynu a teplota ovzduší: říjen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ht="6" customHeight="1">
      <c r="A2" s="496"/>
      <c r="B2" s="496"/>
      <c r="C2" s="305"/>
      <c r="D2" s="306"/>
      <c r="E2" s="307"/>
      <c r="F2" s="307"/>
      <c r="G2" s="307"/>
      <c r="H2" s="307"/>
      <c r="I2" s="76"/>
      <c r="J2" s="76"/>
      <c r="K2" s="76"/>
    </row>
    <row r="3" spans="1:11" ht="18.75" customHeight="1">
      <c r="A3" s="499" t="str">
        <f>'3.1'!D5</f>
        <v>Říjen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</row>
    <row r="4" spans="1:11" ht="24.95" customHeight="1">
      <c r="A4" s="129"/>
      <c r="B4" s="257">
        <f>'3.1'!A4</f>
        <v>2022</v>
      </c>
      <c r="C4" s="493" t="s">
        <v>60</v>
      </c>
      <c r="D4" s="494"/>
      <c r="E4" s="494"/>
      <c r="F4" s="495"/>
      <c r="G4" s="493" t="s">
        <v>187</v>
      </c>
      <c r="H4" s="494"/>
      <c r="I4" s="494"/>
      <c r="J4" s="494"/>
      <c r="K4" s="494"/>
    </row>
    <row r="5" spans="1:11" ht="22.5">
      <c r="A5" s="277"/>
      <c r="B5" s="477" t="s">
        <v>186</v>
      </c>
      <c r="C5" s="350"/>
      <c r="D5" s="351"/>
      <c r="E5" s="477" t="s">
        <v>281</v>
      </c>
      <c r="F5" s="497" t="s">
        <v>284</v>
      </c>
      <c r="G5" s="352" t="s">
        <v>62</v>
      </c>
      <c r="H5" s="353" t="s">
        <v>174</v>
      </c>
      <c r="I5" s="353" t="s">
        <v>175</v>
      </c>
      <c r="J5" s="353" t="s">
        <v>282</v>
      </c>
      <c r="K5" s="353" t="s">
        <v>283</v>
      </c>
    </row>
    <row r="6" spans="1:11" ht="24.95" customHeight="1">
      <c r="A6" s="354" t="s">
        <v>285</v>
      </c>
      <c r="B6" s="464"/>
      <c r="C6" s="224" t="s">
        <v>263</v>
      </c>
      <c r="D6" s="222" t="s">
        <v>264</v>
      </c>
      <c r="E6" s="464"/>
      <c r="F6" s="498"/>
      <c r="G6" s="355" t="s">
        <v>232</v>
      </c>
      <c r="H6" s="356" t="s">
        <v>232</v>
      </c>
      <c r="I6" s="356" t="s">
        <v>232</v>
      </c>
      <c r="J6" s="356" t="s">
        <v>232</v>
      </c>
      <c r="K6" s="356" t="s">
        <v>232</v>
      </c>
    </row>
    <row r="7" spans="1:11" ht="15.95" customHeight="1">
      <c r="A7" s="155" t="s">
        <v>20</v>
      </c>
      <c r="B7" s="130">
        <f>'5.2'!D13</f>
        <v>408579</v>
      </c>
      <c r="C7" s="318">
        <f>'5.2'!E13</f>
        <v>46754.81879759211</v>
      </c>
      <c r="D7" s="130">
        <f>'5.2'!F13</f>
        <v>512715.32120299287</v>
      </c>
      <c r="E7" s="312">
        <f>C7/$C$11</f>
        <v>9.210730590135309E-2</v>
      </c>
      <c r="F7" s="337">
        <f>'5.2'!H13</f>
        <v>-0.32196688375437427</v>
      </c>
      <c r="G7" s="335">
        <v>11.851612903225805</v>
      </c>
      <c r="H7" s="329">
        <v>16.600000000000001</v>
      </c>
      <c r="I7" s="329">
        <v>7.5</v>
      </c>
      <c r="J7" s="329">
        <v>9</v>
      </c>
      <c r="K7" s="329">
        <v>2.8516129032258046</v>
      </c>
    </row>
    <row r="8" spans="1:11" ht="15.95" customHeight="1">
      <c r="A8" s="155" t="s">
        <v>87</v>
      </c>
      <c r="B8" s="130">
        <f>'5.3'!D13</f>
        <v>2255968</v>
      </c>
      <c r="C8" s="318">
        <f>'5.3'!E13</f>
        <v>405364.86610641831</v>
      </c>
      <c r="D8" s="130">
        <f>'5.3'!F13</f>
        <v>4442680.9384799991</v>
      </c>
      <c r="E8" s="312">
        <f t="shared" ref="E8:E10" si="0">C8/$C$11</f>
        <v>0.79857149881731082</v>
      </c>
      <c r="F8" s="337">
        <f>'5.3'!H13</f>
        <v>-0.32735452704015028</v>
      </c>
      <c r="G8" s="335">
        <v>10.737634408602148</v>
      </c>
      <c r="H8" s="330">
        <v>14.949999999999998</v>
      </c>
      <c r="I8" s="330">
        <v>6.2833333333333341</v>
      </c>
      <c r="J8" s="330">
        <v>8.1500000000000039</v>
      </c>
      <c r="K8" s="329">
        <v>2.5876344086021437</v>
      </c>
    </row>
    <row r="9" spans="1:11" ht="15.95" customHeight="1">
      <c r="A9" s="155" t="s">
        <v>213</v>
      </c>
      <c r="B9" s="130">
        <f>'5.4'!D13</f>
        <v>113348</v>
      </c>
      <c r="C9" s="318">
        <f>'5.4'!E13</f>
        <v>19198.521990000001</v>
      </c>
      <c r="D9" s="130">
        <f>'5.4'!F13</f>
        <v>210256.99593000003</v>
      </c>
      <c r="E9" s="312">
        <f t="shared" si="0"/>
        <v>3.7821216791409179E-2</v>
      </c>
      <c r="F9" s="337">
        <f>'5.4'!H13</f>
        <v>-0.31580541379432298</v>
      </c>
      <c r="G9" s="335">
        <v>10.74516129032258</v>
      </c>
      <c r="H9" s="330">
        <v>14.9</v>
      </c>
      <c r="I9" s="330">
        <v>6.5</v>
      </c>
      <c r="J9" s="330">
        <v>7.5</v>
      </c>
      <c r="K9" s="329">
        <v>3.2451612903225797</v>
      </c>
    </row>
    <row r="10" spans="1:11" ht="15.95" customHeight="1">
      <c r="A10" s="155" t="s">
        <v>32</v>
      </c>
      <c r="B10" s="130">
        <f>'5.5'!D13</f>
        <v>8846</v>
      </c>
      <c r="C10" s="318">
        <f>'5.5'!E13</f>
        <v>36294.282039999998</v>
      </c>
      <c r="D10" s="130">
        <f>'5.5'!F13</f>
        <v>398009.51487800007</v>
      </c>
      <c r="E10" s="312">
        <f t="shared" si="0"/>
        <v>7.1499978489926896E-2</v>
      </c>
      <c r="F10" s="337">
        <f>'5.5'!H13</f>
        <v>2.30366743676728</v>
      </c>
      <c r="G10" s="335">
        <v>10.777419354838711</v>
      </c>
      <c r="H10" s="330">
        <v>14.9</v>
      </c>
      <c r="I10" s="330">
        <v>6.4</v>
      </c>
      <c r="J10" s="330">
        <v>8.3548387096774199</v>
      </c>
      <c r="K10" s="329">
        <v>2.4225806451612915</v>
      </c>
    </row>
    <row r="11" spans="1:11" ht="15.95" customHeight="1">
      <c r="A11" s="160" t="s">
        <v>3</v>
      </c>
      <c r="B11" s="315">
        <f>SUM(B7:B10)</f>
        <v>2786741</v>
      </c>
      <c r="C11" s="319">
        <f>SUM(C7:C10)</f>
        <v>507612.48893401044</v>
      </c>
      <c r="D11" s="315">
        <f t="shared" ref="D11:E11" si="1">SUM(D7:D10)</f>
        <v>5563662.7704909919</v>
      </c>
      <c r="E11" s="316">
        <f t="shared" si="1"/>
        <v>1</v>
      </c>
      <c r="F11" s="338">
        <f>'5.1'!H14</f>
        <v>-0.28570204387832965</v>
      </c>
      <c r="G11" s="336">
        <v>10.777419354838711</v>
      </c>
      <c r="H11" s="334">
        <v>14.9</v>
      </c>
      <c r="I11" s="334">
        <v>6.4</v>
      </c>
      <c r="J11" s="334">
        <v>8.3548387096774199</v>
      </c>
      <c r="K11" s="333">
        <v>2.4225806451612915</v>
      </c>
    </row>
    <row r="12" spans="1:11" ht="15" customHeight="1">
      <c r="A12" s="102"/>
      <c r="B12" s="95"/>
      <c r="C12" s="500" t="s">
        <v>243</v>
      </c>
      <c r="D12" s="500"/>
      <c r="E12" s="500"/>
      <c r="F12" s="500"/>
      <c r="G12" s="503" t="s">
        <v>244</v>
      </c>
      <c r="H12" s="503"/>
      <c r="I12" s="503"/>
      <c r="J12" s="503"/>
      <c r="K12" s="503"/>
    </row>
    <row r="13" spans="1:11" ht="15" customHeight="1">
      <c r="A13" s="95"/>
      <c r="B13" s="95"/>
      <c r="C13" s="500"/>
      <c r="D13" s="500"/>
      <c r="E13" s="500"/>
      <c r="F13" s="500"/>
      <c r="G13" s="503" t="s">
        <v>245</v>
      </c>
      <c r="H13" s="503"/>
      <c r="I13" s="503"/>
      <c r="J13" s="503"/>
      <c r="K13" s="503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504" t="s">
        <v>275</v>
      </c>
      <c r="B16" s="504"/>
      <c r="C16" s="504"/>
      <c r="D16" s="504"/>
      <c r="E16" s="504"/>
      <c r="F16" s="504" t="s">
        <v>276</v>
      </c>
      <c r="G16" s="504"/>
      <c r="H16" s="504"/>
      <c r="I16" s="504"/>
      <c r="J16" s="504"/>
      <c r="K16" s="504"/>
    </row>
    <row r="17" spans="1:11" ht="15" customHeight="1">
      <c r="A17" s="504"/>
      <c r="B17" s="504"/>
      <c r="C17" s="504"/>
      <c r="D17" s="504"/>
      <c r="E17" s="504"/>
      <c r="F17" s="504"/>
      <c r="G17" s="504"/>
      <c r="H17" s="504"/>
      <c r="I17" s="504"/>
      <c r="J17" s="504"/>
      <c r="K17" s="504"/>
    </row>
    <row r="18" spans="1:11" ht="15" customHeight="1">
      <c r="A18" s="125"/>
      <c r="B18" s="501"/>
      <c r="C18" s="501"/>
      <c r="D18" s="125"/>
      <c r="E18" s="125"/>
      <c r="F18" s="125"/>
      <c r="G18" s="125"/>
      <c r="H18" s="501"/>
      <c r="I18" s="501"/>
      <c r="J18" s="125"/>
      <c r="K18" s="125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04" t="s">
        <v>277</v>
      </c>
      <c r="B33" s="467"/>
      <c r="C33" s="467"/>
      <c r="D33" s="467"/>
      <c r="E33" s="467"/>
      <c r="F33" s="504" t="s">
        <v>66</v>
      </c>
      <c r="G33" s="504"/>
      <c r="H33" s="504"/>
      <c r="I33" s="504"/>
      <c r="J33" s="504"/>
      <c r="K33" s="504"/>
    </row>
    <row r="34" spans="1:11" ht="15" customHeight="1">
      <c r="A34" s="467"/>
      <c r="B34" s="467"/>
      <c r="C34" s="467"/>
      <c r="D34" s="467"/>
      <c r="E34" s="467"/>
      <c r="F34" s="504"/>
      <c r="G34" s="504"/>
      <c r="H34" s="504"/>
      <c r="I34" s="504"/>
      <c r="J34" s="504"/>
      <c r="K34" s="504"/>
    </row>
    <row r="35" spans="1:11" ht="15" customHeight="1">
      <c r="A35" s="125"/>
      <c r="B35" s="501"/>
      <c r="C35" s="501"/>
      <c r="D35" s="125"/>
      <c r="E35" s="122"/>
      <c r="F35" s="128"/>
      <c r="G35" s="128"/>
      <c r="H35" s="502"/>
      <c r="I35" s="502"/>
      <c r="J35" s="128"/>
      <c r="K35" s="128"/>
    </row>
    <row r="36" spans="1:11" ht="15" customHeight="1">
      <c r="A36" s="125"/>
      <c r="B36" s="125"/>
      <c r="C36" s="125"/>
      <c r="D36" s="125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C12:F13"/>
    <mergeCell ref="B18:C18"/>
    <mergeCell ref="H18:I18"/>
    <mergeCell ref="H35:I35"/>
    <mergeCell ref="B35:C35"/>
    <mergeCell ref="G12:K12"/>
    <mergeCell ref="G13:K13"/>
    <mergeCell ref="F16:K17"/>
    <mergeCell ref="A16:E17"/>
    <mergeCell ref="A33:E34"/>
    <mergeCell ref="F33:K34"/>
    <mergeCell ref="A1:K1"/>
    <mergeCell ref="G4:K4"/>
    <mergeCell ref="B5:B6"/>
    <mergeCell ref="C4:F4"/>
    <mergeCell ref="A2:B2"/>
    <mergeCell ref="E5:E6"/>
    <mergeCell ref="F5:F6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492" t="str">
        <f>"5.7 Spotřeba zemního plynu a teplota ovzduší: "&amp;LOWER(A3)</f>
        <v>5.7 Spotřeba zemního plynu a teplota ovzduší: listopad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ht="6" customHeight="1">
      <c r="A2" s="496"/>
      <c r="B2" s="496"/>
      <c r="C2" s="305"/>
      <c r="D2" s="306"/>
      <c r="E2" s="307"/>
      <c r="F2" s="307"/>
      <c r="G2" s="307"/>
      <c r="H2" s="307"/>
      <c r="I2" s="76"/>
      <c r="J2" s="76"/>
      <c r="K2" s="76"/>
    </row>
    <row r="3" spans="1:11" ht="18.75" customHeight="1">
      <c r="A3" s="499" t="str">
        <f>'3.1'!E5</f>
        <v>Listopad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</row>
    <row r="4" spans="1:11" ht="24.95" customHeight="1">
      <c r="A4" s="129"/>
      <c r="B4" s="257">
        <f>'3.1'!A4</f>
        <v>2022</v>
      </c>
      <c r="C4" s="493" t="s">
        <v>60</v>
      </c>
      <c r="D4" s="494"/>
      <c r="E4" s="494"/>
      <c r="F4" s="495"/>
      <c r="G4" s="493" t="s">
        <v>187</v>
      </c>
      <c r="H4" s="494"/>
      <c r="I4" s="494"/>
      <c r="J4" s="494"/>
      <c r="K4" s="494"/>
    </row>
    <row r="5" spans="1:11" ht="22.5">
      <c r="A5" s="277"/>
      <c r="B5" s="477" t="s">
        <v>186</v>
      </c>
      <c r="C5" s="350"/>
      <c r="D5" s="351"/>
      <c r="E5" s="477" t="s">
        <v>281</v>
      </c>
      <c r="F5" s="497" t="s">
        <v>284</v>
      </c>
      <c r="G5" s="352" t="s">
        <v>62</v>
      </c>
      <c r="H5" s="353" t="s">
        <v>174</v>
      </c>
      <c r="I5" s="353" t="s">
        <v>175</v>
      </c>
      <c r="J5" s="353" t="s">
        <v>282</v>
      </c>
      <c r="K5" s="353" t="s">
        <v>283</v>
      </c>
    </row>
    <row r="6" spans="1:11" ht="24.95" customHeight="1">
      <c r="A6" s="354" t="s">
        <v>285</v>
      </c>
      <c r="B6" s="464"/>
      <c r="C6" s="224" t="s">
        <v>263</v>
      </c>
      <c r="D6" s="222" t="s">
        <v>264</v>
      </c>
      <c r="E6" s="464"/>
      <c r="F6" s="498"/>
      <c r="G6" s="355" t="s">
        <v>232</v>
      </c>
      <c r="H6" s="356" t="s">
        <v>232</v>
      </c>
      <c r="I6" s="356" t="s">
        <v>232</v>
      </c>
      <c r="J6" s="356" t="s">
        <v>232</v>
      </c>
      <c r="K6" s="356" t="s">
        <v>232</v>
      </c>
    </row>
    <row r="7" spans="1:11" ht="15.95" customHeight="1">
      <c r="A7" s="155" t="s">
        <v>20</v>
      </c>
      <c r="B7" s="130">
        <f>'5.2'!D20</f>
        <v>407993</v>
      </c>
      <c r="C7" s="318">
        <f>'5.2'!E20</f>
        <v>83652.864691224648</v>
      </c>
      <c r="D7" s="130">
        <f>'5.2'!F20</f>
        <v>916317.20715591172</v>
      </c>
      <c r="E7" s="312">
        <f>C7/$C$11</f>
        <v>0.11259241864258507</v>
      </c>
      <c r="F7" s="337">
        <f>'5.2'!H20</f>
        <v>-0.19391664723066063</v>
      </c>
      <c r="G7" s="335">
        <v>5.0666666666666664</v>
      </c>
      <c r="H7" s="329">
        <v>10.6</v>
      </c>
      <c r="I7" s="329">
        <v>-2.7</v>
      </c>
      <c r="J7" s="329">
        <v>3.700000000000002</v>
      </c>
      <c r="K7" s="329">
        <v>1.3666666666666645</v>
      </c>
    </row>
    <row r="8" spans="1:11" ht="15.95" customHeight="1">
      <c r="A8" s="155" t="s">
        <v>87</v>
      </c>
      <c r="B8" s="130">
        <f>'5.3'!D20</f>
        <v>2254019</v>
      </c>
      <c r="C8" s="318">
        <f>'5.3'!E20</f>
        <v>598773.13900048996</v>
      </c>
      <c r="D8" s="130">
        <f>'5.3'!F20</f>
        <v>6543496.2298900001</v>
      </c>
      <c r="E8" s="312">
        <f t="shared" ref="E8:E10" si="0">C8/$C$11</f>
        <v>0.80591759991872891</v>
      </c>
      <c r="F8" s="337">
        <f>'5.3'!H20</f>
        <v>-0.23204084615566589</v>
      </c>
      <c r="G8" s="335">
        <v>4.2255555555555553</v>
      </c>
      <c r="H8" s="330">
        <v>10.283333333333333</v>
      </c>
      <c r="I8" s="330">
        <v>-3.7833333333333337</v>
      </c>
      <c r="J8" s="330">
        <v>2.833333333333333</v>
      </c>
      <c r="K8" s="329">
        <v>1.3922222222222222</v>
      </c>
    </row>
    <row r="9" spans="1:11" ht="15.95" customHeight="1">
      <c r="A9" s="155" t="s">
        <v>213</v>
      </c>
      <c r="B9" s="130">
        <f>'5.4'!D20</f>
        <v>113159</v>
      </c>
      <c r="C9" s="318">
        <f>'5.4'!E20</f>
        <v>29740.346000000001</v>
      </c>
      <c r="D9" s="130">
        <f>'5.4'!F20</f>
        <v>323856.36027000006</v>
      </c>
      <c r="E9" s="312">
        <f t="shared" si="0"/>
        <v>4.0028963739225043E-2</v>
      </c>
      <c r="F9" s="337">
        <f>'5.4'!H20</f>
        <v>-0.23727616277742727</v>
      </c>
      <c r="G9" s="335">
        <v>4.0166666666666657</v>
      </c>
      <c r="H9" s="330">
        <v>10.8</v>
      </c>
      <c r="I9" s="330">
        <v>-2.8</v>
      </c>
      <c r="J9" s="330">
        <v>2.2000000000000011</v>
      </c>
      <c r="K9" s="329">
        <v>1.8166666666666647</v>
      </c>
    </row>
    <row r="10" spans="1:11" ht="15.95" customHeight="1">
      <c r="A10" s="155" t="s">
        <v>32</v>
      </c>
      <c r="B10" s="130">
        <f>'5.5'!D20</f>
        <v>8801.2080000000005</v>
      </c>
      <c r="C10" s="318">
        <f>'5.5'!E20</f>
        <v>30804.320090000001</v>
      </c>
      <c r="D10" s="130">
        <f>'5.5'!F20</f>
        <v>337425.86502500001</v>
      </c>
      <c r="E10" s="312">
        <f t="shared" si="0"/>
        <v>4.1461017699460916E-2</v>
      </c>
      <c r="F10" s="337">
        <f>'5.5'!H20</f>
        <v>-0.42720229085850486</v>
      </c>
      <c r="G10" s="335">
        <v>4.2466666666666661</v>
      </c>
      <c r="H10" s="330">
        <v>10.4</v>
      </c>
      <c r="I10" s="330">
        <v>-3.5</v>
      </c>
      <c r="J10" s="330">
        <v>3.5466666666666664</v>
      </c>
      <c r="K10" s="329">
        <v>0.69999999999999973</v>
      </c>
    </row>
    <row r="11" spans="1:11" ht="15.95" customHeight="1">
      <c r="A11" s="160" t="s">
        <v>3</v>
      </c>
      <c r="B11" s="315">
        <f>SUM(B7:B10)</f>
        <v>2783972.2080000001</v>
      </c>
      <c r="C11" s="319">
        <f t="shared" ref="C11:E11" si="1">SUM(C7:C10)</f>
        <v>742970.66978171468</v>
      </c>
      <c r="D11" s="315">
        <f t="shared" si="1"/>
        <v>8121095.6623409111</v>
      </c>
      <c r="E11" s="316">
        <f t="shared" si="1"/>
        <v>0.99999999999999989</v>
      </c>
      <c r="F11" s="338">
        <f>'5.1'!H21</f>
        <v>-0.23894820605564854</v>
      </c>
      <c r="G11" s="336">
        <v>4.2466666666666661</v>
      </c>
      <c r="H11" s="334">
        <v>10.4</v>
      </c>
      <c r="I11" s="334">
        <v>-3.5</v>
      </c>
      <c r="J11" s="334">
        <v>3.5466666666666664</v>
      </c>
      <c r="K11" s="333">
        <v>0.69999999999999973</v>
      </c>
    </row>
    <row r="12" spans="1:11" ht="15" customHeight="1">
      <c r="A12" s="102"/>
      <c r="B12" s="95"/>
      <c r="C12" s="500" t="s">
        <v>243</v>
      </c>
      <c r="D12" s="500"/>
      <c r="E12" s="500"/>
      <c r="F12" s="500"/>
      <c r="G12" s="503" t="s">
        <v>244</v>
      </c>
      <c r="H12" s="503"/>
      <c r="I12" s="503"/>
      <c r="J12" s="503"/>
      <c r="K12" s="503"/>
    </row>
    <row r="13" spans="1:11" ht="15" customHeight="1">
      <c r="A13" s="95"/>
      <c r="B13" s="95"/>
      <c r="C13" s="500"/>
      <c r="D13" s="500"/>
      <c r="E13" s="500"/>
      <c r="F13" s="500"/>
      <c r="G13" s="503" t="s">
        <v>245</v>
      </c>
      <c r="H13" s="503"/>
      <c r="I13" s="503"/>
      <c r="J13" s="503"/>
      <c r="K13" s="503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504" t="s">
        <v>275</v>
      </c>
      <c r="B16" s="504"/>
      <c r="C16" s="504"/>
      <c r="D16" s="504"/>
      <c r="E16" s="504"/>
      <c r="F16" s="504" t="s">
        <v>276</v>
      </c>
      <c r="G16" s="504"/>
      <c r="H16" s="504"/>
      <c r="I16" s="504"/>
      <c r="J16" s="504"/>
      <c r="K16" s="504"/>
    </row>
    <row r="17" spans="1:11" ht="15" customHeight="1">
      <c r="A17" s="504"/>
      <c r="B17" s="504"/>
      <c r="C17" s="504"/>
      <c r="D17" s="504"/>
      <c r="E17" s="504"/>
      <c r="F17" s="504"/>
      <c r="G17" s="504"/>
      <c r="H17" s="504"/>
      <c r="I17" s="504"/>
      <c r="J17" s="504"/>
      <c r="K17" s="504"/>
    </row>
    <row r="18" spans="1:11" ht="15" customHeight="1">
      <c r="A18" s="121"/>
      <c r="B18" s="501"/>
      <c r="C18" s="501"/>
      <c r="D18" s="121"/>
      <c r="E18" s="121"/>
      <c r="F18" s="121"/>
      <c r="G18" s="124"/>
      <c r="H18" s="501"/>
      <c r="I18" s="501"/>
      <c r="J18" s="121"/>
      <c r="K18" s="121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04" t="s">
        <v>277</v>
      </c>
      <c r="B33" s="467"/>
      <c r="C33" s="467"/>
      <c r="D33" s="467"/>
      <c r="E33" s="467"/>
      <c r="F33" s="504" t="s">
        <v>66</v>
      </c>
      <c r="G33" s="504"/>
      <c r="H33" s="504"/>
      <c r="I33" s="504"/>
      <c r="J33" s="504"/>
      <c r="K33" s="504"/>
    </row>
    <row r="34" spans="1:11" ht="15" customHeight="1">
      <c r="A34" s="467"/>
      <c r="B34" s="467"/>
      <c r="C34" s="467"/>
      <c r="D34" s="467"/>
      <c r="E34" s="467"/>
      <c r="F34" s="504"/>
      <c r="G34" s="504"/>
      <c r="H34" s="504"/>
      <c r="I34" s="504"/>
      <c r="J34" s="504"/>
      <c r="K34" s="504"/>
    </row>
    <row r="35" spans="1:11" ht="15" customHeight="1">
      <c r="A35" s="121"/>
      <c r="B35" s="501"/>
      <c r="C35" s="501"/>
      <c r="D35" s="121"/>
      <c r="E35" s="122"/>
      <c r="F35" s="128"/>
      <c r="G35" s="128"/>
      <c r="H35" s="502"/>
      <c r="I35" s="502"/>
      <c r="J35" s="128"/>
      <c r="K35" s="128"/>
    </row>
    <row r="36" spans="1:11" ht="15" customHeight="1">
      <c r="A36" s="121"/>
      <c r="B36" s="121"/>
      <c r="C36" s="121"/>
      <c r="D36" s="121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B18:C18"/>
    <mergeCell ref="C4:F4"/>
    <mergeCell ref="A2:B2"/>
    <mergeCell ref="B5:B6"/>
    <mergeCell ref="C12:F13"/>
    <mergeCell ref="G12:K12"/>
    <mergeCell ref="G13:K13"/>
    <mergeCell ref="E5:E6"/>
    <mergeCell ref="F5:F6"/>
    <mergeCell ref="A3:K3"/>
    <mergeCell ref="A16:E17"/>
    <mergeCell ref="F16:K17"/>
    <mergeCell ref="B35:C35"/>
    <mergeCell ref="H35:I35"/>
    <mergeCell ref="H18:I18"/>
    <mergeCell ref="A33:E34"/>
    <mergeCell ref="F33:K3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492" t="str">
        <f>"5.8 Spotřeba zemního plynu a teplota ovzduší: "&amp;LOWER(A3)</f>
        <v>5.8 Spotřeba zemního plynu a teplota ovzduší: prosinec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ht="6" customHeight="1">
      <c r="A2" s="496"/>
      <c r="B2" s="496"/>
      <c r="C2" s="305"/>
      <c r="D2" s="306"/>
      <c r="E2" s="307"/>
      <c r="F2" s="307"/>
      <c r="G2" s="307"/>
      <c r="H2" s="307"/>
      <c r="I2" s="76"/>
      <c r="J2" s="76"/>
      <c r="K2" s="76"/>
    </row>
    <row r="3" spans="1:11" ht="18.75" customHeight="1">
      <c r="A3" s="499" t="str">
        <f>'3.1'!F5</f>
        <v>Prosinec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</row>
    <row r="4" spans="1:11" ht="24.95" customHeight="1">
      <c r="A4" s="129"/>
      <c r="B4" s="257">
        <f>'3.1'!A4</f>
        <v>2022</v>
      </c>
      <c r="C4" s="493" t="s">
        <v>60</v>
      </c>
      <c r="D4" s="494"/>
      <c r="E4" s="494"/>
      <c r="F4" s="495"/>
      <c r="G4" s="493" t="s">
        <v>187</v>
      </c>
      <c r="H4" s="494"/>
      <c r="I4" s="494"/>
      <c r="J4" s="494"/>
      <c r="K4" s="494"/>
    </row>
    <row r="5" spans="1:11" ht="22.5">
      <c r="A5" s="277"/>
      <c r="B5" s="477" t="s">
        <v>186</v>
      </c>
      <c r="C5" s="350"/>
      <c r="D5" s="351"/>
      <c r="E5" s="477" t="s">
        <v>281</v>
      </c>
      <c r="F5" s="497" t="s">
        <v>284</v>
      </c>
      <c r="G5" s="352" t="s">
        <v>62</v>
      </c>
      <c r="H5" s="353" t="s">
        <v>174</v>
      </c>
      <c r="I5" s="353" t="s">
        <v>175</v>
      </c>
      <c r="J5" s="353" t="s">
        <v>282</v>
      </c>
      <c r="K5" s="353" t="s">
        <v>283</v>
      </c>
    </row>
    <row r="6" spans="1:11" ht="24.95" customHeight="1">
      <c r="A6" s="354" t="s">
        <v>285</v>
      </c>
      <c r="B6" s="464"/>
      <c r="C6" s="224" t="s">
        <v>263</v>
      </c>
      <c r="D6" s="222" t="s">
        <v>264</v>
      </c>
      <c r="E6" s="464"/>
      <c r="F6" s="498"/>
      <c r="G6" s="355" t="s">
        <v>232</v>
      </c>
      <c r="H6" s="356" t="s">
        <v>232</v>
      </c>
      <c r="I6" s="356" t="s">
        <v>232</v>
      </c>
      <c r="J6" s="356" t="s">
        <v>232</v>
      </c>
      <c r="K6" s="356" t="s">
        <v>232</v>
      </c>
    </row>
    <row r="7" spans="1:11" ht="15.95" customHeight="1">
      <c r="A7" s="155" t="s">
        <v>20</v>
      </c>
      <c r="B7" s="130">
        <f>'5.2'!D27</f>
        <v>407438</v>
      </c>
      <c r="C7" s="318">
        <f>'5.2'!E27</f>
        <v>115598.32490901448</v>
      </c>
      <c r="D7" s="130">
        <f>'5.2'!F27</f>
        <v>1263913.4419030391</v>
      </c>
      <c r="E7" s="312">
        <f>C7/$C$11</f>
        <v>0.11964546514575285</v>
      </c>
      <c r="F7" s="337">
        <f>'5.2'!H27</f>
        <v>-0.10458416839365864</v>
      </c>
      <c r="G7" s="335">
        <v>1.9580645161290322</v>
      </c>
      <c r="H7" s="329">
        <v>14.5</v>
      </c>
      <c r="I7" s="329">
        <v>-8.8000000000000007</v>
      </c>
      <c r="J7" s="329">
        <v>1.1000000000000005</v>
      </c>
      <c r="K7" s="329">
        <v>0.85806451612903167</v>
      </c>
    </row>
    <row r="8" spans="1:11" ht="15.95" customHeight="1">
      <c r="A8" s="155" t="s">
        <v>87</v>
      </c>
      <c r="B8" s="130">
        <f>'5.3'!D27</f>
        <v>2251418</v>
      </c>
      <c r="C8" s="318">
        <f>'5.3'!E27</f>
        <v>767260.41767058661</v>
      </c>
      <c r="D8" s="130">
        <f>'5.3'!F27</f>
        <v>8353077.0294600008</v>
      </c>
      <c r="E8" s="312">
        <f t="shared" ref="E8:E10" si="0">C8/$C$11</f>
        <v>0.79412248951163944</v>
      </c>
      <c r="F8" s="337">
        <f>'5.3'!H27</f>
        <v>-0.1858073204250367</v>
      </c>
      <c r="G8" s="335">
        <v>0.43978494623655912</v>
      </c>
      <c r="H8" s="330">
        <v>9.5833333333333339</v>
      </c>
      <c r="I8" s="330">
        <v>-8.2666666666666675</v>
      </c>
      <c r="J8" s="330">
        <v>-0.10000000000000005</v>
      </c>
      <c r="K8" s="329">
        <v>0.53978494623655915</v>
      </c>
    </row>
    <row r="9" spans="1:11" ht="15.95" customHeight="1">
      <c r="A9" s="155" t="s">
        <v>213</v>
      </c>
      <c r="B9" s="130">
        <f>'5.4'!D27</f>
        <v>113025</v>
      </c>
      <c r="C9" s="318">
        <f>'5.4'!E27</f>
        <v>38154.130010000001</v>
      </c>
      <c r="D9" s="130">
        <f>'5.4'!F27</f>
        <v>416299.24363000004</v>
      </c>
      <c r="E9" s="312">
        <f t="shared" si="0"/>
        <v>3.9489920255081454E-2</v>
      </c>
      <c r="F9" s="337">
        <f>'5.4'!H27</f>
        <v>-0.12780715641180407</v>
      </c>
      <c r="G9" s="335">
        <v>0.35806451612903228</v>
      </c>
      <c r="H9" s="330">
        <v>10.8</v>
      </c>
      <c r="I9" s="330">
        <v>-9.8000000000000007</v>
      </c>
      <c r="J9" s="330">
        <v>-0.69999999999999962</v>
      </c>
      <c r="K9" s="329">
        <v>1.0580645161290319</v>
      </c>
    </row>
    <row r="10" spans="1:11" ht="15.95" customHeight="1">
      <c r="A10" s="155" t="s">
        <v>32</v>
      </c>
      <c r="B10" s="130">
        <f>'5.5'!D27</f>
        <v>9400.2080000000005</v>
      </c>
      <c r="C10" s="318">
        <f>'5.5'!E27</f>
        <v>45161.02098999999</v>
      </c>
      <c r="D10" s="130">
        <f>'5.5'!F27</f>
        <v>494478.88763800001</v>
      </c>
      <c r="E10" s="312">
        <f t="shared" si="0"/>
        <v>4.6742125087526253E-2</v>
      </c>
      <c r="F10" s="337">
        <f>'5.5'!H27</f>
        <v>-3.2655950082933836E-2</v>
      </c>
      <c r="G10" s="335">
        <v>0.43548387096774194</v>
      </c>
      <c r="H10" s="330">
        <v>9.5</v>
      </c>
      <c r="I10" s="330">
        <v>-8.5</v>
      </c>
      <c r="J10" s="330">
        <v>-0.38387096774193558</v>
      </c>
      <c r="K10" s="329">
        <v>0.81935483870967751</v>
      </c>
    </row>
    <row r="11" spans="1:11" ht="15.95" customHeight="1">
      <c r="A11" s="160" t="s">
        <v>3</v>
      </c>
      <c r="B11" s="315">
        <f>SUM(B7:B10)</f>
        <v>2781281.2080000001</v>
      </c>
      <c r="C11" s="319">
        <f t="shared" ref="C11:E11" si="1">SUM(C7:C10)</f>
        <v>966173.89357960108</v>
      </c>
      <c r="D11" s="315">
        <f t="shared" si="1"/>
        <v>10527768.60263104</v>
      </c>
      <c r="E11" s="316">
        <f t="shared" si="1"/>
        <v>1</v>
      </c>
      <c r="F11" s="338">
        <f>'5.1'!H28</f>
        <v>-0.16844497424424276</v>
      </c>
      <c r="G11" s="336">
        <v>0.43548387096774194</v>
      </c>
      <c r="H11" s="334">
        <v>9.5</v>
      </c>
      <c r="I11" s="334">
        <v>-8.5</v>
      </c>
      <c r="J11" s="334">
        <v>-0.38387096774193558</v>
      </c>
      <c r="K11" s="333">
        <v>0.81935483870967751</v>
      </c>
    </row>
    <row r="12" spans="1:11" ht="15" customHeight="1">
      <c r="A12" s="102"/>
      <c r="B12" s="95"/>
      <c r="C12" s="500" t="s">
        <v>243</v>
      </c>
      <c r="D12" s="500"/>
      <c r="E12" s="500"/>
      <c r="F12" s="500"/>
      <c r="G12" s="503" t="s">
        <v>244</v>
      </c>
      <c r="H12" s="503"/>
      <c r="I12" s="503"/>
      <c r="J12" s="503"/>
      <c r="K12" s="503"/>
    </row>
    <row r="13" spans="1:11" ht="15" customHeight="1">
      <c r="A13" s="95"/>
      <c r="B13" s="95"/>
      <c r="C13" s="500"/>
      <c r="D13" s="500"/>
      <c r="E13" s="500"/>
      <c r="F13" s="500"/>
      <c r="G13" s="503" t="s">
        <v>245</v>
      </c>
      <c r="H13" s="503"/>
      <c r="I13" s="503"/>
      <c r="J13" s="503"/>
      <c r="K13" s="503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504" t="s">
        <v>275</v>
      </c>
      <c r="B16" s="504"/>
      <c r="C16" s="504"/>
      <c r="D16" s="504"/>
      <c r="E16" s="504"/>
      <c r="F16" s="504" t="s">
        <v>276</v>
      </c>
      <c r="G16" s="504"/>
      <c r="H16" s="504"/>
      <c r="I16" s="504"/>
      <c r="J16" s="504"/>
      <c r="K16" s="504"/>
    </row>
    <row r="17" spans="1:11" ht="15" customHeight="1">
      <c r="A17" s="504"/>
      <c r="B17" s="504"/>
      <c r="C17" s="504"/>
      <c r="D17" s="504"/>
      <c r="E17" s="504"/>
      <c r="F17" s="504"/>
      <c r="G17" s="504"/>
      <c r="H17" s="504"/>
      <c r="I17" s="504"/>
      <c r="J17" s="504"/>
      <c r="K17" s="504"/>
    </row>
    <row r="18" spans="1:11" ht="15" customHeight="1">
      <c r="A18" s="121"/>
      <c r="B18" s="501"/>
      <c r="C18" s="501"/>
      <c r="D18" s="121"/>
      <c r="E18" s="121"/>
      <c r="F18" s="121"/>
      <c r="G18" s="121"/>
      <c r="H18" s="501"/>
      <c r="I18" s="501"/>
      <c r="J18" s="121"/>
      <c r="K18" s="121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04" t="s">
        <v>277</v>
      </c>
      <c r="B33" s="467"/>
      <c r="C33" s="467"/>
      <c r="D33" s="467"/>
      <c r="E33" s="467"/>
      <c r="F33" s="504" t="s">
        <v>66</v>
      </c>
      <c r="G33" s="504"/>
      <c r="H33" s="504"/>
      <c r="I33" s="504"/>
      <c r="J33" s="504"/>
      <c r="K33" s="504"/>
    </row>
    <row r="34" spans="1:11" ht="15" customHeight="1">
      <c r="A34" s="467"/>
      <c r="B34" s="467"/>
      <c r="C34" s="467"/>
      <c r="D34" s="467"/>
      <c r="E34" s="467"/>
      <c r="F34" s="504"/>
      <c r="G34" s="504"/>
      <c r="H34" s="504"/>
      <c r="I34" s="504"/>
      <c r="J34" s="504"/>
      <c r="K34" s="504"/>
    </row>
    <row r="35" spans="1:11" ht="15" customHeight="1">
      <c r="A35" s="121"/>
      <c r="B35" s="501"/>
      <c r="C35" s="501"/>
      <c r="D35" s="121"/>
      <c r="E35" s="122"/>
      <c r="F35" s="128"/>
      <c r="G35" s="128"/>
      <c r="H35" s="502"/>
      <c r="I35" s="502"/>
      <c r="J35" s="128"/>
      <c r="K35" s="128"/>
    </row>
    <row r="36" spans="1:11" ht="15" customHeight="1">
      <c r="A36" s="121"/>
      <c r="B36" s="121"/>
      <c r="C36" s="121"/>
      <c r="D36" s="121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A2:B2"/>
    <mergeCell ref="C4:F4"/>
    <mergeCell ref="A3:K3"/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492" t="str">
        <f>"5.9 Spotřeba zemního plynu a teplota ovzduší: "&amp;(A3)</f>
        <v>5.9 Spotřeba zemního plynu a teplota ovzduší: IV. čtvrtletí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ht="6" customHeight="1">
      <c r="A2" s="496"/>
      <c r="B2" s="496"/>
      <c r="C2" s="305"/>
      <c r="D2" s="306"/>
      <c r="E2" s="307"/>
      <c r="F2" s="307"/>
      <c r="G2" s="307"/>
      <c r="H2" s="307"/>
      <c r="I2" s="76"/>
      <c r="J2" s="76"/>
      <c r="K2" s="76"/>
    </row>
    <row r="3" spans="1:11" ht="18.75" customHeight="1">
      <c r="A3" s="499" t="str">
        <f>'3.1'!G5</f>
        <v>IV. čtvrtletí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</row>
    <row r="4" spans="1:11" ht="24.95" customHeight="1">
      <c r="A4" s="129"/>
      <c r="B4" s="257">
        <f>'3.1'!A4</f>
        <v>2022</v>
      </c>
      <c r="C4" s="493" t="s">
        <v>60</v>
      </c>
      <c r="D4" s="494"/>
      <c r="E4" s="494"/>
      <c r="F4" s="495"/>
      <c r="G4" s="493" t="s">
        <v>187</v>
      </c>
      <c r="H4" s="494"/>
      <c r="I4" s="494"/>
      <c r="J4" s="494"/>
      <c r="K4" s="494"/>
    </row>
    <row r="5" spans="1:11" ht="22.5" customHeight="1">
      <c r="A5" s="277"/>
      <c r="B5" s="497" t="s">
        <v>186</v>
      </c>
      <c r="C5" s="350"/>
      <c r="D5" s="351"/>
      <c r="E5" s="507" t="s">
        <v>281</v>
      </c>
      <c r="F5" s="508" t="s">
        <v>284</v>
      </c>
      <c r="G5" s="352" t="s">
        <v>62</v>
      </c>
      <c r="H5" s="353" t="s">
        <v>174</v>
      </c>
      <c r="I5" s="353" t="s">
        <v>175</v>
      </c>
      <c r="J5" s="353" t="s">
        <v>282</v>
      </c>
      <c r="K5" s="353" t="s">
        <v>283</v>
      </c>
    </row>
    <row r="6" spans="1:11" ht="24.95" customHeight="1">
      <c r="A6" s="354" t="s">
        <v>285</v>
      </c>
      <c r="B6" s="498"/>
      <c r="C6" s="224" t="s">
        <v>263</v>
      </c>
      <c r="D6" s="222" t="s">
        <v>264</v>
      </c>
      <c r="E6" s="464"/>
      <c r="F6" s="498"/>
      <c r="G6" s="355" t="s">
        <v>232</v>
      </c>
      <c r="H6" s="356" t="s">
        <v>232</v>
      </c>
      <c r="I6" s="356" t="s">
        <v>232</v>
      </c>
      <c r="J6" s="356" t="s">
        <v>232</v>
      </c>
      <c r="K6" s="356" t="s">
        <v>232</v>
      </c>
    </row>
    <row r="7" spans="1:11" ht="15.95" customHeight="1">
      <c r="A7" s="155" t="s">
        <v>20</v>
      </c>
      <c r="B7" s="130">
        <f>'5.2'!D34</f>
        <v>407438</v>
      </c>
      <c r="C7" s="318">
        <f>'5.2'!E34</f>
        <v>246006.00839783126</v>
      </c>
      <c r="D7" s="130">
        <f>'5.2'!F34</f>
        <v>2692945.9702619431</v>
      </c>
      <c r="E7" s="312">
        <f>C7/$C$11</f>
        <v>0.11097562908082599</v>
      </c>
      <c r="F7" s="337">
        <f>'5.2'!H34</f>
        <v>-0.18496159628587189</v>
      </c>
      <c r="G7" s="335">
        <f>AVERAGE('5.6'!G7,'5.7'!G7,'5.8'!G7)</f>
        <v>6.2921146953405005</v>
      </c>
      <c r="H7" s="329">
        <f>MAX('5.6'!H7,'5.7'!H7,'5.8'!H7)</f>
        <v>16.600000000000001</v>
      </c>
      <c r="I7" s="329">
        <f>MIN('5.6'!I7,'5.7'!I7,'5.8'!I7)</f>
        <v>-8.8000000000000007</v>
      </c>
      <c r="J7" s="329">
        <f>AVERAGE('5.6'!J7,'5.7'!J7,'5.8'!J7)</f>
        <v>4.6000000000000014</v>
      </c>
      <c r="K7" s="329">
        <f>G7-J7</f>
        <v>1.6921146953404991</v>
      </c>
    </row>
    <row r="8" spans="1:11" ht="15.95" customHeight="1">
      <c r="A8" s="155" t="s">
        <v>87</v>
      </c>
      <c r="B8" s="130">
        <f>'5.3'!D34</f>
        <v>2251418</v>
      </c>
      <c r="C8" s="318">
        <f>'5.3'!E34</f>
        <v>1771398.4227774946</v>
      </c>
      <c r="D8" s="130">
        <f>'5.3'!F34</f>
        <v>19339254.197830003</v>
      </c>
      <c r="E8" s="312">
        <f t="shared" ref="E8:E10" si="0">C8/$C$11</f>
        <v>0.79909452456384988</v>
      </c>
      <c r="F8" s="337">
        <f>'5.3'!H34</f>
        <v>-0.23800790720985338</v>
      </c>
      <c r="G8" s="335">
        <f>AVERAGE('5.6'!G8,'5.7'!G8,'5.8'!G8)</f>
        <v>5.1343249701314209</v>
      </c>
      <c r="H8" s="330">
        <f>MAX('5.6'!H8,'5.7'!H8,'5.8'!H8)</f>
        <v>14.949999999999998</v>
      </c>
      <c r="I8" s="330">
        <f>MIN('5.6'!I8,'5.7'!I8,'5.8'!I8)</f>
        <v>-8.2666666666666675</v>
      </c>
      <c r="J8" s="330">
        <f>AVERAGE('5.6'!J8,'5.7'!J8,'5.8'!J8)</f>
        <v>3.6277777777777795</v>
      </c>
      <c r="K8" s="329">
        <f t="shared" ref="K8:K11" si="1">G8-J8</f>
        <v>1.5065471923536413</v>
      </c>
    </row>
    <row r="9" spans="1:11" ht="15.95" customHeight="1">
      <c r="A9" s="155" t="s">
        <v>213</v>
      </c>
      <c r="B9" s="130">
        <f>'5.4'!D34</f>
        <v>113025</v>
      </c>
      <c r="C9" s="318">
        <f>'5.4'!E34</f>
        <v>87092.998000000007</v>
      </c>
      <c r="D9" s="130">
        <f>'5.4'!F34</f>
        <v>950412.59982999985</v>
      </c>
      <c r="E9" s="312">
        <f t="shared" si="0"/>
        <v>3.9288472279729598E-2</v>
      </c>
      <c r="F9" s="337">
        <f>'5.4'!H34</f>
        <v>-0.21394352465735209</v>
      </c>
      <c r="G9" s="335">
        <f>AVERAGE('5.6'!G9,'5.7'!G9,'5.8'!G9)</f>
        <v>5.0399641577060921</v>
      </c>
      <c r="H9" s="330">
        <f>MAX('5.6'!H9,'5.7'!H9,'5.8'!H9)</f>
        <v>14.9</v>
      </c>
      <c r="I9" s="330">
        <f>MIN('5.6'!I9,'5.7'!I9,'5.8'!I9)</f>
        <v>-9.8000000000000007</v>
      </c>
      <c r="J9" s="330">
        <f>AVERAGE('5.6'!J9,'5.7'!J9,'5.8'!J9)</f>
        <v>3.0000000000000004</v>
      </c>
      <c r="K9" s="329">
        <f t="shared" si="1"/>
        <v>2.0399641577060916</v>
      </c>
    </row>
    <row r="10" spans="1:11" ht="15.95" customHeight="1">
      <c r="A10" s="155" t="s">
        <v>32</v>
      </c>
      <c r="B10" s="130">
        <f>'5.5'!D34</f>
        <v>9400.2080000000005</v>
      </c>
      <c r="C10" s="318">
        <f>'5.5'!E34</f>
        <v>112259.62311999999</v>
      </c>
      <c r="D10" s="130">
        <f>'5.5'!F34</f>
        <v>1229914.2675410002</v>
      </c>
      <c r="E10" s="312">
        <f t="shared" si="0"/>
        <v>5.0641374075594589E-2</v>
      </c>
      <c r="F10" s="337">
        <f>'5.5'!H34</f>
        <v>7.2613071666092557E-3</v>
      </c>
      <c r="G10" s="335">
        <f>AVERAGE('5.6'!G10,'5.7'!G10,'5.8'!G10)</f>
        <v>5.1531899641577068</v>
      </c>
      <c r="H10" s="330">
        <f>MAX('5.6'!H10,'5.7'!H10,'5.8'!H10)</f>
        <v>14.9</v>
      </c>
      <c r="I10" s="330">
        <f>MIN('5.6'!I10,'5.7'!I10,'5.8'!I10)</f>
        <v>-8.5</v>
      </c>
      <c r="J10" s="330">
        <f>AVERAGE('5.6'!J10,'5.7'!J10,'5.8'!J10)</f>
        <v>3.83921146953405</v>
      </c>
      <c r="K10" s="329">
        <f t="shared" si="1"/>
        <v>1.3139784946236568</v>
      </c>
    </row>
    <row r="11" spans="1:11" ht="15.95" customHeight="1">
      <c r="A11" s="160" t="s">
        <v>3</v>
      </c>
      <c r="B11" s="315">
        <f>'5.1'!D35</f>
        <v>2781281.2080000001</v>
      </c>
      <c r="C11" s="319">
        <f>'5.1'!E35</f>
        <v>2216757.0522953258</v>
      </c>
      <c r="D11" s="315">
        <f>'5.1'!F35</f>
        <v>24212527.035462946</v>
      </c>
      <c r="E11" s="316">
        <f t="shared" ref="E11" si="2">SUM(E7:E10)</f>
        <v>1.0000000000000002</v>
      </c>
      <c r="F11" s="338">
        <f>'5.1'!H35</f>
        <v>-0.22185613478418889</v>
      </c>
      <c r="G11" s="336">
        <f>AVERAGE('5.6'!G11,'5.7'!G11,'5.8'!G11)</f>
        <v>5.1531899641577068</v>
      </c>
      <c r="H11" s="334">
        <f>MAX('5.6'!H11,'5.7'!H11,'5.8'!H11)</f>
        <v>14.9</v>
      </c>
      <c r="I11" s="334">
        <f>MIN('5.6'!I11,'5.7'!I11,'5.8'!I11)</f>
        <v>-8.5</v>
      </c>
      <c r="J11" s="334">
        <f>AVERAGE('5.6'!J11,'5.7'!J11,'5.8'!J11)</f>
        <v>3.83921146953405</v>
      </c>
      <c r="K11" s="333">
        <f t="shared" si="1"/>
        <v>1.3139784946236568</v>
      </c>
    </row>
    <row r="12" spans="1:11" ht="15" customHeight="1">
      <c r="A12" s="102"/>
      <c r="B12" s="95"/>
      <c r="C12" s="500" t="s">
        <v>243</v>
      </c>
      <c r="D12" s="500"/>
      <c r="E12" s="500"/>
      <c r="F12" s="500"/>
      <c r="G12" s="503" t="s">
        <v>244</v>
      </c>
      <c r="H12" s="503"/>
      <c r="I12" s="503"/>
      <c r="J12" s="503"/>
      <c r="K12" s="503"/>
    </row>
    <row r="13" spans="1:11" ht="15" customHeight="1">
      <c r="A13" s="95"/>
      <c r="B13" s="95"/>
      <c r="C13" s="500"/>
      <c r="D13" s="500"/>
      <c r="E13" s="500"/>
      <c r="F13" s="500"/>
      <c r="G13" s="503" t="s">
        <v>245</v>
      </c>
      <c r="H13" s="503"/>
      <c r="I13" s="503"/>
      <c r="J13" s="503"/>
      <c r="K13" s="503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504" t="s">
        <v>275</v>
      </c>
      <c r="B16" s="504"/>
      <c r="C16" s="504"/>
      <c r="D16" s="504"/>
      <c r="E16" s="504"/>
      <c r="F16" s="504" t="s">
        <v>276</v>
      </c>
      <c r="G16" s="504"/>
      <c r="H16" s="504"/>
      <c r="I16" s="504"/>
      <c r="J16" s="504"/>
      <c r="K16" s="504"/>
    </row>
    <row r="17" spans="1:11" ht="15" customHeight="1">
      <c r="A17" s="504"/>
      <c r="B17" s="504"/>
      <c r="C17" s="504"/>
      <c r="D17" s="504"/>
      <c r="E17" s="504"/>
      <c r="F17" s="504"/>
      <c r="G17" s="504"/>
      <c r="H17" s="504"/>
      <c r="I17" s="504"/>
      <c r="J17" s="504"/>
      <c r="K17" s="504"/>
    </row>
    <row r="18" spans="1:11" ht="15" customHeight="1">
      <c r="A18" s="121"/>
      <c r="B18" s="506"/>
      <c r="C18" s="506"/>
      <c r="D18" s="121"/>
      <c r="E18" s="121"/>
      <c r="F18" s="121"/>
      <c r="G18" s="121"/>
      <c r="H18" s="506"/>
      <c r="I18" s="506"/>
      <c r="J18" s="121"/>
      <c r="K18" s="121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04" t="s">
        <v>277</v>
      </c>
      <c r="B33" s="467"/>
      <c r="C33" s="467"/>
      <c r="D33" s="467"/>
      <c r="E33" s="467"/>
      <c r="F33" s="504" t="s">
        <v>66</v>
      </c>
      <c r="G33" s="504"/>
      <c r="H33" s="504"/>
      <c r="I33" s="504"/>
      <c r="J33" s="504"/>
      <c r="K33" s="504"/>
    </row>
    <row r="34" spans="1:11" ht="15" customHeight="1">
      <c r="A34" s="467"/>
      <c r="B34" s="467"/>
      <c r="C34" s="467"/>
      <c r="D34" s="467"/>
      <c r="E34" s="467"/>
      <c r="F34" s="504"/>
      <c r="G34" s="504"/>
      <c r="H34" s="504"/>
      <c r="I34" s="504"/>
      <c r="J34" s="504"/>
      <c r="K34" s="504"/>
    </row>
    <row r="35" spans="1:11" ht="15" customHeight="1">
      <c r="A35" s="121"/>
      <c r="B35" s="506"/>
      <c r="C35" s="506"/>
      <c r="D35" s="121"/>
      <c r="E35" s="122"/>
      <c r="F35" s="128"/>
      <c r="G35" s="128"/>
      <c r="H35" s="505"/>
      <c r="I35" s="505"/>
      <c r="J35" s="128"/>
      <c r="K35" s="128"/>
    </row>
    <row r="36" spans="1:11" ht="15" customHeight="1">
      <c r="A36" s="121"/>
      <c r="B36" s="121"/>
      <c r="C36" s="121"/>
      <c r="D36" s="121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C4:F4"/>
    <mergeCell ref="A2:B2"/>
    <mergeCell ref="A1:K1"/>
    <mergeCell ref="G4:K4"/>
    <mergeCell ref="A3:K3"/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5.85546875" style="47" customWidth="1"/>
    <col min="2" max="2" width="90.28515625" style="46" customWidth="1"/>
    <col min="3" max="3" width="3.28515625" style="47" bestFit="1" customWidth="1"/>
    <col min="4" max="4" width="9.140625" style="47" customWidth="1"/>
    <col min="5" max="5" width="9.140625" style="47" hidden="1" customWidth="1"/>
    <col min="6" max="16384" width="9.140625" style="47"/>
  </cols>
  <sheetData>
    <row r="1" spans="1:5" ht="20.25">
      <c r="A1" s="69" t="s">
        <v>247</v>
      </c>
    </row>
    <row r="2" spans="1:5" ht="6" customHeight="1"/>
    <row r="3" spans="1:5" ht="15">
      <c r="A3" s="376" t="str">
        <f>MID(E3,1,1+IF(MID(E3,2,1)&lt;&gt;" ",IF(MID(E3,3,1)&lt;&gt;" ",IF(MID(E3,4,1)&lt;&gt;" ",3,2),1),0))</f>
        <v>1</v>
      </c>
      <c r="B3" s="377" t="str">
        <f>MID(E3,3+IF(MID(E3,2,1)&lt;&gt;" ",IF(MID(E3,3,1)&lt;&gt;" ",IF(MID(E3,4,1)&lt;&gt;" ",3,2),1),0),100)</f>
        <v>ZKRATKY A POJMY</v>
      </c>
      <c r="C3" s="48">
        <v>4</v>
      </c>
      <c r="E3" s="49" t="str">
        <f>'1'!A1</f>
        <v>1 ZKRATKY A POJMY</v>
      </c>
    </row>
    <row r="4" spans="1:5" ht="15">
      <c r="A4" s="376" t="str">
        <f t="shared" ref="A4:A36" si="0">MID(E4,1,1+IF(MID(E4,2,1)&lt;&gt;" ",IF(MID(E4,3,1)&lt;&gt;" ",IF(MID(E4,4,1)&lt;&gt;" ",3,2),1),0))</f>
        <v>2</v>
      </c>
      <c r="B4" s="377" t="str">
        <f t="shared" ref="B4:B36" si="1">MID(E4,3+IF(MID(E4,2,1)&lt;&gt;" ",IF(MID(E4,3,1)&lt;&gt;" ",IF(MID(E4,4,1)&lt;&gt;" ",3,2),1),0),100)</f>
        <v>STRUČNÝ PŘEHLED ZA IV. ČTVRTLETÍ 2022</v>
      </c>
      <c r="C4" s="48">
        <v>6</v>
      </c>
      <c r="E4" s="49" t="str">
        <f>'2'!A1</f>
        <v>2 STRUČNÝ PŘEHLED ZA IV. ČTVRTLETÍ 2022</v>
      </c>
    </row>
    <row r="5" spans="1:5" ht="15">
      <c r="A5" s="376" t="str">
        <f t="shared" si="0"/>
        <v>3</v>
      </c>
      <c r="B5" s="377" t="str">
        <f t="shared" si="1"/>
        <v>PLYNÁRENSKÁ SOUSTAVA</v>
      </c>
      <c r="C5" s="48">
        <v>7</v>
      </c>
      <c r="E5" s="49" t="str">
        <f>'3.1'!A1</f>
        <v>3 PLYNÁRENSKÁ SOUSTAVA</v>
      </c>
    </row>
    <row r="6" spans="1:5" ht="15">
      <c r="A6" s="376" t="str">
        <f t="shared" si="0"/>
        <v>3.1</v>
      </c>
      <c r="B6" s="377" t="str">
        <f t="shared" si="1"/>
        <v>Čtvrtletní bilance plynárenské soustavy ČR</v>
      </c>
      <c r="C6" s="48">
        <v>7</v>
      </c>
      <c r="E6" s="50" t="str">
        <f>'3.1'!A2</f>
        <v>3.1 Čtvrtletní bilance plynárenské soustavy ČR</v>
      </c>
    </row>
    <row r="7" spans="1:5" ht="15">
      <c r="A7" s="376" t="str">
        <f t="shared" si="0"/>
        <v>3.2</v>
      </c>
      <c r="B7" s="377" t="str">
        <f t="shared" si="1"/>
        <v>Bilance plynárenské soustavy ČR v průběhu roku</v>
      </c>
      <c r="C7" s="48">
        <v>8</v>
      </c>
      <c r="E7" s="50" t="str">
        <f>'3.2'!A1</f>
        <v>3.2 Bilance plynárenské soustavy ČR v průběhu roku</v>
      </c>
    </row>
    <row r="8" spans="1:5" ht="15">
      <c r="A8" s="376" t="str">
        <f t="shared" si="0"/>
        <v>4</v>
      </c>
      <c r="B8" s="377" t="str">
        <f t="shared" si="1"/>
        <v>SPOTŘEBA ZEMNÍHO PLYNU</v>
      </c>
      <c r="C8" s="48">
        <v>9</v>
      </c>
      <c r="E8" s="49" t="str">
        <f>'4.1'!A1</f>
        <v>4 SPOTŘEBA ZEMNÍHO PLYNU</v>
      </c>
    </row>
    <row r="9" spans="1:5" ht="15">
      <c r="A9" s="376" t="str">
        <f t="shared" si="0"/>
        <v>4.1</v>
      </c>
      <c r="B9" s="377" t="str">
        <f t="shared" si="1"/>
        <v>Spotřeba zemního plynu v ČR v průběhu roku</v>
      </c>
      <c r="C9" s="48">
        <v>9</v>
      </c>
      <c r="E9" s="49" t="str">
        <f>'4.1'!A2</f>
        <v>4.1 Spotřeba zemního plynu v ČR v průběhu roku</v>
      </c>
    </row>
    <row r="10" spans="1:5" ht="15">
      <c r="A10" s="376" t="str">
        <f t="shared" si="0"/>
        <v>4.2</v>
      </c>
      <c r="B10" s="377" t="str">
        <f t="shared" si="1"/>
        <v>Spotřeba zemního plynu v ČR podle kategorií zákazníků v průběhu roku</v>
      </c>
      <c r="C10" s="48">
        <v>10</v>
      </c>
      <c r="E10" s="50" t="str">
        <f>'4.2'!A1</f>
        <v>4.2 Spotřeba zemního plynu v ČR podle kategorií zákazníků v průběhu roku</v>
      </c>
    </row>
    <row r="11" spans="1:5" ht="15">
      <c r="A11" s="376" t="str">
        <f t="shared" si="0"/>
        <v>4.3</v>
      </c>
      <c r="B11" s="377" t="str">
        <f t="shared" si="1"/>
        <v>Denní průběh spotřeb zemního plynu v ČR</v>
      </c>
      <c r="C11" s="48">
        <v>11</v>
      </c>
      <c r="E11" s="50" t="str">
        <f>'4.3'!A1</f>
        <v>4.3 Denní průběh spotřeb zemního plynu v ČR</v>
      </c>
    </row>
    <row r="12" spans="1:5" ht="15">
      <c r="A12" s="376" t="str">
        <f t="shared" si="0"/>
        <v>5</v>
      </c>
      <c r="B12" s="377" t="str">
        <f t="shared" si="1"/>
        <v>SPOTŘEBA ZEMNÍHO PLYNU PODLE DISTRIBUČNÍCH SOUSTAV</v>
      </c>
      <c r="C12" s="48">
        <v>12</v>
      </c>
      <c r="E12" s="49" t="str">
        <f>'5.1'!A1</f>
        <v>5 SPOTŘEBA ZEMNÍHO PLYNU PODLE DISTRIBUČNÍCH SOUSTAV</v>
      </c>
    </row>
    <row r="13" spans="1:5" ht="15">
      <c r="A13" s="376" t="str">
        <f t="shared" si="0"/>
        <v>5.1</v>
      </c>
      <c r="B13" s="377" t="str">
        <f t="shared" si="1"/>
        <v>Spotřeba zemního plynu podle kategorií zákazníků v ČR</v>
      </c>
      <c r="C13" s="48">
        <v>12</v>
      </c>
      <c r="E13" s="50" t="str">
        <f>'5.1'!A2</f>
        <v>5.1 Spotřeba zemního plynu podle kategorií zákazníků v ČR</v>
      </c>
    </row>
    <row r="14" spans="1:5" ht="15">
      <c r="A14" s="376" t="str">
        <f t="shared" si="0"/>
        <v>5.2</v>
      </c>
      <c r="B14" s="377" t="str">
        <f t="shared" si="1"/>
        <v>Spotřeba zemního plynu u společnosti PP Distribuce</v>
      </c>
      <c r="C14" s="48">
        <v>13</v>
      </c>
      <c r="E14" s="51" t="str">
        <f>'5.2'!A1</f>
        <v>5.2 Spotřeba zemního plynu u společnosti PP Distribuce</v>
      </c>
    </row>
    <row r="15" spans="1:5" ht="15">
      <c r="A15" s="376" t="str">
        <f t="shared" si="0"/>
        <v>5.3</v>
      </c>
      <c r="B15" s="377" t="str">
        <f t="shared" si="1"/>
        <v>Spotřeba zemního plynu u společnosti GasNet</v>
      </c>
      <c r="C15" s="48">
        <v>14</v>
      </c>
      <c r="E15" s="52" t="str">
        <f>'5.3'!A1</f>
        <v>5.3 Spotřeba zemního plynu u společnosti GasNet</v>
      </c>
    </row>
    <row r="16" spans="1:5" ht="15">
      <c r="A16" s="376" t="str">
        <f t="shared" si="0"/>
        <v>5.4</v>
      </c>
      <c r="B16" s="377" t="str">
        <f t="shared" si="1"/>
        <v>Spotřeba zemního plynu u společnosti EG.D</v>
      </c>
      <c r="C16" s="48">
        <v>15</v>
      </c>
      <c r="E16" s="52" t="str">
        <f>'5.4'!A1</f>
        <v>5.4 Spotřeba zemního plynu u společnosti EG.D</v>
      </c>
    </row>
    <row r="17" spans="1:5" ht="15">
      <c r="A17" s="376" t="str">
        <f t="shared" si="0"/>
        <v>5.5</v>
      </c>
      <c r="B17" s="377" t="str">
        <f t="shared" si="1"/>
        <v>Spotřeba zemního plynu u ostatních společností</v>
      </c>
      <c r="C17" s="48">
        <v>16</v>
      </c>
      <c r="E17" s="52" t="str">
        <f>'5.5'!A1</f>
        <v>5.5 Spotřeba zemního plynu u ostatních společností</v>
      </c>
    </row>
    <row r="18" spans="1:5" ht="15">
      <c r="A18" s="376" t="str">
        <f t="shared" si="0"/>
        <v>5.6</v>
      </c>
      <c r="B18" s="377" t="str">
        <f t="shared" si="1"/>
        <v>Spotřeba zemního plynu a teplota ovzduší: říjen</v>
      </c>
      <c r="C18" s="48">
        <v>17</v>
      </c>
      <c r="E18" s="50" t="str">
        <f>'5.6'!A1</f>
        <v>5.6 Spotřeba zemního plynu a teplota ovzduší: říjen</v>
      </c>
    </row>
    <row r="19" spans="1:5" ht="15">
      <c r="A19" s="376" t="str">
        <f t="shared" si="0"/>
        <v>5.7</v>
      </c>
      <c r="B19" s="377" t="str">
        <f t="shared" si="1"/>
        <v>Spotřeba zemního plynu a teplota ovzduší: listopad</v>
      </c>
      <c r="C19" s="48">
        <v>18</v>
      </c>
      <c r="E19" s="50" t="str">
        <f>'5.7'!A1</f>
        <v>5.7 Spotřeba zemního plynu a teplota ovzduší: listopad</v>
      </c>
    </row>
    <row r="20" spans="1:5" ht="15">
      <c r="A20" s="376" t="str">
        <f t="shared" si="0"/>
        <v>5.8</v>
      </c>
      <c r="B20" s="377" t="str">
        <f t="shared" si="1"/>
        <v>Spotřeba zemního plynu a teplota ovzduší: prosinec</v>
      </c>
      <c r="C20" s="48">
        <v>19</v>
      </c>
      <c r="E20" s="50" t="str">
        <f>'5.8'!A1</f>
        <v>5.8 Spotřeba zemního plynu a teplota ovzduší: prosinec</v>
      </c>
    </row>
    <row r="21" spans="1:5" ht="15">
      <c r="A21" s="376" t="str">
        <f t="shared" si="0"/>
        <v>5.9</v>
      </c>
      <c r="B21" s="377" t="str">
        <f t="shared" si="1"/>
        <v>Spotřeba zemního plynu a teplota ovzduší: IV. čtvrtletí</v>
      </c>
      <c r="C21" s="48">
        <v>20</v>
      </c>
      <c r="E21" s="50" t="str">
        <f>'5.9'!A1</f>
        <v>5.9 Spotřeba zemního plynu a teplota ovzduší: IV. čtvrtletí</v>
      </c>
    </row>
    <row r="22" spans="1:5" ht="15">
      <c r="A22" s="376" t="str">
        <f t="shared" si="0"/>
        <v>5.10</v>
      </c>
      <c r="B22" s="377" t="str">
        <f t="shared" si="1"/>
        <v>Spotřeba zemního plynu podle plynárenských soustav v průběhu roku</v>
      </c>
      <c r="C22" s="48">
        <v>21</v>
      </c>
      <c r="E22" s="50" t="str">
        <f>'5.10'!A1</f>
        <v>5.10 Spotřeba zemního plynu podle plynárenských soustav v průběhu roku</v>
      </c>
    </row>
    <row r="23" spans="1:5" ht="15">
      <c r="A23" s="376" t="str">
        <f t="shared" si="0"/>
        <v>6</v>
      </c>
      <c r="B23" s="377" t="str">
        <f t="shared" si="1"/>
        <v>SPOTŘEBA ZEMNÍHO PLYNU PODLE KRAJŮ</v>
      </c>
      <c r="C23" s="48">
        <v>22</v>
      </c>
      <c r="E23" s="49" t="str">
        <f>'6.1'!A1</f>
        <v>6 SPOTŘEBA ZEMNÍHO PLYNU PODLE KRAJŮ</v>
      </c>
    </row>
    <row r="24" spans="1:5" ht="15">
      <c r="A24" s="376" t="str">
        <f t="shared" si="0"/>
        <v>6.1</v>
      </c>
      <c r="B24" s="377" t="str">
        <f t="shared" si="1"/>
        <v>Spotřeba zemního plynu: Jihočeský a Jihomoravský kraj</v>
      </c>
      <c r="C24" s="48">
        <v>22</v>
      </c>
      <c r="E24" s="50" t="str">
        <f>'6.1'!A2</f>
        <v>6.1 Spotřeba zemního plynu: Jihočeský a Jihomoravský kraj</v>
      </c>
    </row>
    <row r="25" spans="1:5" ht="15">
      <c r="A25" s="376" t="str">
        <f t="shared" si="0"/>
        <v>6.2</v>
      </c>
      <c r="B25" s="377" t="str">
        <f t="shared" si="1"/>
        <v>Spotřeba zemního plynu: Karlovarský a Královéhradecký kraj</v>
      </c>
      <c r="C25" s="48">
        <v>23</v>
      </c>
      <c r="E25" s="50" t="str">
        <f>'6.2'!A1</f>
        <v>6.2 Spotřeba zemního plynu: Karlovarský a Královéhradecký kraj</v>
      </c>
    </row>
    <row r="26" spans="1:5" ht="15">
      <c r="A26" s="376" t="str">
        <f t="shared" si="0"/>
        <v>6.3</v>
      </c>
      <c r="B26" s="377" t="str">
        <f t="shared" si="1"/>
        <v>Spotřeba zemního plynu: Liberecký a Moravskoslezský kraj</v>
      </c>
      <c r="C26" s="48">
        <v>24</v>
      </c>
      <c r="E26" s="50" t="str">
        <f>'6.3'!A1</f>
        <v>6.3 Spotřeba zemního plynu: Liberecký a Moravskoslezský kraj</v>
      </c>
    </row>
    <row r="27" spans="1:5" ht="15">
      <c r="A27" s="376" t="str">
        <f t="shared" si="0"/>
        <v>6.4</v>
      </c>
      <c r="B27" s="377" t="str">
        <f t="shared" si="1"/>
        <v>Spotřeba zemního plynu: Olomoucký a Pardubický kraj</v>
      </c>
      <c r="C27" s="48">
        <v>25</v>
      </c>
      <c r="E27" s="50" t="str">
        <f>'6.4'!A1</f>
        <v>6.4 Spotřeba zemního plynu: Olomoucký a Pardubický kraj</v>
      </c>
    </row>
    <row r="28" spans="1:5" ht="15">
      <c r="A28" s="376" t="str">
        <f t="shared" si="0"/>
        <v>6.5</v>
      </c>
      <c r="B28" s="377" t="str">
        <f t="shared" si="1"/>
        <v>Spotřeba zemního plynu: Plzeňský kraj a Hlavní město Praha</v>
      </c>
      <c r="C28" s="48">
        <v>26</v>
      </c>
      <c r="E28" s="50" t="str">
        <f>'6.5'!A1</f>
        <v>6.5 Spotřeba zemního plynu: Plzeňský kraj a Hlavní město Praha</v>
      </c>
    </row>
    <row r="29" spans="1:5" ht="15">
      <c r="A29" s="376" t="str">
        <f t="shared" si="0"/>
        <v>6.6</v>
      </c>
      <c r="B29" s="377" t="str">
        <f t="shared" si="1"/>
        <v>Spotřeba zemního plynu: Středočeský a Ústecký kraj</v>
      </c>
      <c r="C29" s="48">
        <v>27</v>
      </c>
      <c r="E29" s="50" t="str">
        <f>'6.6'!A1</f>
        <v>6.6 Spotřeba zemního plynu: Středočeský a Ústecký kraj</v>
      </c>
    </row>
    <row r="30" spans="1:5" ht="15">
      <c r="A30" s="376" t="str">
        <f t="shared" si="0"/>
        <v>6.7</v>
      </c>
      <c r="B30" s="377" t="str">
        <f t="shared" si="1"/>
        <v>Spotřeba zemního plynu: Kraj Vysočina a Zlínský kraj</v>
      </c>
      <c r="C30" s="48">
        <v>28</v>
      </c>
      <c r="E30" s="50" t="str">
        <f>'6.7'!A1</f>
        <v>6.7 Spotřeba zemního plynu: Kraj Vysočina a Zlínský kraj</v>
      </c>
    </row>
    <row r="31" spans="1:5" ht="15">
      <c r="A31" s="376" t="str">
        <f t="shared" si="0"/>
        <v>6.8</v>
      </c>
      <c r="B31" s="377" t="str">
        <f t="shared" si="1"/>
        <v>Spotřeba zemního plynu a teplota ovzduší podle krajů: říjen</v>
      </c>
      <c r="C31" s="48">
        <v>29</v>
      </c>
      <c r="E31" s="50" t="str">
        <f>'6.8'!A1</f>
        <v>6.8 Spotřeba zemního plynu a teplota ovzduší podle krajů: říjen</v>
      </c>
    </row>
    <row r="32" spans="1:5" ht="15">
      <c r="A32" s="376" t="str">
        <f t="shared" si="0"/>
        <v>6.9</v>
      </c>
      <c r="B32" s="377" t="str">
        <f t="shared" si="1"/>
        <v>Spotřeba zemního plynu a teplota ovzduší podle krajů: listopad</v>
      </c>
      <c r="C32" s="48">
        <v>30</v>
      </c>
      <c r="E32" s="50" t="str">
        <f>'6.9'!A1</f>
        <v>6.9 Spotřeba zemního plynu a teplota ovzduší podle krajů: listopad</v>
      </c>
    </row>
    <row r="33" spans="1:5" ht="15">
      <c r="A33" s="376" t="str">
        <f t="shared" si="0"/>
        <v>6.10</v>
      </c>
      <c r="B33" s="377" t="str">
        <f t="shared" si="1"/>
        <v>Spotřeba zemního plynu a teplota ovzduší podle krajů: prosinec</v>
      </c>
      <c r="C33" s="48">
        <v>31</v>
      </c>
      <c r="E33" s="50" t="str">
        <f>'6.10'!A1</f>
        <v>6.10 Spotřeba zemního plynu a teplota ovzduší podle krajů: prosinec</v>
      </c>
    </row>
    <row r="34" spans="1:5" ht="15">
      <c r="A34" s="376" t="str">
        <f t="shared" si="0"/>
        <v>6.11</v>
      </c>
      <c r="B34" s="377" t="str">
        <f t="shared" si="1"/>
        <v>Spotřeba zemního plynu a teplota ovzduší podle krajů: IV. čtvrtletí</v>
      </c>
      <c r="C34" s="48">
        <v>32</v>
      </c>
      <c r="E34" s="50" t="str">
        <f>'6.11'!A1</f>
        <v>6.11 Spotřeba zemního plynu a teplota ovzduší podle krajů: IV. čtvrtletí</v>
      </c>
    </row>
    <row r="35" spans="1:5" ht="15">
      <c r="A35" s="376" t="str">
        <f t="shared" si="0"/>
        <v>6.12</v>
      </c>
      <c r="B35" s="377" t="str">
        <f t="shared" si="1"/>
        <v>Spotřeba zemního plynu podle krajů v ČR v průběhu roku</v>
      </c>
      <c r="C35" s="48">
        <v>33</v>
      </c>
      <c r="E35" s="50" t="str">
        <f>'6.12'!A1</f>
        <v>6.12 Spotřeba zemního plynu podle krajů v ČR v průběhu roku</v>
      </c>
    </row>
    <row r="36" spans="1:5" ht="15">
      <c r="A36" s="376" t="str">
        <f t="shared" si="0"/>
        <v>7</v>
      </c>
      <c r="B36" s="377" t="str">
        <f t="shared" si="1"/>
        <v>MAPA PLYNÁRENSKÉ SOUSTAVY ČR</v>
      </c>
      <c r="C36" s="48">
        <v>35</v>
      </c>
      <c r="E36" s="49" t="str">
        <f>'7'!A1</f>
        <v>7 MAPA PLYNÁRENSKÉ SOUSTAVY ČR</v>
      </c>
    </row>
    <row r="37" spans="1:5" ht="12" customHeight="1">
      <c r="B37" s="53"/>
    </row>
    <row r="38" spans="1:5" ht="12" customHeight="1">
      <c r="B38" s="53"/>
    </row>
    <row r="39" spans="1:5" ht="12" customHeight="1">
      <c r="B39" s="53"/>
    </row>
    <row r="40" spans="1:5" ht="12" customHeight="1">
      <c r="B40" s="53"/>
    </row>
    <row r="41" spans="1:5" ht="12" customHeight="1"/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2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9.7109375" style="12" customWidth="1"/>
    <col min="2" max="10" width="8.85546875" style="12" customWidth="1"/>
    <col min="11" max="11" width="9" style="12" customWidth="1"/>
    <col min="12" max="12" width="9.28515625" style="12" bestFit="1" customWidth="1"/>
    <col min="13" max="13" width="11.42578125" style="12" bestFit="1" customWidth="1"/>
    <col min="14" max="252" width="9.140625" style="12"/>
    <col min="253" max="265" width="10.7109375" style="12" customWidth="1"/>
    <col min="266" max="508" width="9.140625" style="12"/>
    <col min="509" max="521" width="10.7109375" style="12" customWidth="1"/>
    <col min="522" max="764" width="9.140625" style="12"/>
    <col min="765" max="777" width="10.7109375" style="12" customWidth="1"/>
    <col min="778" max="1020" width="9.140625" style="12"/>
    <col min="1021" max="1033" width="10.7109375" style="12" customWidth="1"/>
    <col min="1034" max="1276" width="9.140625" style="12"/>
    <col min="1277" max="1289" width="10.7109375" style="12" customWidth="1"/>
    <col min="1290" max="1532" width="9.140625" style="12"/>
    <col min="1533" max="1545" width="10.7109375" style="12" customWidth="1"/>
    <col min="1546" max="1788" width="9.140625" style="12"/>
    <col min="1789" max="1801" width="10.7109375" style="12" customWidth="1"/>
    <col min="1802" max="2044" width="9.140625" style="12"/>
    <col min="2045" max="2057" width="10.7109375" style="12" customWidth="1"/>
    <col min="2058" max="2300" width="9.140625" style="12"/>
    <col min="2301" max="2313" width="10.7109375" style="12" customWidth="1"/>
    <col min="2314" max="2556" width="9.140625" style="12"/>
    <col min="2557" max="2569" width="10.7109375" style="12" customWidth="1"/>
    <col min="2570" max="2812" width="9.140625" style="12"/>
    <col min="2813" max="2825" width="10.7109375" style="12" customWidth="1"/>
    <col min="2826" max="3068" width="9.140625" style="12"/>
    <col min="3069" max="3081" width="10.7109375" style="12" customWidth="1"/>
    <col min="3082" max="3324" width="9.140625" style="12"/>
    <col min="3325" max="3337" width="10.7109375" style="12" customWidth="1"/>
    <col min="3338" max="3580" width="9.140625" style="12"/>
    <col min="3581" max="3593" width="10.7109375" style="12" customWidth="1"/>
    <col min="3594" max="3836" width="9.140625" style="12"/>
    <col min="3837" max="3849" width="10.7109375" style="12" customWidth="1"/>
    <col min="3850" max="4092" width="9.140625" style="12"/>
    <col min="4093" max="4105" width="10.7109375" style="12" customWidth="1"/>
    <col min="4106" max="4348" width="9.140625" style="12"/>
    <col min="4349" max="4361" width="10.7109375" style="12" customWidth="1"/>
    <col min="4362" max="4604" width="9.140625" style="12"/>
    <col min="4605" max="4617" width="10.7109375" style="12" customWidth="1"/>
    <col min="4618" max="4860" width="9.140625" style="12"/>
    <col min="4861" max="4873" width="10.7109375" style="12" customWidth="1"/>
    <col min="4874" max="5116" width="9.140625" style="12"/>
    <col min="5117" max="5129" width="10.7109375" style="12" customWidth="1"/>
    <col min="5130" max="5372" width="9.140625" style="12"/>
    <col min="5373" max="5385" width="10.7109375" style="12" customWidth="1"/>
    <col min="5386" max="5628" width="9.140625" style="12"/>
    <col min="5629" max="5641" width="10.7109375" style="12" customWidth="1"/>
    <col min="5642" max="5884" width="9.140625" style="12"/>
    <col min="5885" max="5897" width="10.7109375" style="12" customWidth="1"/>
    <col min="5898" max="6140" width="9.140625" style="12"/>
    <col min="6141" max="6153" width="10.7109375" style="12" customWidth="1"/>
    <col min="6154" max="6396" width="9.140625" style="12"/>
    <col min="6397" max="6409" width="10.7109375" style="12" customWidth="1"/>
    <col min="6410" max="6652" width="9.140625" style="12"/>
    <col min="6653" max="6665" width="10.7109375" style="12" customWidth="1"/>
    <col min="6666" max="6908" width="9.140625" style="12"/>
    <col min="6909" max="6921" width="10.7109375" style="12" customWidth="1"/>
    <col min="6922" max="7164" width="9.140625" style="12"/>
    <col min="7165" max="7177" width="10.7109375" style="12" customWidth="1"/>
    <col min="7178" max="7420" width="9.140625" style="12"/>
    <col min="7421" max="7433" width="10.7109375" style="12" customWidth="1"/>
    <col min="7434" max="7676" width="9.140625" style="12"/>
    <col min="7677" max="7689" width="10.7109375" style="12" customWidth="1"/>
    <col min="7690" max="7932" width="9.140625" style="12"/>
    <col min="7933" max="7945" width="10.7109375" style="12" customWidth="1"/>
    <col min="7946" max="8188" width="9.140625" style="12"/>
    <col min="8189" max="8201" width="10.7109375" style="12" customWidth="1"/>
    <col min="8202" max="8444" width="9.140625" style="12"/>
    <col min="8445" max="8457" width="10.7109375" style="12" customWidth="1"/>
    <col min="8458" max="8700" width="9.140625" style="12"/>
    <col min="8701" max="8713" width="10.7109375" style="12" customWidth="1"/>
    <col min="8714" max="8956" width="9.140625" style="12"/>
    <col min="8957" max="8969" width="10.7109375" style="12" customWidth="1"/>
    <col min="8970" max="9212" width="9.140625" style="12"/>
    <col min="9213" max="9225" width="10.7109375" style="12" customWidth="1"/>
    <col min="9226" max="9468" width="9.140625" style="12"/>
    <col min="9469" max="9481" width="10.7109375" style="12" customWidth="1"/>
    <col min="9482" max="9724" width="9.140625" style="12"/>
    <col min="9725" max="9737" width="10.7109375" style="12" customWidth="1"/>
    <col min="9738" max="9980" width="9.140625" style="12"/>
    <col min="9981" max="9993" width="10.7109375" style="12" customWidth="1"/>
    <col min="9994" max="10236" width="9.140625" style="12"/>
    <col min="10237" max="10249" width="10.7109375" style="12" customWidth="1"/>
    <col min="10250" max="10492" width="9.140625" style="12"/>
    <col min="10493" max="10505" width="10.7109375" style="12" customWidth="1"/>
    <col min="10506" max="10748" width="9.140625" style="12"/>
    <col min="10749" max="10761" width="10.7109375" style="12" customWidth="1"/>
    <col min="10762" max="11004" width="9.140625" style="12"/>
    <col min="11005" max="11017" width="10.7109375" style="12" customWidth="1"/>
    <col min="11018" max="11260" width="9.140625" style="12"/>
    <col min="11261" max="11273" width="10.7109375" style="12" customWidth="1"/>
    <col min="11274" max="11516" width="9.140625" style="12"/>
    <col min="11517" max="11529" width="10.7109375" style="12" customWidth="1"/>
    <col min="11530" max="11772" width="9.140625" style="12"/>
    <col min="11773" max="11785" width="10.7109375" style="12" customWidth="1"/>
    <col min="11786" max="12028" width="9.140625" style="12"/>
    <col min="12029" max="12041" width="10.7109375" style="12" customWidth="1"/>
    <col min="12042" max="12284" width="9.140625" style="12"/>
    <col min="12285" max="12297" width="10.7109375" style="12" customWidth="1"/>
    <col min="12298" max="12540" width="9.140625" style="12"/>
    <col min="12541" max="12553" width="10.7109375" style="12" customWidth="1"/>
    <col min="12554" max="12796" width="9.140625" style="12"/>
    <col min="12797" max="12809" width="10.7109375" style="12" customWidth="1"/>
    <col min="12810" max="13052" width="9.140625" style="12"/>
    <col min="13053" max="13065" width="10.7109375" style="12" customWidth="1"/>
    <col min="13066" max="13308" width="9.140625" style="12"/>
    <col min="13309" max="13321" width="10.7109375" style="12" customWidth="1"/>
    <col min="13322" max="13564" width="9.140625" style="12"/>
    <col min="13565" max="13577" width="10.7109375" style="12" customWidth="1"/>
    <col min="13578" max="13820" width="9.140625" style="12"/>
    <col min="13821" max="13833" width="10.7109375" style="12" customWidth="1"/>
    <col min="13834" max="14076" width="9.140625" style="12"/>
    <col min="14077" max="14089" width="10.7109375" style="12" customWidth="1"/>
    <col min="14090" max="14332" width="9.140625" style="12"/>
    <col min="14333" max="14345" width="10.7109375" style="12" customWidth="1"/>
    <col min="14346" max="14588" width="9.140625" style="12"/>
    <col min="14589" max="14601" width="10.7109375" style="12" customWidth="1"/>
    <col min="14602" max="14844" width="9.140625" style="12"/>
    <col min="14845" max="14857" width="10.7109375" style="12" customWidth="1"/>
    <col min="14858" max="15100" width="9.140625" style="12"/>
    <col min="15101" max="15113" width="10.7109375" style="12" customWidth="1"/>
    <col min="15114" max="15356" width="9.140625" style="12"/>
    <col min="15357" max="15369" width="10.7109375" style="12" customWidth="1"/>
    <col min="15370" max="15612" width="9.140625" style="12"/>
    <col min="15613" max="15625" width="10.7109375" style="12" customWidth="1"/>
    <col min="15626" max="15868" width="9.140625" style="12"/>
    <col min="15869" max="15881" width="10.7109375" style="12" customWidth="1"/>
    <col min="15882" max="16124" width="9.140625" style="12"/>
    <col min="16125" max="16137" width="10.7109375" style="12" customWidth="1"/>
    <col min="16138" max="16384" width="9.140625" style="12"/>
  </cols>
  <sheetData>
    <row r="1" spans="1:15" ht="18">
      <c r="A1" s="438" t="s">
        <v>304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</row>
    <row r="2" spans="1:15" ht="6" customHeight="1">
      <c r="A2" s="510"/>
      <c r="B2" s="511"/>
      <c r="C2" s="511"/>
      <c r="D2" s="511"/>
      <c r="E2" s="511"/>
      <c r="F2" s="511"/>
      <c r="G2" s="511"/>
      <c r="H2" s="511"/>
      <c r="I2" s="511"/>
      <c r="J2" s="209"/>
      <c r="K2" s="208"/>
    </row>
    <row r="3" spans="1:15" ht="20.100000000000001" customHeight="1">
      <c r="A3" s="341">
        <f>'3.1'!A4</f>
        <v>2022</v>
      </c>
      <c r="B3" s="444" t="s">
        <v>278</v>
      </c>
      <c r="C3" s="447"/>
      <c r="D3" s="447"/>
      <c r="E3" s="447"/>
      <c r="F3" s="446"/>
      <c r="G3" s="444" t="s">
        <v>279</v>
      </c>
      <c r="H3" s="447"/>
      <c r="I3" s="447"/>
      <c r="J3" s="447"/>
      <c r="K3" s="447"/>
    </row>
    <row r="4" spans="1:15" ht="67.5" customHeight="1">
      <c r="A4" s="342"/>
      <c r="B4" s="343" t="s">
        <v>83</v>
      </c>
      <c r="C4" s="239" t="s">
        <v>89</v>
      </c>
      <c r="D4" s="239" t="s">
        <v>214</v>
      </c>
      <c r="E4" s="239" t="s">
        <v>84</v>
      </c>
      <c r="F4" s="344" t="s">
        <v>82</v>
      </c>
      <c r="G4" s="343" t="s">
        <v>83</v>
      </c>
      <c r="H4" s="239" t="s">
        <v>89</v>
      </c>
      <c r="I4" s="239" t="s">
        <v>214</v>
      </c>
      <c r="J4" s="239" t="s">
        <v>84</v>
      </c>
      <c r="K4" s="239" t="s">
        <v>82</v>
      </c>
    </row>
    <row r="5" spans="1:15" ht="18" customHeight="1">
      <c r="A5" s="177" t="s">
        <v>161</v>
      </c>
      <c r="B5" s="245">
        <v>130387.01038711204</v>
      </c>
      <c r="C5" s="240">
        <v>910406.18678079627</v>
      </c>
      <c r="D5" s="241">
        <v>44984.639000000003</v>
      </c>
      <c r="E5" s="241">
        <v>48484.997029999999</v>
      </c>
      <c r="F5" s="247">
        <v>1134262.8331979082</v>
      </c>
      <c r="G5" s="339">
        <v>1394340.13053</v>
      </c>
      <c r="H5" s="241">
        <v>9725046.5487500001</v>
      </c>
      <c r="I5" s="241">
        <v>480281.85199000005</v>
      </c>
      <c r="J5" s="241">
        <v>519121.07809600001</v>
      </c>
      <c r="K5" s="241">
        <v>12118789.609366</v>
      </c>
      <c r="L5" s="56"/>
      <c r="M5" s="57"/>
      <c r="N5" s="57"/>
      <c r="O5" s="57"/>
    </row>
    <row r="6" spans="1:15" ht="18" customHeight="1">
      <c r="A6" s="177" t="s">
        <v>162</v>
      </c>
      <c r="B6" s="245">
        <v>102886.42307283396</v>
      </c>
      <c r="C6" s="241">
        <v>731826.70801090379</v>
      </c>
      <c r="D6" s="241">
        <v>36665.690999999999</v>
      </c>
      <c r="E6" s="241">
        <v>19121.578009999997</v>
      </c>
      <c r="F6" s="247">
        <v>890500.40009373776</v>
      </c>
      <c r="G6" s="339">
        <v>1103405.49288</v>
      </c>
      <c r="H6" s="241">
        <v>7826733.2474999987</v>
      </c>
      <c r="I6" s="241">
        <v>392157.58717999997</v>
      </c>
      <c r="J6" s="241">
        <v>204672.46465800004</v>
      </c>
      <c r="K6" s="241">
        <v>9526968.7922179978</v>
      </c>
      <c r="L6" s="58"/>
      <c r="M6" s="57"/>
      <c r="N6" s="57"/>
      <c r="O6" s="57"/>
    </row>
    <row r="7" spans="1:15" ht="18" customHeight="1">
      <c r="A7" s="180" t="s">
        <v>163</v>
      </c>
      <c r="B7" s="246">
        <v>100232.52548318211</v>
      </c>
      <c r="C7" s="244">
        <v>737192.34386151319</v>
      </c>
      <c r="D7" s="244">
        <v>36894.07</v>
      </c>
      <c r="E7" s="244">
        <v>48300.553089999994</v>
      </c>
      <c r="F7" s="248">
        <v>922619.49243469513</v>
      </c>
      <c r="G7" s="340">
        <v>1081827.962102833</v>
      </c>
      <c r="H7" s="244">
        <v>7911417.8751699999</v>
      </c>
      <c r="I7" s="244">
        <v>394441.46036000003</v>
      </c>
      <c r="J7" s="244">
        <v>521766.69561699999</v>
      </c>
      <c r="K7" s="244">
        <v>9909453.9932498317</v>
      </c>
      <c r="L7" s="59"/>
      <c r="M7" s="57"/>
      <c r="N7" s="57"/>
      <c r="O7" s="57"/>
    </row>
    <row r="8" spans="1:15" ht="18" customHeight="1">
      <c r="A8" s="177" t="s">
        <v>164</v>
      </c>
      <c r="B8" s="245">
        <v>74550.468344230554</v>
      </c>
      <c r="C8" s="241">
        <v>563107.41134476836</v>
      </c>
      <c r="D8" s="241">
        <v>28310.621999999999</v>
      </c>
      <c r="E8" s="241">
        <v>5393.6479199999985</v>
      </c>
      <c r="F8" s="247">
        <v>671362.14960899891</v>
      </c>
      <c r="G8" s="339">
        <v>809197.09410390782</v>
      </c>
      <c r="H8" s="241">
        <v>6068092.2070999993</v>
      </c>
      <c r="I8" s="241">
        <v>302456.97045000002</v>
      </c>
      <c r="J8" s="241">
        <v>58237.643868999992</v>
      </c>
      <c r="K8" s="241">
        <v>7237983.9155229069</v>
      </c>
      <c r="L8" s="58"/>
      <c r="M8" s="57"/>
      <c r="N8" s="57"/>
      <c r="O8" s="57"/>
    </row>
    <row r="9" spans="1:15" ht="18" customHeight="1">
      <c r="A9" s="177" t="s">
        <v>165</v>
      </c>
      <c r="B9" s="245">
        <v>27622.192440521852</v>
      </c>
      <c r="C9" s="241">
        <v>313816.78660389746</v>
      </c>
      <c r="D9" s="241">
        <v>14858.406010000001</v>
      </c>
      <c r="E9" s="241">
        <v>32598.787099999994</v>
      </c>
      <c r="F9" s="247">
        <v>388896.1721544193</v>
      </c>
      <c r="G9" s="339">
        <v>298028.07840497722</v>
      </c>
      <c r="H9" s="241">
        <v>3371927.8527900004</v>
      </c>
      <c r="I9" s="241">
        <v>158931.53100000002</v>
      </c>
      <c r="J9" s="241">
        <v>350769.83049399994</v>
      </c>
      <c r="K9" s="241">
        <v>4179657.2926889779</v>
      </c>
      <c r="L9" s="58"/>
      <c r="M9" s="57"/>
      <c r="N9" s="57"/>
      <c r="O9" s="57"/>
    </row>
    <row r="10" spans="1:15" ht="18" customHeight="1">
      <c r="A10" s="180" t="s">
        <v>166</v>
      </c>
      <c r="B10" s="246">
        <v>19349.489106876652</v>
      </c>
      <c r="C10" s="244">
        <v>259233.16487017696</v>
      </c>
      <c r="D10" s="244">
        <v>11605.965</v>
      </c>
      <c r="E10" s="244">
        <v>46165.875899999999</v>
      </c>
      <c r="F10" s="248">
        <v>336354.4948770536</v>
      </c>
      <c r="G10" s="340">
        <v>211928.35232301572</v>
      </c>
      <c r="H10" s="244">
        <v>2807945.5085899993</v>
      </c>
      <c r="I10" s="244">
        <v>124974.32594999998</v>
      </c>
      <c r="J10" s="244">
        <v>504675.23211399995</v>
      </c>
      <c r="K10" s="244">
        <v>3649523.4189770147</v>
      </c>
      <c r="L10" s="58"/>
      <c r="M10" s="57"/>
      <c r="N10" s="57"/>
      <c r="O10" s="57"/>
    </row>
    <row r="11" spans="1:15" ht="18" customHeight="1">
      <c r="A11" s="177" t="s">
        <v>167</v>
      </c>
      <c r="B11" s="245">
        <v>18843.73768136169</v>
      </c>
      <c r="C11" s="241">
        <v>235294.93843617072</v>
      </c>
      <c r="D11" s="241">
        <v>10145.726989999999</v>
      </c>
      <c r="E11" s="241">
        <v>24284.807100000005</v>
      </c>
      <c r="F11" s="247">
        <v>288569.21020753239</v>
      </c>
      <c r="G11" s="339">
        <v>206302.80620599553</v>
      </c>
      <c r="H11" s="241">
        <v>2557611.5410199999</v>
      </c>
      <c r="I11" s="241">
        <v>109754.00306999999</v>
      </c>
      <c r="J11" s="241">
        <v>265297.35359300009</v>
      </c>
      <c r="K11" s="241">
        <v>3138965.7038889956</v>
      </c>
      <c r="L11" s="58"/>
      <c r="M11" s="57"/>
      <c r="N11" s="57"/>
      <c r="O11" s="57"/>
    </row>
    <row r="12" spans="1:15" ht="18" customHeight="1">
      <c r="A12" s="177" t="s">
        <v>168</v>
      </c>
      <c r="B12" s="245">
        <v>18444.496195747073</v>
      </c>
      <c r="C12" s="241">
        <v>237313.06780265464</v>
      </c>
      <c r="D12" s="241">
        <v>10659.31</v>
      </c>
      <c r="E12" s="241">
        <v>44687.840100000001</v>
      </c>
      <c r="F12" s="247">
        <v>311104.71409840172</v>
      </c>
      <c r="G12" s="339">
        <v>201105.41613698474</v>
      </c>
      <c r="H12" s="241">
        <v>2574977.5773</v>
      </c>
      <c r="I12" s="241">
        <v>115844.40463999999</v>
      </c>
      <c r="J12" s="241">
        <v>485694.99824200012</v>
      </c>
      <c r="K12" s="241">
        <v>3377622.3963189847</v>
      </c>
      <c r="L12" s="58"/>
      <c r="M12" s="57"/>
      <c r="N12" s="57"/>
      <c r="O12" s="57"/>
    </row>
    <row r="13" spans="1:15" ht="18" customHeight="1">
      <c r="A13" s="180" t="s">
        <v>169</v>
      </c>
      <c r="B13" s="246">
        <v>29906.473419748214</v>
      </c>
      <c r="C13" s="244">
        <v>303570.78524278855</v>
      </c>
      <c r="D13" s="244">
        <v>15230.959989999999</v>
      </c>
      <c r="E13" s="244">
        <v>34649.741989999995</v>
      </c>
      <c r="F13" s="248">
        <v>383357.96064253675</v>
      </c>
      <c r="G13" s="340">
        <v>329065.85467596835</v>
      </c>
      <c r="H13" s="244">
        <v>3320011.0652700001</v>
      </c>
      <c r="I13" s="244">
        <v>165664.25393000001</v>
      </c>
      <c r="J13" s="244">
        <v>380548.499282</v>
      </c>
      <c r="K13" s="244">
        <v>4195289.6731579686</v>
      </c>
      <c r="L13" s="58"/>
      <c r="M13" s="57"/>
      <c r="N13" s="57"/>
      <c r="O13" s="57"/>
    </row>
    <row r="14" spans="1:15" ht="18" customHeight="1">
      <c r="A14" s="177" t="s">
        <v>170</v>
      </c>
      <c r="B14" s="245">
        <v>46754.81879759211</v>
      </c>
      <c r="C14" s="241">
        <v>405364.86610641831</v>
      </c>
      <c r="D14" s="241">
        <v>19198.521990000001</v>
      </c>
      <c r="E14" s="241">
        <v>36294.282039999998</v>
      </c>
      <c r="F14" s="247">
        <v>507612.48893401044</v>
      </c>
      <c r="G14" s="339">
        <v>512715.32120299287</v>
      </c>
      <c r="H14" s="241">
        <v>4442680.9384799991</v>
      </c>
      <c r="I14" s="241">
        <v>210256.99593000003</v>
      </c>
      <c r="J14" s="241">
        <v>398009.51487800007</v>
      </c>
      <c r="K14" s="241">
        <v>5563662.7704909919</v>
      </c>
      <c r="L14" s="58"/>
      <c r="M14" s="57"/>
      <c r="N14" s="57"/>
      <c r="O14" s="57"/>
    </row>
    <row r="15" spans="1:15" ht="18" customHeight="1">
      <c r="A15" s="177" t="s">
        <v>171</v>
      </c>
      <c r="B15" s="245">
        <v>83652.864691224648</v>
      </c>
      <c r="C15" s="241">
        <v>598773.13900048996</v>
      </c>
      <c r="D15" s="241">
        <v>29740.346000000001</v>
      </c>
      <c r="E15" s="241">
        <v>30804.320090000001</v>
      </c>
      <c r="F15" s="247">
        <v>742970.66978171468</v>
      </c>
      <c r="G15" s="339">
        <v>916317.20715591172</v>
      </c>
      <c r="H15" s="241">
        <v>6543496.2298900001</v>
      </c>
      <c r="I15" s="241">
        <v>323856.36027000006</v>
      </c>
      <c r="J15" s="241">
        <v>337425.86502500001</v>
      </c>
      <c r="K15" s="241">
        <v>8121095.6623409111</v>
      </c>
      <c r="L15" s="58"/>
      <c r="M15" s="57"/>
      <c r="N15" s="57"/>
      <c r="O15" s="57"/>
    </row>
    <row r="16" spans="1:15" ht="18" customHeight="1">
      <c r="A16" s="180" t="s">
        <v>172</v>
      </c>
      <c r="B16" s="246">
        <v>115598.32490901448</v>
      </c>
      <c r="C16" s="244">
        <v>767260.41767058661</v>
      </c>
      <c r="D16" s="244">
        <v>38154.130010000001</v>
      </c>
      <c r="E16" s="244">
        <v>45161.02098999999</v>
      </c>
      <c r="F16" s="248">
        <v>966173.89357960108</v>
      </c>
      <c r="G16" s="340">
        <v>1263913.4419030391</v>
      </c>
      <c r="H16" s="244">
        <v>8353077.0294600008</v>
      </c>
      <c r="I16" s="244">
        <v>416299.24363000004</v>
      </c>
      <c r="J16" s="244">
        <v>494478.88763800001</v>
      </c>
      <c r="K16" s="244">
        <v>10527768.60263104</v>
      </c>
      <c r="L16" s="58"/>
      <c r="M16" s="57"/>
      <c r="N16" s="57"/>
      <c r="O16" s="57"/>
    </row>
    <row r="17" spans="1:11" ht="18" customHeight="1">
      <c r="A17" s="177" t="s">
        <v>48</v>
      </c>
      <c r="B17" s="245">
        <f>SUM(B5:B7)</f>
        <v>333505.95894312812</v>
      </c>
      <c r="C17" s="240">
        <f>SUM(C5:C7)</f>
        <v>2379425.2386532133</v>
      </c>
      <c r="D17" s="240">
        <f t="shared" ref="D17:J17" si="0">SUM(D5:D7)</f>
        <v>118544.4</v>
      </c>
      <c r="E17" s="240">
        <f t="shared" si="0"/>
        <v>115907.12813</v>
      </c>
      <c r="F17" s="249">
        <f t="shared" si="0"/>
        <v>2947382.7257263409</v>
      </c>
      <c r="G17" s="245">
        <f t="shared" si="0"/>
        <v>3579573.5855128327</v>
      </c>
      <c r="H17" s="240">
        <f t="shared" si="0"/>
        <v>25463197.67142</v>
      </c>
      <c r="I17" s="240">
        <f t="shared" si="0"/>
        <v>1266880.8995300001</v>
      </c>
      <c r="J17" s="240">
        <f t="shared" si="0"/>
        <v>1245560.2383710002</v>
      </c>
      <c r="K17" s="240">
        <f>SUM(K5:K7)</f>
        <v>31555212.394833833</v>
      </c>
    </row>
    <row r="18" spans="1:11" ht="18" customHeight="1">
      <c r="A18" s="177" t="s">
        <v>56</v>
      </c>
      <c r="B18" s="245">
        <f>SUM(B8:B10)</f>
        <v>121522.14989162906</v>
      </c>
      <c r="C18" s="240">
        <f>SUM(C8:C10)</f>
        <v>1136157.3628188428</v>
      </c>
      <c r="D18" s="240">
        <f t="shared" ref="D18:J18" si="1">SUM(D8:D10)</f>
        <v>54774.993010000006</v>
      </c>
      <c r="E18" s="240">
        <f t="shared" si="1"/>
        <v>84158.310919999989</v>
      </c>
      <c r="F18" s="249">
        <f t="shared" si="1"/>
        <v>1396612.8166404718</v>
      </c>
      <c r="G18" s="245">
        <f t="shared" si="1"/>
        <v>1319153.5248319008</v>
      </c>
      <c r="H18" s="240">
        <f t="shared" si="1"/>
        <v>12247965.56848</v>
      </c>
      <c r="I18" s="240">
        <f t="shared" si="1"/>
        <v>586362.82740000007</v>
      </c>
      <c r="J18" s="240">
        <f t="shared" si="1"/>
        <v>913682.70647699991</v>
      </c>
      <c r="K18" s="240">
        <f>SUM(K8:K10)</f>
        <v>15067164.627188899</v>
      </c>
    </row>
    <row r="19" spans="1:11" ht="18" customHeight="1">
      <c r="A19" s="177" t="s">
        <v>63</v>
      </c>
      <c r="B19" s="245">
        <f>SUM(B11:B13)</f>
        <v>67194.707296856985</v>
      </c>
      <c r="C19" s="240">
        <f>SUM(C11:C13)</f>
        <v>776178.79148161388</v>
      </c>
      <c r="D19" s="240">
        <f t="shared" ref="D19:J19" si="2">SUM(D11:D13)</f>
        <v>36035.996979999996</v>
      </c>
      <c r="E19" s="240">
        <f t="shared" si="2"/>
        <v>103622.38919</v>
      </c>
      <c r="F19" s="249">
        <f t="shared" si="2"/>
        <v>983031.88494847086</v>
      </c>
      <c r="G19" s="245">
        <f t="shared" si="2"/>
        <v>736474.07701894862</v>
      </c>
      <c r="H19" s="240">
        <f t="shared" si="2"/>
        <v>8452600.1835899986</v>
      </c>
      <c r="I19" s="240">
        <f t="shared" si="2"/>
        <v>391262.66164000001</v>
      </c>
      <c r="J19" s="240">
        <f t="shared" si="2"/>
        <v>1131540.8511170002</v>
      </c>
      <c r="K19" s="240">
        <f>SUM(K11:K13)</f>
        <v>10711877.773365948</v>
      </c>
    </row>
    <row r="20" spans="1:11" ht="18" customHeight="1">
      <c r="A20" s="180" t="s">
        <v>57</v>
      </c>
      <c r="B20" s="246">
        <f>SUM(B14:B16)</f>
        <v>246006.00839783123</v>
      </c>
      <c r="C20" s="243">
        <f>SUM(C14:C16)</f>
        <v>1771398.4227774949</v>
      </c>
      <c r="D20" s="243">
        <f t="shared" ref="D20:J20" si="3">SUM(D14:D16)</f>
        <v>87092.997999999992</v>
      </c>
      <c r="E20" s="243">
        <f t="shared" si="3"/>
        <v>112259.62311999999</v>
      </c>
      <c r="F20" s="395">
        <f t="shared" si="3"/>
        <v>2216757.0522953263</v>
      </c>
      <c r="G20" s="246">
        <f t="shared" si="3"/>
        <v>2692945.9702619435</v>
      </c>
      <c r="H20" s="243">
        <f t="shared" si="3"/>
        <v>19339254.197829999</v>
      </c>
      <c r="I20" s="243">
        <f t="shared" si="3"/>
        <v>950412.59983000008</v>
      </c>
      <c r="J20" s="243">
        <f t="shared" si="3"/>
        <v>1229914.2675410002</v>
      </c>
      <c r="K20" s="243">
        <f>SUM(K14:K16)</f>
        <v>24212527.035462942</v>
      </c>
    </row>
    <row r="21" spans="1:11" ht="18" customHeight="1">
      <c r="A21" s="177" t="s">
        <v>58</v>
      </c>
      <c r="B21" s="245">
        <f>SUM(B5:B10)</f>
        <v>455028.10883475718</v>
      </c>
      <c r="C21" s="240">
        <f>SUM(C5:C10)</f>
        <v>3515582.601472056</v>
      </c>
      <c r="D21" s="240">
        <f t="shared" ref="D21:J21" si="4">SUM(D5:D10)</f>
        <v>173319.39301</v>
      </c>
      <c r="E21" s="240">
        <f t="shared" si="4"/>
        <v>200065.43904999999</v>
      </c>
      <c r="F21" s="249">
        <f t="shared" si="4"/>
        <v>4343995.5423668129</v>
      </c>
      <c r="G21" s="245">
        <f t="shared" si="4"/>
        <v>4898727.110344734</v>
      </c>
      <c r="H21" s="240">
        <f t="shared" si="4"/>
        <v>37711163.2399</v>
      </c>
      <c r="I21" s="240">
        <f t="shared" si="4"/>
        <v>1853243.7269299999</v>
      </c>
      <c r="J21" s="240">
        <f t="shared" si="4"/>
        <v>2159242.9448480001</v>
      </c>
      <c r="K21" s="240">
        <f>SUM(K5:K10)</f>
        <v>46622377.022022732</v>
      </c>
    </row>
    <row r="22" spans="1:11" ht="18" customHeight="1">
      <c r="A22" s="180" t="s">
        <v>59</v>
      </c>
      <c r="B22" s="246">
        <f>SUM(B11:B16)</f>
        <v>313200.71569468826</v>
      </c>
      <c r="C22" s="243">
        <f>SUM(C11:C16)</f>
        <v>2547577.2142591085</v>
      </c>
      <c r="D22" s="243">
        <f t="shared" ref="D22:J22" si="5">SUM(D11:D16)</f>
        <v>123128.99497999999</v>
      </c>
      <c r="E22" s="243">
        <f t="shared" si="5"/>
        <v>215882.01230999999</v>
      </c>
      <c r="F22" s="395">
        <f t="shared" si="5"/>
        <v>3199788.9372437969</v>
      </c>
      <c r="G22" s="246">
        <f t="shared" si="5"/>
        <v>3429420.0472808918</v>
      </c>
      <c r="H22" s="243">
        <f t="shared" si="5"/>
        <v>27791854.381419998</v>
      </c>
      <c r="I22" s="243">
        <f t="shared" si="5"/>
        <v>1341675.2614700003</v>
      </c>
      <c r="J22" s="243">
        <f t="shared" si="5"/>
        <v>2361455.1186580001</v>
      </c>
      <c r="K22" s="243">
        <f>SUM(K11:K16)</f>
        <v>34924404.80882889</v>
      </c>
    </row>
    <row r="23" spans="1:11" ht="18" customHeight="1">
      <c r="A23" s="218" t="s">
        <v>173</v>
      </c>
      <c r="B23" s="396">
        <f>SUM(B5:B16)</f>
        <v>768228.82452944538</v>
      </c>
      <c r="C23" s="397">
        <f>SUM(C5:C16)</f>
        <v>6063159.8157311641</v>
      </c>
      <c r="D23" s="397">
        <f t="shared" ref="D23:J23" si="6">SUM(D5:D16)</f>
        <v>296448.38799000002</v>
      </c>
      <c r="E23" s="397">
        <f t="shared" si="6"/>
        <v>415947.45136000001</v>
      </c>
      <c r="F23" s="398">
        <f t="shared" si="6"/>
        <v>7543784.4796106098</v>
      </c>
      <c r="G23" s="396">
        <f t="shared" si="6"/>
        <v>8328147.1576256258</v>
      </c>
      <c r="H23" s="397">
        <f t="shared" si="6"/>
        <v>65503017.621319994</v>
      </c>
      <c r="I23" s="397">
        <f t="shared" si="6"/>
        <v>3194918.9884000001</v>
      </c>
      <c r="J23" s="397">
        <f t="shared" si="6"/>
        <v>4520698.0635060007</v>
      </c>
      <c r="K23" s="397">
        <f>SUM(K5:K16)</f>
        <v>81546781.830851614</v>
      </c>
    </row>
    <row r="25" spans="1:11" ht="12" customHeight="1">
      <c r="A25" s="509" t="s">
        <v>280</v>
      </c>
      <c r="B25" s="509"/>
      <c r="C25" s="509"/>
      <c r="D25" s="509"/>
      <c r="E25" s="509"/>
      <c r="F25" s="509"/>
      <c r="G25" s="509"/>
      <c r="H25" s="509"/>
      <c r="I25" s="509"/>
      <c r="J25" s="509"/>
      <c r="K25" s="509"/>
    </row>
    <row r="26" spans="1:11" ht="12" customHeight="1">
      <c r="E26" s="63"/>
      <c r="F26" s="63"/>
      <c r="G26" s="63"/>
      <c r="H26" s="63"/>
    </row>
    <row r="27" spans="1:11" ht="12" customHeight="1">
      <c r="E27" s="63"/>
      <c r="F27" s="63"/>
      <c r="G27" s="63"/>
    </row>
    <row r="28" spans="1:11" ht="12" customHeight="1">
      <c r="E28" s="63"/>
      <c r="F28" s="63"/>
      <c r="G28" s="63"/>
    </row>
    <row r="29" spans="1:11" ht="12" customHeight="1">
      <c r="E29" s="63"/>
      <c r="F29" s="63"/>
      <c r="G29" s="63"/>
    </row>
    <row r="30" spans="1:11" ht="12" customHeight="1">
      <c r="E30" s="63" t="str">
        <f>B4</f>
        <v xml:space="preserve"> PP Distribuce</v>
      </c>
      <c r="F30" s="63" t="str">
        <f t="shared" ref="F30:H30" si="7">C4</f>
        <v xml:space="preserve"> GasNet</v>
      </c>
      <c r="G30" s="63" t="str">
        <f t="shared" si="7"/>
        <v xml:space="preserve"> EG.D</v>
      </c>
      <c r="H30" s="63" t="str">
        <f t="shared" si="7"/>
        <v xml:space="preserve"> Ostatní společnosti</v>
      </c>
    </row>
    <row r="31" spans="1:11" ht="12" customHeight="1">
      <c r="D31" s="12" t="str">
        <f>A17</f>
        <v>I. čtvrtletí</v>
      </c>
      <c r="E31" s="12">
        <f t="shared" ref="E31:H34" si="8">B17</f>
        <v>333505.95894312812</v>
      </c>
      <c r="F31" s="12">
        <f t="shared" si="8"/>
        <v>2379425.2386532133</v>
      </c>
      <c r="G31" s="12">
        <f t="shared" si="8"/>
        <v>118544.4</v>
      </c>
      <c r="H31" s="12">
        <f t="shared" si="8"/>
        <v>115907.12813</v>
      </c>
    </row>
    <row r="32" spans="1:11" ht="12" customHeight="1">
      <c r="D32" s="12" t="str">
        <f t="shared" ref="D32:D34" si="9">A18</f>
        <v>II. čtvrtletí</v>
      </c>
      <c r="E32" s="12">
        <f t="shared" si="8"/>
        <v>121522.14989162906</v>
      </c>
      <c r="F32" s="12">
        <f t="shared" si="8"/>
        <v>1136157.3628188428</v>
      </c>
      <c r="G32" s="12">
        <f t="shared" si="8"/>
        <v>54774.993010000006</v>
      </c>
      <c r="H32" s="12">
        <f t="shared" si="8"/>
        <v>84158.310919999989</v>
      </c>
    </row>
    <row r="33" spans="4:8" ht="12" customHeight="1">
      <c r="D33" s="12" t="str">
        <f t="shared" si="9"/>
        <v>III. čtvrtletí</v>
      </c>
      <c r="E33" s="12">
        <f t="shared" si="8"/>
        <v>67194.707296856985</v>
      </c>
      <c r="F33" s="12">
        <f t="shared" si="8"/>
        <v>776178.79148161388</v>
      </c>
      <c r="G33" s="12">
        <f t="shared" si="8"/>
        <v>36035.996979999996</v>
      </c>
      <c r="H33" s="12">
        <f t="shared" si="8"/>
        <v>103622.38919</v>
      </c>
    </row>
    <row r="34" spans="4:8" ht="12" customHeight="1">
      <c r="D34" s="12" t="str">
        <f t="shared" si="9"/>
        <v>IV. čtvrtletí</v>
      </c>
      <c r="E34" s="12">
        <f t="shared" si="8"/>
        <v>246006.00839783123</v>
      </c>
      <c r="F34" s="12">
        <f t="shared" si="8"/>
        <v>1771398.4227774949</v>
      </c>
      <c r="G34" s="12">
        <f t="shared" si="8"/>
        <v>87092.997999999992</v>
      </c>
      <c r="H34" s="12">
        <f t="shared" si="8"/>
        <v>112259.62311999999</v>
      </c>
    </row>
    <row r="35" spans="4:8" ht="12" customHeight="1">
      <c r="E35" s="63"/>
      <c r="F35" s="63"/>
      <c r="G35" s="63"/>
    </row>
    <row r="36" spans="4:8" ht="12" customHeight="1">
      <c r="E36" s="63"/>
      <c r="F36" s="63"/>
      <c r="G36" s="63"/>
    </row>
    <row r="37" spans="4:8" ht="12" customHeight="1">
      <c r="E37" s="63"/>
      <c r="F37" s="63"/>
      <c r="G37" s="63"/>
    </row>
    <row r="38" spans="4:8" ht="12" customHeight="1"/>
    <row r="39" spans="4:8" ht="12" customHeight="1"/>
    <row r="40" spans="4:8" ht="12" customHeight="1"/>
    <row r="41" spans="4:8" ht="12" customHeight="1"/>
    <row r="42" spans="4:8" ht="12" customHeight="1"/>
  </sheetData>
  <mergeCells count="5">
    <mergeCell ref="A25:K25"/>
    <mergeCell ref="A1:K1"/>
    <mergeCell ref="A2:I2"/>
    <mergeCell ref="B3:F3"/>
    <mergeCell ref="G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8:K18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topLeftCell="A7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39" ht="20.25">
      <c r="A1" s="55" t="s">
        <v>292</v>
      </c>
    </row>
    <row r="2" spans="1:39" s="103" customFormat="1" ht="18">
      <c r="A2" s="492" t="s">
        <v>305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</row>
    <row r="3" spans="1:39" ht="6" customHeight="1">
      <c r="A3" s="512"/>
      <c r="B3" s="512"/>
      <c r="C3" s="512"/>
      <c r="D3" s="305"/>
      <c r="E3" s="305"/>
      <c r="F3" s="306"/>
      <c r="G3" s="307"/>
      <c r="H3" s="307"/>
      <c r="I3" s="307"/>
      <c r="J3" s="76"/>
      <c r="K3" s="76"/>
    </row>
    <row r="4" spans="1:39" ht="12.95" customHeight="1">
      <c r="A4" s="484" t="s">
        <v>35</v>
      </c>
      <c r="B4" s="484"/>
      <c r="C4" s="484"/>
      <c r="D4" s="478">
        <f>'3.1'!A4</f>
        <v>2022</v>
      </c>
      <c r="E4" s="358"/>
      <c r="F4" s="347"/>
      <c r="G4" s="347"/>
      <c r="H4" s="347"/>
      <c r="I4" s="478">
        <f>D4-1</f>
        <v>2021</v>
      </c>
      <c r="J4" s="479"/>
      <c r="K4" s="479"/>
    </row>
    <row r="5" spans="1:39" ht="24.95" customHeight="1">
      <c r="A5" s="359"/>
      <c r="B5" s="359"/>
      <c r="C5" s="359"/>
      <c r="D5" s="480"/>
      <c r="E5" s="360"/>
      <c r="F5" s="361"/>
      <c r="G5" s="361"/>
      <c r="H5" s="362"/>
      <c r="I5" s="480"/>
      <c r="J5" s="481"/>
      <c r="K5" s="481"/>
    </row>
    <row r="6" spans="1:39" ht="24.95" customHeight="1">
      <c r="A6" s="309"/>
      <c r="B6" s="277"/>
      <c r="C6" s="310"/>
      <c r="D6" s="369" t="s">
        <v>160</v>
      </c>
      <c r="E6" s="476" t="s">
        <v>60</v>
      </c>
      <c r="F6" s="476"/>
      <c r="G6" s="477" t="s">
        <v>33</v>
      </c>
      <c r="H6" s="477" t="s">
        <v>272</v>
      </c>
      <c r="I6" s="475" t="s">
        <v>60</v>
      </c>
      <c r="J6" s="476"/>
      <c r="K6" s="477" t="s">
        <v>33</v>
      </c>
    </row>
    <row r="7" spans="1:39" ht="24.95" customHeight="1">
      <c r="A7" s="309"/>
      <c r="B7" s="311"/>
      <c r="D7" s="370"/>
      <c r="E7" s="476"/>
      <c r="F7" s="476"/>
      <c r="G7" s="477"/>
      <c r="H7" s="477"/>
      <c r="I7" s="475"/>
      <c r="J7" s="476"/>
      <c r="K7" s="477"/>
    </row>
    <row r="8" spans="1:39" ht="15" customHeight="1">
      <c r="A8" s="485" t="s">
        <v>159</v>
      </c>
      <c r="B8" s="485"/>
      <c r="C8" s="328" t="s">
        <v>185</v>
      </c>
      <c r="D8" s="348"/>
      <c r="E8" s="222" t="s">
        <v>263</v>
      </c>
      <c r="F8" s="222" t="s">
        <v>264</v>
      </c>
      <c r="G8" s="464"/>
      <c r="H8" s="464"/>
      <c r="I8" s="224" t="s">
        <v>263</v>
      </c>
      <c r="J8" s="222" t="s">
        <v>264</v>
      </c>
      <c r="K8" s="464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</row>
    <row r="9" spans="1:39" ht="11.1" customHeight="1">
      <c r="A9" s="419" t="str">
        <f>'3.1'!D5</f>
        <v>Říjen</v>
      </c>
      <c r="B9" s="419"/>
      <c r="C9" s="165" t="s">
        <v>4</v>
      </c>
      <c r="D9" s="317">
        <v>85</v>
      </c>
      <c r="E9" s="313">
        <v>8133.9728800000003</v>
      </c>
      <c r="F9" s="313">
        <v>89080.830839999995</v>
      </c>
      <c r="G9" s="314">
        <f>E9/$E$14</f>
        <v>0.48418915491359299</v>
      </c>
      <c r="H9" s="314">
        <f>(E9-I9)/I9</f>
        <v>-4.7753864143471159E-2</v>
      </c>
      <c r="I9" s="317">
        <v>8541.88069</v>
      </c>
      <c r="J9" s="313">
        <v>91259.744919999997</v>
      </c>
      <c r="K9" s="314">
        <f>I9/$I$14</f>
        <v>0.34949136831248151</v>
      </c>
      <c r="N9" s="77"/>
      <c r="O9" s="77"/>
      <c r="P9" s="77"/>
      <c r="Q9" s="77"/>
      <c r="R9" s="77"/>
      <c r="S9" s="77"/>
      <c r="T9" s="77"/>
      <c r="U9" s="104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7"/>
      <c r="AG9" s="77"/>
      <c r="AH9" s="77"/>
      <c r="AI9" s="77"/>
      <c r="AJ9" s="77"/>
      <c r="AK9" s="77"/>
      <c r="AL9" s="77"/>
      <c r="AM9" s="94"/>
    </row>
    <row r="10" spans="1:39" ht="11.1" customHeight="1">
      <c r="A10" s="420"/>
      <c r="B10" s="420"/>
      <c r="C10" s="155" t="s">
        <v>5</v>
      </c>
      <c r="D10" s="318">
        <v>292</v>
      </c>
      <c r="E10" s="130">
        <v>2184.9676999999997</v>
      </c>
      <c r="F10" s="130">
        <v>23929.94296</v>
      </c>
      <c r="G10" s="312">
        <f>E10/$E$14</f>
        <v>0.13006407567177639</v>
      </c>
      <c r="H10" s="312">
        <f>(E10-I10)/I10</f>
        <v>-0.47589388291284757</v>
      </c>
      <c r="I10" s="318">
        <v>4168.9414200000001</v>
      </c>
      <c r="J10" s="130">
        <v>44540.24265</v>
      </c>
      <c r="K10" s="312">
        <f>I10/$I$14</f>
        <v>0.17057239432015289</v>
      </c>
      <c r="L10" s="94"/>
      <c r="N10" s="77"/>
      <c r="O10" s="77"/>
      <c r="P10" s="77"/>
      <c r="Q10" s="77"/>
      <c r="R10" s="77"/>
      <c r="S10" s="77"/>
      <c r="T10" s="77"/>
      <c r="U10" s="104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7"/>
      <c r="AG10" s="77"/>
      <c r="AH10" s="77"/>
      <c r="AI10" s="77"/>
      <c r="AJ10" s="77"/>
      <c r="AK10" s="77"/>
      <c r="AL10" s="77"/>
    </row>
    <row r="11" spans="1:39" ht="11.1" customHeight="1">
      <c r="A11" s="420"/>
      <c r="B11" s="420"/>
      <c r="C11" s="155" t="s">
        <v>6</v>
      </c>
      <c r="D11" s="318">
        <v>9565</v>
      </c>
      <c r="E11" s="130">
        <v>2385.6918800000003</v>
      </c>
      <c r="F11" s="130">
        <v>26128.12933</v>
      </c>
      <c r="G11" s="312">
        <f>E11/$E$14</f>
        <v>0.14201253831343252</v>
      </c>
      <c r="H11" s="312">
        <f t="shared" ref="H11:H13" si="0">(E11-I11)/I11</f>
        <v>-0.45500384914978786</v>
      </c>
      <c r="I11" s="318">
        <v>4377.4472100000003</v>
      </c>
      <c r="J11" s="130">
        <v>46767.85007</v>
      </c>
      <c r="K11" s="312">
        <f>I11/$I$14</f>
        <v>0.17910341652624451</v>
      </c>
      <c r="L11" s="94"/>
      <c r="N11" s="77"/>
      <c r="O11" s="77"/>
      <c r="P11" s="77"/>
      <c r="Q11" s="77"/>
      <c r="R11" s="77"/>
      <c r="S11" s="77"/>
      <c r="T11" s="77"/>
      <c r="U11" s="104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7"/>
      <c r="AG11" s="77"/>
      <c r="AH11" s="77"/>
      <c r="AI11" s="77"/>
      <c r="AJ11" s="77"/>
      <c r="AK11" s="77"/>
      <c r="AL11" s="77"/>
    </row>
    <row r="12" spans="1:39" ht="11.1" customHeight="1">
      <c r="A12" s="420"/>
      <c r="B12" s="420"/>
      <c r="C12" s="155" t="s">
        <v>7</v>
      </c>
      <c r="D12" s="318">
        <v>93940</v>
      </c>
      <c r="E12" s="130">
        <v>3787.9632500000002</v>
      </c>
      <c r="F12" s="130">
        <v>41485.902179999997</v>
      </c>
      <c r="G12" s="312">
        <f>E12/$E$14</f>
        <v>0.22548522744290822</v>
      </c>
      <c r="H12" s="312">
        <f t="shared" si="0"/>
        <v>-0.45606395067055272</v>
      </c>
      <c r="I12" s="318">
        <v>6963.9864000000007</v>
      </c>
      <c r="J12" s="130">
        <v>74402.986910000007</v>
      </c>
      <c r="K12" s="312">
        <f>I12/$I$14</f>
        <v>0.28493176434726258</v>
      </c>
      <c r="L12" s="94"/>
      <c r="N12" s="77"/>
      <c r="O12" s="77"/>
      <c r="P12" s="77"/>
      <c r="Q12" s="77"/>
      <c r="R12" s="77"/>
      <c r="S12" s="77"/>
      <c r="T12" s="77"/>
      <c r="U12" s="104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7"/>
      <c r="AG12" s="77"/>
      <c r="AH12" s="77"/>
      <c r="AI12" s="77"/>
      <c r="AJ12" s="77"/>
      <c r="AK12" s="77"/>
      <c r="AL12" s="77"/>
    </row>
    <row r="13" spans="1:39" ht="11.1" customHeight="1">
      <c r="A13" s="420"/>
      <c r="B13" s="420"/>
      <c r="C13" s="155" t="s">
        <v>93</v>
      </c>
      <c r="D13" s="318">
        <v>15</v>
      </c>
      <c r="E13" s="130">
        <v>306.56799999999998</v>
      </c>
      <c r="F13" s="130">
        <v>3356.9349999999999</v>
      </c>
      <c r="G13" s="312">
        <f>E13/$E$14</f>
        <v>1.8249003658289843E-2</v>
      </c>
      <c r="H13" s="312">
        <f t="shared" si="0"/>
        <v>-0.21116932039234665</v>
      </c>
      <c r="I13" s="318">
        <v>388.63600000000002</v>
      </c>
      <c r="J13" s="130">
        <v>4152.0720000000001</v>
      </c>
      <c r="K13" s="312">
        <f>I13/$I$14</f>
        <v>1.5901056493858565E-2</v>
      </c>
      <c r="L13" s="94"/>
      <c r="N13" s="77"/>
      <c r="O13" s="77"/>
      <c r="P13" s="77"/>
      <c r="Q13" s="77"/>
      <c r="R13" s="77"/>
      <c r="S13" s="77"/>
      <c r="T13" s="77"/>
      <c r="U13" s="104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7"/>
      <c r="AG13" s="77"/>
      <c r="AH13" s="77"/>
      <c r="AI13" s="77"/>
      <c r="AJ13" s="77"/>
      <c r="AK13" s="77"/>
      <c r="AL13" s="77"/>
    </row>
    <row r="14" spans="1:39" ht="11.1" customHeight="1">
      <c r="A14" s="421"/>
      <c r="B14" s="421"/>
      <c r="C14" s="323" t="s">
        <v>0</v>
      </c>
      <c r="D14" s="326">
        <v>103897</v>
      </c>
      <c r="E14" s="324">
        <v>16799.163710000001</v>
      </c>
      <c r="F14" s="324">
        <v>183981.74030999999</v>
      </c>
      <c r="G14" s="325">
        <f>SUM(G9:G13)</f>
        <v>1</v>
      </c>
      <c r="H14" s="325">
        <f>(E14-I14)/I14</f>
        <v>-0.31266158770085983</v>
      </c>
      <c r="I14" s="326">
        <v>24440.89172</v>
      </c>
      <c r="J14" s="324">
        <v>261122.89655</v>
      </c>
      <c r="K14" s="325">
        <f>SUM(K9:K13)</f>
        <v>1.0000000000000002</v>
      </c>
      <c r="L14" s="94"/>
      <c r="M14" s="94"/>
      <c r="N14" s="77"/>
      <c r="O14" s="77"/>
      <c r="P14" s="77"/>
      <c r="Q14" s="77"/>
      <c r="R14" s="77"/>
      <c r="S14" s="77"/>
      <c r="T14" s="77"/>
      <c r="U14" s="104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7"/>
      <c r="AG14" s="77"/>
      <c r="AH14" s="77"/>
      <c r="AI14" s="77"/>
      <c r="AJ14" s="77"/>
      <c r="AK14" s="77"/>
      <c r="AL14" s="77"/>
    </row>
    <row r="15" spans="1:39" ht="11.1" customHeight="1">
      <c r="A15" s="419" t="str">
        <f>'3.1'!E5</f>
        <v>Listopad</v>
      </c>
      <c r="B15" s="419"/>
      <c r="C15" s="165" t="s">
        <v>4</v>
      </c>
      <c r="D15" s="317">
        <v>92</v>
      </c>
      <c r="E15" s="313">
        <v>9387.7583900000009</v>
      </c>
      <c r="F15" s="313">
        <v>102227.05619</v>
      </c>
      <c r="G15" s="314">
        <f>E15/$E$20</f>
        <v>0.36210231225545336</v>
      </c>
      <c r="H15" s="314">
        <f>(E15-I15)/I15</f>
        <v>-7.1745293175634661E-2</v>
      </c>
      <c r="I15" s="317">
        <v>10113.34316</v>
      </c>
      <c r="J15" s="313">
        <v>107977.13092</v>
      </c>
      <c r="K15" s="314">
        <f>I15/$I$20</f>
        <v>0.29937560561521959</v>
      </c>
      <c r="L15" s="94"/>
      <c r="M15" s="94"/>
      <c r="N15" s="77"/>
      <c r="O15" s="77"/>
      <c r="P15" s="77"/>
      <c r="Q15" s="77"/>
      <c r="R15" s="77"/>
      <c r="S15" s="77"/>
      <c r="T15" s="77"/>
      <c r="U15" s="104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7"/>
      <c r="AG15" s="77"/>
      <c r="AH15" s="77"/>
      <c r="AI15" s="77"/>
      <c r="AJ15" s="77"/>
      <c r="AK15" s="77"/>
      <c r="AL15" s="77"/>
    </row>
    <row r="16" spans="1:39" ht="11.1" customHeight="1">
      <c r="A16" s="420"/>
      <c r="B16" s="420"/>
      <c r="C16" s="155" t="s">
        <v>5</v>
      </c>
      <c r="D16" s="318">
        <v>285</v>
      </c>
      <c r="E16" s="130">
        <v>3220.5413899999999</v>
      </c>
      <c r="F16" s="130">
        <v>35073.971590000001</v>
      </c>
      <c r="G16" s="312">
        <f>E16/$E$20</f>
        <v>0.12422193196574072</v>
      </c>
      <c r="H16" s="312">
        <f>(E16-I16)/I16</f>
        <v>-0.40018376285739077</v>
      </c>
      <c r="I16" s="318">
        <v>5369.21342</v>
      </c>
      <c r="J16" s="130">
        <v>57325.129010000004</v>
      </c>
      <c r="K16" s="312">
        <f>I16/$I$20</f>
        <v>0.15893967937797776</v>
      </c>
      <c r="L16" s="98"/>
      <c r="M16" s="94"/>
      <c r="N16" s="77"/>
      <c r="O16" s="77"/>
      <c r="P16" s="77"/>
      <c r="Q16" s="77"/>
      <c r="R16" s="77"/>
      <c r="S16" s="77"/>
      <c r="T16" s="77"/>
      <c r="U16" s="104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7"/>
      <c r="AG16" s="77"/>
      <c r="AH16" s="77"/>
      <c r="AI16" s="77"/>
      <c r="AJ16" s="77"/>
      <c r="AK16" s="77"/>
      <c r="AL16" s="77"/>
    </row>
    <row r="17" spans="1:38" ht="11.1" customHeight="1">
      <c r="A17" s="420"/>
      <c r="B17" s="420"/>
      <c r="C17" s="155" t="s">
        <v>6</v>
      </c>
      <c r="D17" s="318">
        <v>9552</v>
      </c>
      <c r="E17" s="130">
        <v>5018.2350099999994</v>
      </c>
      <c r="F17" s="130">
        <v>54647.819090000005</v>
      </c>
      <c r="G17" s="312">
        <f>E17/$E$20</f>
        <v>0.19356212900599243</v>
      </c>
      <c r="H17" s="312">
        <f t="shared" ref="H17:H20" si="1">(E17-I17)/I17</f>
        <v>-0.27469000502208124</v>
      </c>
      <c r="I17" s="318">
        <v>6918.7451499999997</v>
      </c>
      <c r="J17" s="130">
        <v>73869.301869999996</v>
      </c>
      <c r="K17" s="312">
        <f>I17/$I$20</f>
        <v>0.20480898221381161</v>
      </c>
      <c r="L17" s="94"/>
      <c r="M17" s="94"/>
      <c r="N17" s="77"/>
      <c r="O17" s="77"/>
      <c r="P17" s="77"/>
      <c r="Q17" s="77"/>
      <c r="R17" s="77"/>
      <c r="S17" s="77"/>
      <c r="T17" s="77"/>
      <c r="U17" s="104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7"/>
      <c r="AG17" s="77"/>
      <c r="AH17" s="77"/>
      <c r="AI17" s="77"/>
      <c r="AJ17" s="77"/>
      <c r="AK17" s="77"/>
      <c r="AL17" s="77"/>
    </row>
    <row r="18" spans="1:38" ht="11.1" customHeight="1">
      <c r="A18" s="420"/>
      <c r="B18" s="420"/>
      <c r="C18" s="155" t="s">
        <v>7</v>
      </c>
      <c r="D18" s="318">
        <v>93773</v>
      </c>
      <c r="E18" s="130">
        <v>7970.4600399999999</v>
      </c>
      <c r="F18" s="130">
        <v>86797.341509999998</v>
      </c>
      <c r="G18" s="312">
        <f>E18/$E$20</f>
        <v>0.30743462819601741</v>
      </c>
      <c r="H18" s="312">
        <f t="shared" si="1"/>
        <v>-0.27557018635922909</v>
      </c>
      <c r="I18" s="318">
        <v>11002.390969999999</v>
      </c>
      <c r="J18" s="130">
        <v>117469.31634999999</v>
      </c>
      <c r="K18" s="312">
        <f>I18/$I$20</f>
        <v>0.32569323593081489</v>
      </c>
      <c r="L18" s="94"/>
      <c r="M18" s="94"/>
      <c r="N18" s="77"/>
      <c r="O18" s="77"/>
      <c r="P18" s="77"/>
      <c r="Q18" s="77"/>
      <c r="R18" s="77"/>
      <c r="S18" s="77"/>
      <c r="T18" s="77"/>
      <c r="U18" s="104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7"/>
      <c r="AG18" s="77"/>
      <c r="AH18" s="77"/>
      <c r="AI18" s="77"/>
      <c r="AJ18" s="77"/>
      <c r="AK18" s="77"/>
      <c r="AL18" s="77"/>
    </row>
    <row r="19" spans="1:38" ht="11.1" customHeight="1">
      <c r="A19" s="420"/>
      <c r="B19" s="420"/>
      <c r="C19" s="155" t="s">
        <v>93</v>
      </c>
      <c r="D19" s="318">
        <v>15</v>
      </c>
      <c r="E19" s="130">
        <v>328.71199999999999</v>
      </c>
      <c r="F19" s="130">
        <v>3580.0169999999998</v>
      </c>
      <c r="G19" s="312">
        <f>E19/$E$20</f>
        <v>1.2678998576795985E-2</v>
      </c>
      <c r="H19" s="312">
        <f t="shared" si="1"/>
        <v>-0.12984135471898908</v>
      </c>
      <c r="I19" s="318">
        <v>377.76100000000002</v>
      </c>
      <c r="J19" s="130">
        <v>4033.4940000000001</v>
      </c>
      <c r="K19" s="312">
        <f>I19/$I$20</f>
        <v>1.1182496862176185E-2</v>
      </c>
      <c r="L19" s="94"/>
      <c r="M19" s="94"/>
      <c r="N19" s="77"/>
      <c r="O19" s="77"/>
      <c r="P19" s="77"/>
      <c r="Q19" s="77"/>
      <c r="R19" s="77"/>
      <c r="S19" s="77"/>
      <c r="T19" s="77"/>
      <c r="U19" s="104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7"/>
      <c r="AG19" s="77"/>
      <c r="AH19" s="77"/>
      <c r="AI19" s="77"/>
      <c r="AJ19" s="77"/>
      <c r="AK19" s="77"/>
      <c r="AL19" s="77"/>
    </row>
    <row r="20" spans="1:38" ht="11.1" customHeight="1">
      <c r="A20" s="421"/>
      <c r="B20" s="421"/>
      <c r="C20" s="323" t="s">
        <v>0</v>
      </c>
      <c r="D20" s="326">
        <v>103717</v>
      </c>
      <c r="E20" s="324">
        <v>25925.706830000003</v>
      </c>
      <c r="F20" s="324">
        <v>282326.20538</v>
      </c>
      <c r="G20" s="325">
        <f>SUM(G15:G19)</f>
        <v>0.99999999999999989</v>
      </c>
      <c r="H20" s="325">
        <f t="shared" si="1"/>
        <v>-0.23254614617132346</v>
      </c>
      <c r="I20" s="326">
        <v>33781.453699999998</v>
      </c>
      <c r="J20" s="324">
        <v>360674.37215000001</v>
      </c>
      <c r="K20" s="325">
        <f>SUM(K15:K19)</f>
        <v>1</v>
      </c>
      <c r="L20" s="94"/>
      <c r="M20" s="94"/>
      <c r="N20" s="77"/>
      <c r="O20" s="77"/>
      <c r="P20" s="77"/>
      <c r="Q20" s="77"/>
      <c r="R20" s="77"/>
      <c r="S20" s="77"/>
      <c r="T20" s="77"/>
      <c r="U20" s="104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7"/>
      <c r="AG20" s="77"/>
      <c r="AH20" s="77"/>
      <c r="AI20" s="77"/>
      <c r="AJ20" s="77"/>
      <c r="AK20" s="77"/>
      <c r="AL20" s="77"/>
    </row>
    <row r="21" spans="1:38" ht="11.1" customHeight="1">
      <c r="A21" s="419" t="str">
        <f>'3.1'!F5</f>
        <v>Prosinec</v>
      </c>
      <c r="B21" s="419"/>
      <c r="C21" s="165" t="s">
        <v>4</v>
      </c>
      <c r="D21" s="317">
        <v>84</v>
      </c>
      <c r="E21" s="313">
        <v>8803.6694200000002</v>
      </c>
      <c r="F21" s="313">
        <v>96056.837020000006</v>
      </c>
      <c r="G21" s="314">
        <f>E21/$E$26</f>
        <v>0.26630372542467856</v>
      </c>
      <c r="H21" s="314">
        <f>(E21-I21)/I21</f>
        <v>-5.9429353485013339E-2</v>
      </c>
      <c r="I21" s="317">
        <v>9359.9236299999993</v>
      </c>
      <c r="J21" s="313">
        <v>99892.84895</v>
      </c>
      <c r="K21" s="314">
        <f>I21/$I$26</f>
        <v>0.24731505210241525</v>
      </c>
      <c r="L21" s="88"/>
      <c r="M21" s="88"/>
      <c r="N21" s="77"/>
      <c r="O21" s="77"/>
      <c r="P21" s="77"/>
      <c r="Q21" s="77"/>
      <c r="R21" s="77"/>
      <c r="S21" s="77"/>
      <c r="T21" s="77"/>
      <c r="U21" s="104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7"/>
      <c r="AG21" s="77"/>
      <c r="AH21" s="77"/>
      <c r="AI21" s="77"/>
      <c r="AJ21" s="77"/>
      <c r="AK21" s="77"/>
      <c r="AL21" s="77"/>
    </row>
    <row r="22" spans="1:38" ht="11.1" customHeight="1">
      <c r="A22" s="420"/>
      <c r="B22" s="420"/>
      <c r="C22" s="155" t="s">
        <v>5</v>
      </c>
      <c r="D22" s="318">
        <v>295</v>
      </c>
      <c r="E22" s="130">
        <v>4001.5790899999997</v>
      </c>
      <c r="F22" s="130">
        <v>43659.219399999994</v>
      </c>
      <c r="G22" s="312">
        <f>E22/$E$26</f>
        <v>0.12104446094120776</v>
      </c>
      <c r="H22" s="312">
        <f t="shared" ref="H22:H26" si="2">(E22-I22)/I22</f>
        <v>-0.25524620105227064</v>
      </c>
      <c r="I22" s="318">
        <v>5373.0227299999997</v>
      </c>
      <c r="J22" s="130">
        <v>57343.230599999995</v>
      </c>
      <c r="K22" s="312">
        <f>I22/$I$26</f>
        <v>0.14197011096952844</v>
      </c>
      <c r="L22" s="88"/>
      <c r="M22" s="88"/>
      <c r="N22" s="77"/>
      <c r="O22" s="77"/>
      <c r="P22" s="77"/>
      <c r="Q22" s="77"/>
      <c r="R22" s="77"/>
      <c r="S22" s="77"/>
      <c r="T22" s="77"/>
      <c r="U22" s="104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/>
      <c r="AG22" s="77"/>
      <c r="AH22" s="77"/>
      <c r="AI22" s="77"/>
      <c r="AJ22" s="77"/>
      <c r="AK22" s="77"/>
      <c r="AL22" s="77"/>
    </row>
    <row r="23" spans="1:38" ht="11.1" customHeight="1">
      <c r="A23" s="420"/>
      <c r="B23" s="420"/>
      <c r="C23" s="155" t="s">
        <v>6</v>
      </c>
      <c r="D23" s="318">
        <v>9545</v>
      </c>
      <c r="E23" s="130">
        <v>7696.9454599999999</v>
      </c>
      <c r="F23" s="130">
        <v>83979.542690000002</v>
      </c>
      <c r="G23" s="312">
        <f>E23/$E$26</f>
        <v>0.23282624012801317</v>
      </c>
      <c r="H23" s="312">
        <f t="shared" si="2"/>
        <v>-0.12346620574031977</v>
      </c>
      <c r="I23" s="318">
        <v>8781.1166099999991</v>
      </c>
      <c r="J23" s="130">
        <v>93716.657349999994</v>
      </c>
      <c r="K23" s="312">
        <f>I23/$I$26</f>
        <v>0.23202137087517388</v>
      </c>
      <c r="L23" s="88"/>
      <c r="M23" s="88"/>
      <c r="N23" s="77"/>
      <c r="O23" s="77"/>
      <c r="P23" s="77"/>
      <c r="Q23" s="77"/>
      <c r="R23" s="77"/>
      <c r="S23" s="77"/>
      <c r="T23" s="77"/>
      <c r="U23" s="104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7"/>
      <c r="AG23" s="77"/>
      <c r="AH23" s="77"/>
      <c r="AI23" s="77"/>
      <c r="AJ23" s="77"/>
      <c r="AK23" s="77"/>
      <c r="AL23" s="77"/>
    </row>
    <row r="24" spans="1:38" ht="11.1" customHeight="1">
      <c r="A24" s="420"/>
      <c r="B24" s="420"/>
      <c r="C24" s="155" t="s">
        <v>7</v>
      </c>
      <c r="D24" s="318">
        <v>93648</v>
      </c>
      <c r="E24" s="130">
        <v>12232.481300000001</v>
      </c>
      <c r="F24" s="130">
        <v>133464.87921000001</v>
      </c>
      <c r="G24" s="312">
        <f>E24/$E$26</f>
        <v>0.37002245154472369</v>
      </c>
      <c r="H24" s="312">
        <f t="shared" si="2"/>
        <v>-0.1238742413186974</v>
      </c>
      <c r="I24" s="318">
        <v>13962.015360000001</v>
      </c>
      <c r="J24" s="130">
        <v>149009.52550000002</v>
      </c>
      <c r="K24" s="312">
        <f>I24/$I$26</f>
        <v>0.36891503528358621</v>
      </c>
      <c r="L24" s="88"/>
      <c r="M24" s="88"/>
      <c r="N24" s="77"/>
      <c r="O24" s="77"/>
      <c r="P24" s="77"/>
      <c r="Q24" s="77"/>
      <c r="R24" s="77"/>
      <c r="S24" s="77"/>
      <c r="T24" s="77"/>
      <c r="U24" s="104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7"/>
      <c r="AG24" s="77"/>
      <c r="AH24" s="77"/>
      <c r="AI24" s="77"/>
      <c r="AJ24" s="77"/>
      <c r="AK24" s="77"/>
      <c r="AL24" s="77"/>
    </row>
    <row r="25" spans="1:38" ht="11.1" customHeight="1">
      <c r="A25" s="420"/>
      <c r="B25" s="420"/>
      <c r="C25" s="155" t="s">
        <v>93</v>
      </c>
      <c r="D25" s="318">
        <v>15</v>
      </c>
      <c r="E25" s="130">
        <v>324.07900000000001</v>
      </c>
      <c r="F25" s="130">
        <v>3536.8560000000002</v>
      </c>
      <c r="G25" s="312">
        <f>E25/$E$26</f>
        <v>9.8031219613769205E-3</v>
      </c>
      <c r="H25" s="312">
        <f t="shared" si="2"/>
        <v>-0.12429068623742154</v>
      </c>
      <c r="I25" s="318">
        <v>370.07600000000002</v>
      </c>
      <c r="J25" s="130">
        <v>3949.5279999999998</v>
      </c>
      <c r="K25" s="312">
        <f>I25/$I$26</f>
        <v>9.7784307692960776E-3</v>
      </c>
      <c r="L25" s="88"/>
      <c r="M25" s="88"/>
      <c r="N25" s="77"/>
      <c r="O25" s="77"/>
      <c r="P25" s="77"/>
      <c r="Q25" s="77"/>
      <c r="R25" s="77"/>
      <c r="S25" s="77"/>
      <c r="T25" s="77"/>
      <c r="U25" s="104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7"/>
      <c r="AG25" s="77"/>
      <c r="AH25" s="77"/>
      <c r="AI25" s="77"/>
      <c r="AJ25" s="77"/>
      <c r="AK25" s="77"/>
      <c r="AL25" s="77"/>
    </row>
    <row r="26" spans="1:38" ht="11.1" customHeight="1">
      <c r="A26" s="421"/>
      <c r="B26" s="421"/>
      <c r="C26" s="323" t="s">
        <v>0</v>
      </c>
      <c r="D26" s="326">
        <v>103587</v>
      </c>
      <c r="E26" s="324">
        <v>33058.754269999998</v>
      </c>
      <c r="F26" s="324">
        <v>360697.33432000002</v>
      </c>
      <c r="G26" s="325">
        <f>SUM(G21:G25)</f>
        <v>1.0000000000000002</v>
      </c>
      <c r="H26" s="325">
        <f t="shared" si="2"/>
        <v>-0.1264963414315815</v>
      </c>
      <c r="I26" s="326">
        <v>37846.154330000005</v>
      </c>
      <c r="J26" s="324">
        <v>403911.7904</v>
      </c>
      <c r="K26" s="325">
        <f>SUM(K21:K25)</f>
        <v>0.99999999999999978</v>
      </c>
      <c r="N26" s="77"/>
      <c r="O26" s="77"/>
      <c r="P26" s="77"/>
      <c r="Q26" s="77"/>
      <c r="R26" s="77"/>
      <c r="S26" s="77"/>
      <c r="T26" s="77"/>
      <c r="U26" s="104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7"/>
      <c r="AG26" s="77"/>
      <c r="AH26" s="77"/>
      <c r="AI26" s="77"/>
      <c r="AJ26" s="77"/>
      <c r="AK26" s="77"/>
      <c r="AL26" s="77"/>
    </row>
    <row r="27" spans="1:38" ht="11.1" customHeight="1">
      <c r="A27" s="488" t="str">
        <f>'3.1'!G5</f>
        <v>IV. čtvrtletí</v>
      </c>
      <c r="B27" s="419"/>
      <c r="C27" s="165" t="s">
        <v>4</v>
      </c>
      <c r="D27" s="317">
        <f>D21</f>
        <v>84</v>
      </c>
      <c r="E27" s="313">
        <f>E9+E15+E21</f>
        <v>26325.400690000002</v>
      </c>
      <c r="F27" s="313">
        <f>F9+F15+F21</f>
        <v>287364.72404999996</v>
      </c>
      <c r="G27" s="314">
        <f>E27/$E$32</f>
        <v>0.3473758447949859</v>
      </c>
      <c r="H27" s="314">
        <f>(E27-I27)/I27</f>
        <v>-6.0315470093680816E-2</v>
      </c>
      <c r="I27" s="317">
        <f>I9+I15+I21</f>
        <v>28015.14748</v>
      </c>
      <c r="J27" s="313">
        <f>J9+J15+J21</f>
        <v>299129.72479000001</v>
      </c>
      <c r="K27" s="314">
        <f>I27/$I$32</f>
        <v>0.2916163732430932</v>
      </c>
      <c r="N27" s="77"/>
      <c r="O27" s="77"/>
      <c r="P27" s="77"/>
      <c r="Q27" s="77"/>
      <c r="R27" s="77"/>
      <c r="S27" s="77"/>
      <c r="T27" s="77"/>
      <c r="U27" s="104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7"/>
      <c r="AG27" s="77"/>
      <c r="AH27" s="77"/>
      <c r="AI27" s="77"/>
      <c r="AJ27" s="77"/>
      <c r="AK27" s="77"/>
      <c r="AL27" s="77"/>
    </row>
    <row r="28" spans="1:38" ht="11.1" customHeight="1">
      <c r="A28" s="420"/>
      <c r="B28" s="420"/>
      <c r="C28" s="155" t="s">
        <v>5</v>
      </c>
      <c r="D28" s="318">
        <f>D22</f>
        <v>295</v>
      </c>
      <c r="E28" s="130">
        <f t="shared" ref="E28:F28" si="3">E10+E16+E22</f>
        <v>9407.0881799999988</v>
      </c>
      <c r="F28" s="130">
        <f t="shared" si="3"/>
        <v>102663.13394999999</v>
      </c>
      <c r="G28" s="312">
        <f>E28/$E$32</f>
        <v>0.12413088188358458</v>
      </c>
      <c r="H28" s="312">
        <f t="shared" ref="H28:H31" si="4">(E28-I28)/I28</f>
        <v>-0.36912506501657877</v>
      </c>
      <c r="I28" s="318">
        <f t="shared" ref="I28:J28" si="5">I10+I16+I22</f>
        <v>14911.17757</v>
      </c>
      <c r="J28" s="130">
        <f t="shared" si="5"/>
        <v>159208.60226000001</v>
      </c>
      <c r="K28" s="312">
        <f>I28/$I$32</f>
        <v>0.15521401509135155</v>
      </c>
      <c r="N28" s="77"/>
      <c r="O28" s="77"/>
      <c r="P28" s="77"/>
      <c r="Q28" s="77"/>
      <c r="R28" s="77"/>
      <c r="S28" s="77"/>
      <c r="T28" s="77"/>
      <c r="U28" s="104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7"/>
      <c r="AG28" s="77"/>
      <c r="AH28" s="77"/>
      <c r="AI28" s="77"/>
      <c r="AJ28" s="77"/>
      <c r="AK28" s="77"/>
      <c r="AL28" s="77"/>
    </row>
    <row r="29" spans="1:38" ht="11.1" customHeight="1">
      <c r="A29" s="420"/>
      <c r="B29" s="420"/>
      <c r="C29" s="155" t="s">
        <v>6</v>
      </c>
      <c r="D29" s="318">
        <f>D23</f>
        <v>9545</v>
      </c>
      <c r="E29" s="130">
        <f t="shared" ref="E29:F29" si="6">E11+E17+E23</f>
        <v>15100.87235</v>
      </c>
      <c r="F29" s="130">
        <f t="shared" si="6"/>
        <v>164755.49111</v>
      </c>
      <c r="G29" s="312">
        <f>E29/$E$32</f>
        <v>0.19926299893756694</v>
      </c>
      <c r="H29" s="312">
        <f t="shared" si="4"/>
        <v>-0.24786372653007985</v>
      </c>
      <c r="I29" s="318">
        <f t="shared" ref="I29:J29" si="7">I11+I17+I23</f>
        <v>20077.308969999998</v>
      </c>
      <c r="J29" s="130">
        <f t="shared" si="7"/>
        <v>214353.80929</v>
      </c>
      <c r="K29" s="312">
        <f>I29/$I$32</f>
        <v>0.20898951292304324</v>
      </c>
      <c r="N29" s="77"/>
      <c r="O29" s="77"/>
      <c r="P29" s="77"/>
      <c r="Q29" s="77"/>
      <c r="R29" s="77"/>
      <c r="S29" s="77"/>
      <c r="T29" s="77"/>
      <c r="U29" s="104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7"/>
      <c r="AG29" s="77"/>
      <c r="AH29" s="77"/>
      <c r="AI29" s="77"/>
      <c r="AJ29" s="77"/>
      <c r="AK29" s="77"/>
      <c r="AL29" s="77"/>
    </row>
    <row r="30" spans="1:38" ht="11.1" customHeight="1">
      <c r="A30" s="420"/>
      <c r="B30" s="420"/>
      <c r="C30" s="155" t="s">
        <v>7</v>
      </c>
      <c r="D30" s="318">
        <f>D24</f>
        <v>93648</v>
      </c>
      <c r="E30" s="130">
        <f t="shared" ref="E30:F31" si="8">E12+E18+E24</f>
        <v>23990.904590000002</v>
      </c>
      <c r="F30" s="130">
        <f t="shared" si="8"/>
        <v>261748.12290000002</v>
      </c>
      <c r="G30" s="312">
        <f>E30/$E$32</f>
        <v>0.31657108841320947</v>
      </c>
      <c r="H30" s="312">
        <f t="shared" si="4"/>
        <v>-0.24860280964102252</v>
      </c>
      <c r="I30" s="318">
        <f t="shared" ref="I30:J30" si="9">I12+I18+I24</f>
        <v>31928.39273</v>
      </c>
      <c r="J30" s="130">
        <f t="shared" si="9"/>
        <v>340881.82876000006</v>
      </c>
      <c r="K30" s="312">
        <f>I30/$I$32</f>
        <v>0.3323502793640743</v>
      </c>
      <c r="N30" s="77"/>
      <c r="O30" s="77"/>
      <c r="P30" s="77"/>
      <c r="Q30" s="77"/>
      <c r="R30" s="77"/>
      <c r="S30" s="77"/>
      <c r="T30" s="77"/>
      <c r="U30" s="104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7"/>
      <c r="AG30" s="77"/>
      <c r="AH30" s="77"/>
      <c r="AI30" s="77"/>
      <c r="AJ30" s="77"/>
      <c r="AK30" s="77"/>
      <c r="AL30" s="77"/>
    </row>
    <row r="31" spans="1:38" ht="11.1" customHeight="1">
      <c r="A31" s="420"/>
      <c r="B31" s="420"/>
      <c r="C31" s="155" t="s">
        <v>93</v>
      </c>
      <c r="D31" s="318">
        <f>D25</f>
        <v>15</v>
      </c>
      <c r="E31" s="130">
        <f>E13+E19+E25</f>
        <v>959.35899999999992</v>
      </c>
      <c r="F31" s="130">
        <f t="shared" si="8"/>
        <v>10473.807999999999</v>
      </c>
      <c r="G31" s="312">
        <f>E31/$E$32</f>
        <v>1.265918597065323E-2</v>
      </c>
      <c r="H31" s="312">
        <f t="shared" si="4"/>
        <v>-0.15584532144626403</v>
      </c>
      <c r="I31" s="318">
        <f>I13+I19+I25</f>
        <v>1136.473</v>
      </c>
      <c r="J31" s="130">
        <f t="shared" ref="J31" si="10">J13+J19+J25</f>
        <v>12135.094000000001</v>
      </c>
      <c r="K31" s="312">
        <f>I31/$I$32</f>
        <v>1.1829819378437833E-2</v>
      </c>
      <c r="N31" s="77"/>
      <c r="O31" s="77"/>
      <c r="P31" s="77"/>
      <c r="Q31" s="77"/>
      <c r="R31" s="77"/>
      <c r="S31" s="77"/>
      <c r="T31" s="77"/>
      <c r="U31" s="104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7"/>
      <c r="AG31" s="77"/>
      <c r="AH31" s="77"/>
      <c r="AI31" s="77"/>
      <c r="AJ31" s="77"/>
      <c r="AK31" s="77"/>
      <c r="AL31" s="77"/>
    </row>
    <row r="32" spans="1:38" ht="11.1" customHeight="1">
      <c r="A32" s="421"/>
      <c r="B32" s="421"/>
      <c r="C32" s="323" t="s">
        <v>0</v>
      </c>
      <c r="D32" s="326">
        <f>SUM(D27:D31)</f>
        <v>103587</v>
      </c>
      <c r="E32" s="324">
        <f>SUM(E27:E31)</f>
        <v>75783.624809999994</v>
      </c>
      <c r="F32" s="324">
        <f>SUM(F27:F31)</f>
        <v>827005.28000999987</v>
      </c>
      <c r="G32" s="325">
        <f>SUM(G27:G31)</f>
        <v>1</v>
      </c>
      <c r="H32" s="325">
        <f>(E32-I32)/I32</f>
        <v>-0.2111501167686341</v>
      </c>
      <c r="I32" s="326">
        <f>SUM(I27:I31)</f>
        <v>96068.499749999988</v>
      </c>
      <c r="J32" s="324">
        <f>SUM(J27:J31)</f>
        <v>1025709.0591000001</v>
      </c>
      <c r="K32" s="325">
        <f>SUM(K27:K31)</f>
        <v>1.0000000000000002</v>
      </c>
      <c r="N32" s="77"/>
      <c r="O32" s="77"/>
      <c r="P32" s="77"/>
      <c r="Q32" s="77"/>
      <c r="R32" s="77"/>
      <c r="S32" s="77"/>
      <c r="T32" s="77"/>
      <c r="U32" s="104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7"/>
      <c r="AG32" s="77"/>
      <c r="AH32" s="77"/>
      <c r="AI32" s="77"/>
      <c r="AJ32" s="77"/>
      <c r="AK32" s="77"/>
      <c r="AL32" s="77"/>
    </row>
    <row r="33" spans="1:11" ht="9.9499999999999993" customHeight="1">
      <c r="A33" s="363"/>
      <c r="B33" s="364"/>
      <c r="C33" s="365"/>
      <c r="D33" s="366"/>
      <c r="E33" s="366"/>
      <c r="F33" s="366"/>
      <c r="G33" s="367"/>
      <c r="H33" s="368"/>
      <c r="I33" s="366"/>
      <c r="J33" s="366"/>
      <c r="K33" s="367"/>
    </row>
    <row r="34" spans="1:11" ht="12.95" customHeight="1">
      <c r="A34" s="513" t="s">
        <v>36</v>
      </c>
      <c r="B34" s="513"/>
      <c r="C34" s="513"/>
      <c r="D34" s="478">
        <f>D4</f>
        <v>2022</v>
      </c>
      <c r="E34" s="358"/>
      <c r="F34" s="347"/>
      <c r="G34" s="347"/>
      <c r="H34" s="347"/>
      <c r="I34" s="478">
        <f>D34-1</f>
        <v>2021</v>
      </c>
      <c r="J34" s="479"/>
      <c r="K34" s="479"/>
    </row>
    <row r="35" spans="1:11" ht="24.95" customHeight="1">
      <c r="A35" s="309"/>
      <c r="B35" s="277"/>
      <c r="C35" s="151"/>
      <c r="D35" s="480"/>
      <c r="E35" s="360"/>
      <c r="F35" s="361"/>
      <c r="G35" s="361"/>
      <c r="H35" s="362"/>
      <c r="I35" s="480"/>
      <c r="J35" s="481"/>
      <c r="K35" s="481"/>
    </row>
    <row r="36" spans="1:11" ht="24.95" customHeight="1">
      <c r="A36" s="131"/>
      <c r="B36" s="132"/>
      <c r="C36" s="357"/>
      <c r="D36" s="369" t="s">
        <v>160</v>
      </c>
      <c r="E36" s="476" t="s">
        <v>60</v>
      </c>
      <c r="F36" s="476"/>
      <c r="G36" s="477" t="s">
        <v>33</v>
      </c>
      <c r="H36" s="477" t="s">
        <v>272</v>
      </c>
      <c r="I36" s="475" t="s">
        <v>60</v>
      </c>
      <c r="J36" s="476"/>
      <c r="K36" s="477" t="s">
        <v>33</v>
      </c>
    </row>
    <row r="37" spans="1:11" ht="24.95" customHeight="1">
      <c r="A37" s="131"/>
      <c r="B37" s="311"/>
      <c r="C37" s="311"/>
      <c r="D37" s="370"/>
      <c r="E37" s="476"/>
      <c r="F37" s="476"/>
      <c r="G37" s="477"/>
      <c r="H37" s="477"/>
      <c r="I37" s="475"/>
      <c r="J37" s="476"/>
      <c r="K37" s="477"/>
    </row>
    <row r="38" spans="1:11" ht="15" customHeight="1">
      <c r="A38" s="514" t="s">
        <v>159</v>
      </c>
      <c r="B38" s="514"/>
      <c r="C38" s="371" t="s">
        <v>185</v>
      </c>
      <c r="D38" s="348"/>
      <c r="E38" s="222" t="s">
        <v>263</v>
      </c>
      <c r="F38" s="222" t="s">
        <v>264</v>
      </c>
      <c r="G38" s="464"/>
      <c r="H38" s="464"/>
      <c r="I38" s="224" t="s">
        <v>263</v>
      </c>
      <c r="J38" s="222" t="s">
        <v>264</v>
      </c>
      <c r="K38" s="464"/>
    </row>
    <row r="39" spans="1:11" ht="11.1" customHeight="1">
      <c r="A39" s="419" t="str">
        <f>'3.1'!D5</f>
        <v>Říjen</v>
      </c>
      <c r="B39" s="419"/>
      <c r="C39" s="165" t="s">
        <v>4</v>
      </c>
      <c r="D39" s="317">
        <v>191</v>
      </c>
      <c r="E39" s="313">
        <v>31022.03</v>
      </c>
      <c r="F39" s="313">
        <v>339991.87019999995</v>
      </c>
      <c r="G39" s="314">
        <f>E39/$E$44</f>
        <v>0.47684091279393276</v>
      </c>
      <c r="H39" s="314">
        <f>(E39-I39)/I39</f>
        <v>-0.22229065939695572</v>
      </c>
      <c r="I39" s="317">
        <v>39888.976999999999</v>
      </c>
      <c r="J39" s="313">
        <v>426697.06115000014</v>
      </c>
      <c r="K39" s="314">
        <f>I39/$I$44</f>
        <v>0.42289229063167244</v>
      </c>
    </row>
    <row r="40" spans="1:11" ht="11.1" customHeight="1">
      <c r="A40" s="420"/>
      <c r="B40" s="420"/>
      <c r="C40" s="155" t="s">
        <v>5</v>
      </c>
      <c r="D40" s="318">
        <v>827</v>
      </c>
      <c r="E40" s="130">
        <v>7113.9620000000004</v>
      </c>
      <c r="F40" s="130">
        <v>77966.926679999917</v>
      </c>
      <c r="G40" s="312">
        <f t="shared" ref="G40:G41" si="11">E40/$E$44</f>
        <v>0.1093490056473207</v>
      </c>
      <c r="H40" s="312">
        <f>(E40-I40)/I40</f>
        <v>-0.3308794392374807</v>
      </c>
      <c r="I40" s="318">
        <v>10631.809000000001</v>
      </c>
      <c r="J40" s="130">
        <v>113729.44365000019</v>
      </c>
      <c r="K40" s="312">
        <f t="shared" ref="K40:K43" si="12">I40/$I$44</f>
        <v>0.11271560214663895</v>
      </c>
    </row>
    <row r="41" spans="1:11" ht="11.1" customHeight="1">
      <c r="A41" s="420"/>
      <c r="B41" s="420"/>
      <c r="C41" s="155" t="s">
        <v>6</v>
      </c>
      <c r="D41" s="318">
        <v>24010</v>
      </c>
      <c r="E41" s="130">
        <v>7752.1679999999997</v>
      </c>
      <c r="F41" s="130">
        <v>84961.695959999997</v>
      </c>
      <c r="G41" s="312">
        <f t="shared" si="11"/>
        <v>0.11915889660515176</v>
      </c>
      <c r="H41" s="312">
        <f t="shared" ref="H41:H43" si="13">(E41-I41)/I41</f>
        <v>-0.30245673516875371</v>
      </c>
      <c r="I41" s="318">
        <v>11113.529999999999</v>
      </c>
      <c r="J41" s="130">
        <v>118882.45357</v>
      </c>
      <c r="K41" s="312">
        <f t="shared" si="12"/>
        <v>0.11782267965166944</v>
      </c>
    </row>
    <row r="42" spans="1:11" ht="11.1" customHeight="1">
      <c r="A42" s="420"/>
      <c r="B42" s="420"/>
      <c r="C42" s="155" t="s">
        <v>7</v>
      </c>
      <c r="D42" s="318">
        <v>353257</v>
      </c>
      <c r="E42" s="130">
        <v>18185.900000000001</v>
      </c>
      <c r="F42" s="130">
        <v>199312.2</v>
      </c>
      <c r="G42" s="312">
        <f>E42/$E$44</f>
        <v>0.27953622493367403</v>
      </c>
      <c r="H42" s="312">
        <f t="shared" si="13"/>
        <v>-0.42194130380193445</v>
      </c>
      <c r="I42" s="318">
        <v>31460.3</v>
      </c>
      <c r="J42" s="130">
        <v>336534.8</v>
      </c>
      <c r="K42" s="312">
        <f t="shared" si="12"/>
        <v>0.33353370609027166</v>
      </c>
    </row>
    <row r="43" spans="1:11" ht="11.1" customHeight="1">
      <c r="A43" s="420"/>
      <c r="B43" s="420"/>
      <c r="C43" s="155" t="s">
        <v>93</v>
      </c>
      <c r="D43" s="318">
        <v>28</v>
      </c>
      <c r="E43" s="130">
        <v>983.34</v>
      </c>
      <c r="F43" s="130">
        <v>10777.11945</v>
      </c>
      <c r="G43" s="312">
        <f>E43/$E$44</f>
        <v>1.5114960019920872E-2</v>
      </c>
      <c r="H43" s="312">
        <f t="shared" si="13"/>
        <v>-0.2002661062603287</v>
      </c>
      <c r="I43" s="318">
        <v>1229.5840000000001</v>
      </c>
      <c r="J43" s="130">
        <v>13152.992480000001</v>
      </c>
      <c r="K43" s="312">
        <f t="shared" si="12"/>
        <v>1.3035721479747511E-2</v>
      </c>
    </row>
    <row r="44" spans="1:11" ht="11.1" customHeight="1">
      <c r="A44" s="421"/>
      <c r="B44" s="421"/>
      <c r="C44" s="323" t="s">
        <v>0</v>
      </c>
      <c r="D44" s="326">
        <v>378313</v>
      </c>
      <c r="E44" s="324">
        <v>65057.399999999994</v>
      </c>
      <c r="F44" s="324">
        <v>713009.81228999991</v>
      </c>
      <c r="G44" s="325">
        <f>SUM(G39:G43)</f>
        <v>1.0000000000000002</v>
      </c>
      <c r="H44" s="325">
        <f>(E44-I44)/I44</f>
        <v>-0.3102788043789399</v>
      </c>
      <c r="I44" s="326">
        <v>94324.2</v>
      </c>
      <c r="J44" s="324">
        <v>1008996.7508500004</v>
      </c>
      <c r="K44" s="325">
        <f>SUM(K39:K43)</f>
        <v>1</v>
      </c>
    </row>
    <row r="45" spans="1:11" ht="11.1" customHeight="1">
      <c r="A45" s="419" t="str">
        <f>'3.1'!E5</f>
        <v>Listopad</v>
      </c>
      <c r="B45" s="419"/>
      <c r="C45" s="165" t="s">
        <v>4</v>
      </c>
      <c r="D45" s="317">
        <v>192</v>
      </c>
      <c r="E45" s="313">
        <v>37226.995999999999</v>
      </c>
      <c r="F45" s="313">
        <v>406823.37652000011</v>
      </c>
      <c r="G45" s="314">
        <f>E45/$E$50</f>
        <v>0.37932734525853512</v>
      </c>
      <c r="H45" s="314">
        <f>(E45-I45)/I45</f>
        <v>-0.21789287835158258</v>
      </c>
      <c r="I45" s="317">
        <v>47598.333999999995</v>
      </c>
      <c r="J45" s="313">
        <v>508268.71531000006</v>
      </c>
      <c r="K45" s="314">
        <f>I45/$I$50</f>
        <v>0.37106246072914767</v>
      </c>
    </row>
    <row r="46" spans="1:11" ht="11.1" customHeight="1">
      <c r="A46" s="420"/>
      <c r="B46" s="420"/>
      <c r="C46" s="155" t="s">
        <v>5</v>
      </c>
      <c r="D46" s="318">
        <v>829</v>
      </c>
      <c r="E46" s="130">
        <v>10009.882000000001</v>
      </c>
      <c r="F46" s="130">
        <v>109389.90279999997</v>
      </c>
      <c r="G46" s="312">
        <f t="shared" ref="G46:G48" si="14">E46/$E$50</f>
        <v>0.10199646421675271</v>
      </c>
      <c r="H46" s="312">
        <f>(E46-I46)/I46</f>
        <v>-0.32226084530844595</v>
      </c>
      <c r="I46" s="318">
        <v>14769.52</v>
      </c>
      <c r="J46" s="130">
        <v>157713.33426999996</v>
      </c>
      <c r="K46" s="312">
        <f t="shared" ref="K46:K49" si="15">I46/$I$50</f>
        <v>0.11513878689511195</v>
      </c>
    </row>
    <row r="47" spans="1:11" ht="11.1" customHeight="1">
      <c r="A47" s="420"/>
      <c r="B47" s="420"/>
      <c r="C47" s="155" t="s">
        <v>6</v>
      </c>
      <c r="D47" s="318">
        <v>23953</v>
      </c>
      <c r="E47" s="130">
        <v>14683.397000000001</v>
      </c>
      <c r="F47" s="130">
        <v>160462.25191000002</v>
      </c>
      <c r="G47" s="312">
        <f t="shared" si="14"/>
        <v>0.14961760555128162</v>
      </c>
      <c r="H47" s="312">
        <f t="shared" ref="H47:H49" si="16">(E47-I47)/I47</f>
        <v>-0.15848396643815552</v>
      </c>
      <c r="I47" s="318">
        <v>17448.743000000002</v>
      </c>
      <c r="J47" s="130">
        <v>186322.71987999999</v>
      </c>
      <c r="K47" s="312">
        <f t="shared" si="15"/>
        <v>0.13602521286166216</v>
      </c>
    </row>
    <row r="48" spans="1:11" ht="11.1" customHeight="1">
      <c r="A48" s="420"/>
      <c r="B48" s="420"/>
      <c r="C48" s="155" t="s">
        <v>7</v>
      </c>
      <c r="D48" s="318">
        <v>352991</v>
      </c>
      <c r="E48" s="130">
        <v>35146.699999999997</v>
      </c>
      <c r="F48" s="130">
        <v>384089.3</v>
      </c>
      <c r="G48" s="312">
        <f t="shared" si="14"/>
        <v>0.35813000881398421</v>
      </c>
      <c r="H48" s="312">
        <f t="shared" si="16"/>
        <v>-0.25593718377007468</v>
      </c>
      <c r="I48" s="318">
        <v>47236.2</v>
      </c>
      <c r="J48" s="130">
        <v>504402</v>
      </c>
      <c r="K48" s="312">
        <f t="shared" si="15"/>
        <v>0.36823937172872828</v>
      </c>
    </row>
    <row r="49" spans="1:11" ht="11.1" customHeight="1">
      <c r="A49" s="420"/>
      <c r="B49" s="420"/>
      <c r="C49" s="155" t="s">
        <v>93</v>
      </c>
      <c r="D49" s="318">
        <v>28</v>
      </c>
      <c r="E49" s="130">
        <v>1072.5250000000001</v>
      </c>
      <c r="F49" s="130">
        <v>11720.731669999997</v>
      </c>
      <c r="G49" s="312">
        <f>E49/$E$50</f>
        <v>1.0928576159446505E-2</v>
      </c>
      <c r="H49" s="312">
        <f t="shared" si="16"/>
        <v>-0.12303976359829032</v>
      </c>
      <c r="I49" s="318">
        <v>1223.0029999999999</v>
      </c>
      <c r="J49" s="130">
        <v>13059.583540000001</v>
      </c>
      <c r="K49" s="312">
        <f t="shared" si="15"/>
        <v>9.5341677853500034E-3</v>
      </c>
    </row>
    <row r="50" spans="1:11" ht="11.1" customHeight="1">
      <c r="A50" s="421"/>
      <c r="B50" s="421"/>
      <c r="C50" s="323" t="s">
        <v>0</v>
      </c>
      <c r="D50" s="326">
        <v>377993</v>
      </c>
      <c r="E50" s="324">
        <v>98139.499999999985</v>
      </c>
      <c r="F50" s="324">
        <v>1072485.5629</v>
      </c>
      <c r="G50" s="325">
        <f>SUM(G45:G49)</f>
        <v>1.0000000000000002</v>
      </c>
      <c r="H50" s="325">
        <f t="shared" ref="H50" si="17">(E50-I50)/I50</f>
        <v>-0.2349336351829418</v>
      </c>
      <c r="I50" s="326">
        <v>128275.79999999999</v>
      </c>
      <c r="J50" s="324">
        <v>1369766.3530000001</v>
      </c>
      <c r="K50" s="325">
        <f>SUM(K45:K49)</f>
        <v>1</v>
      </c>
    </row>
    <row r="51" spans="1:11" ht="11.1" customHeight="1">
      <c r="A51" s="419" t="str">
        <f>'3.1'!F5</f>
        <v>Prosinec</v>
      </c>
      <c r="B51" s="419"/>
      <c r="C51" s="165" t="s">
        <v>4</v>
      </c>
      <c r="D51" s="317">
        <v>193</v>
      </c>
      <c r="E51" s="313">
        <v>38835.144</v>
      </c>
      <c r="F51" s="313">
        <v>422793.63588000007</v>
      </c>
      <c r="G51" s="314">
        <f>E51/$E$56</f>
        <v>0.30067679319536916</v>
      </c>
      <c r="H51" s="314">
        <f>(E51-I51)/I51</f>
        <v>-0.29295472551096741</v>
      </c>
      <c r="I51" s="317">
        <v>54925.965000000004</v>
      </c>
      <c r="J51" s="313">
        <v>586610.93857000023</v>
      </c>
      <c r="K51" s="314">
        <f>I51/$I$56</f>
        <v>0.34376984817437484</v>
      </c>
    </row>
    <row r="52" spans="1:11" ht="11.1" customHeight="1">
      <c r="A52" s="420"/>
      <c r="B52" s="420"/>
      <c r="C52" s="155" t="s">
        <v>5</v>
      </c>
      <c r="D52" s="318">
        <v>827</v>
      </c>
      <c r="E52" s="130">
        <v>13301.331</v>
      </c>
      <c r="F52" s="130">
        <v>144810.00812000007</v>
      </c>
      <c r="G52" s="312">
        <f t="shared" ref="G52:G55" si="18">E52/$E$56</f>
        <v>0.10298407932542114</v>
      </c>
      <c r="H52" s="312">
        <f t="shared" ref="H52:H55" si="19">(E52-I52)/I52</f>
        <v>-0.12185800214298027</v>
      </c>
      <c r="I52" s="318">
        <v>15147.130000000001</v>
      </c>
      <c r="J52" s="130">
        <v>161771.64662999989</v>
      </c>
      <c r="K52" s="312">
        <f t="shared" ref="K52:K55" si="20">I52/$I$56</f>
        <v>9.4802641708298038E-2</v>
      </c>
    </row>
    <row r="53" spans="1:11" ht="11.1" customHeight="1">
      <c r="A53" s="420"/>
      <c r="B53" s="420"/>
      <c r="C53" s="155" t="s">
        <v>6</v>
      </c>
      <c r="D53" s="318">
        <v>23929</v>
      </c>
      <c r="E53" s="130">
        <v>21392.69</v>
      </c>
      <c r="F53" s="130">
        <v>232899.31064000001</v>
      </c>
      <c r="G53" s="312">
        <f t="shared" si="18"/>
        <v>0.16563052854967245</v>
      </c>
      <c r="H53" s="312">
        <f t="shared" si="19"/>
        <v>-0.11267119580208135</v>
      </c>
      <c r="I53" s="318">
        <v>24109.09</v>
      </c>
      <c r="J53" s="130">
        <v>257485.88374000002</v>
      </c>
      <c r="K53" s="312">
        <f t="shared" si="20"/>
        <v>0.15089362943231563</v>
      </c>
    </row>
    <row r="54" spans="1:11" ht="11.1" customHeight="1">
      <c r="A54" s="420"/>
      <c r="B54" s="420"/>
      <c r="C54" s="155" t="s">
        <v>7</v>
      </c>
      <c r="D54" s="318">
        <v>352577</v>
      </c>
      <c r="E54" s="130">
        <v>54501.3</v>
      </c>
      <c r="F54" s="130">
        <v>593349.4</v>
      </c>
      <c r="G54" s="312">
        <f t="shared" si="18"/>
        <v>0.42197026767761625</v>
      </c>
      <c r="H54" s="312">
        <f t="shared" si="19"/>
        <v>-0.15296075892905711</v>
      </c>
      <c r="I54" s="318">
        <v>64343.3</v>
      </c>
      <c r="J54" s="130">
        <v>687189.2</v>
      </c>
      <c r="K54" s="312">
        <f t="shared" si="20"/>
        <v>0.40271093046864537</v>
      </c>
    </row>
    <row r="55" spans="1:11" ht="11.1" customHeight="1">
      <c r="A55" s="420"/>
      <c r="B55" s="420"/>
      <c r="C55" s="155" t="s">
        <v>93</v>
      </c>
      <c r="D55" s="318">
        <v>28</v>
      </c>
      <c r="E55" s="130">
        <v>1128.635</v>
      </c>
      <c r="F55" s="130">
        <v>12287.32093</v>
      </c>
      <c r="G55" s="312">
        <f t="shared" si="18"/>
        <v>8.7383312519210814E-3</v>
      </c>
      <c r="H55" s="312">
        <f t="shared" si="19"/>
        <v>-9.7030598080669467E-2</v>
      </c>
      <c r="I55" s="318">
        <v>1249.915</v>
      </c>
      <c r="J55" s="130">
        <v>13349.146640000001</v>
      </c>
      <c r="K55" s="312">
        <f t="shared" si="20"/>
        <v>7.8229502163662239E-3</v>
      </c>
    </row>
    <row r="56" spans="1:11" ht="11.1" customHeight="1">
      <c r="A56" s="421"/>
      <c r="B56" s="421"/>
      <c r="C56" s="323" t="s">
        <v>0</v>
      </c>
      <c r="D56" s="326">
        <v>377554</v>
      </c>
      <c r="E56" s="324">
        <v>129159.09999999999</v>
      </c>
      <c r="F56" s="324">
        <v>1406139.67557</v>
      </c>
      <c r="G56" s="325">
        <f>SUM(G51:G55)</f>
        <v>1</v>
      </c>
      <c r="H56" s="325">
        <f t="shared" ref="H56" si="21">(E56-I56)/I56</f>
        <v>-0.19162086278613608</v>
      </c>
      <c r="I56" s="326">
        <v>159775.4</v>
      </c>
      <c r="J56" s="324">
        <v>1706406.8155799999</v>
      </c>
      <c r="K56" s="325">
        <f>SUM(K51:K55)</f>
        <v>1</v>
      </c>
    </row>
    <row r="57" spans="1:11" ht="11.1" customHeight="1">
      <c r="A57" s="488" t="str">
        <f>'3.1'!G5</f>
        <v>IV. čtvrtletí</v>
      </c>
      <c r="B57" s="419"/>
      <c r="C57" s="165" t="s">
        <v>4</v>
      </c>
      <c r="D57" s="317">
        <f>D51</f>
        <v>193</v>
      </c>
      <c r="E57" s="313">
        <f>E39+E45+E51</f>
        <v>107084.17</v>
      </c>
      <c r="F57" s="313">
        <f>F39+F45+F51</f>
        <v>1169608.8826000001</v>
      </c>
      <c r="G57" s="314">
        <f>E57/$E$62</f>
        <v>0.36628004898137884</v>
      </c>
      <c r="H57" s="314">
        <f>(E57-I57)/I57</f>
        <v>-0.24807452642266292</v>
      </c>
      <c r="I57" s="317">
        <f>I39+I45+I51</f>
        <v>142413.27599999998</v>
      </c>
      <c r="J57" s="313">
        <f>J39+J45+J51</f>
        <v>1521576.7150300005</v>
      </c>
      <c r="K57" s="314">
        <f>I57/$I$62</f>
        <v>0.37244361431200856</v>
      </c>
    </row>
    <row r="58" spans="1:11" ht="11.1" customHeight="1">
      <c r="A58" s="420"/>
      <c r="B58" s="420"/>
      <c r="C58" s="155" t="s">
        <v>5</v>
      </c>
      <c r="D58" s="318">
        <f>D52</f>
        <v>827</v>
      </c>
      <c r="E58" s="130">
        <f t="shared" ref="E58:F58" si="22">E40+E46+E52</f>
        <v>30425.175000000003</v>
      </c>
      <c r="F58" s="130">
        <f t="shared" si="22"/>
        <v>332166.83759999997</v>
      </c>
      <c r="G58" s="312">
        <f t="shared" ref="G58:G61" si="23">E58/$E$62</f>
        <v>0.10406892624061077</v>
      </c>
      <c r="H58" s="312">
        <f t="shared" ref="H58:H61" si="24">(E58-I58)/I58</f>
        <v>-0.24965890812274763</v>
      </c>
      <c r="I58" s="318">
        <f t="shared" ref="I58:J59" si="25">I40+I46+I52</f>
        <v>40548.459000000003</v>
      </c>
      <c r="J58" s="130">
        <f t="shared" si="25"/>
        <v>433214.42455</v>
      </c>
      <c r="K58" s="312">
        <f t="shared" ref="K58:K61" si="26">I58/$I$62</f>
        <v>0.10604358700899694</v>
      </c>
    </row>
    <row r="59" spans="1:11" ht="11.1" customHeight="1">
      <c r="A59" s="420"/>
      <c r="B59" s="420"/>
      <c r="C59" s="155" t="s">
        <v>6</v>
      </c>
      <c r="D59" s="318">
        <f>D53</f>
        <v>23929</v>
      </c>
      <c r="E59" s="130">
        <f>E41+E47+E53</f>
        <v>43828.255000000005</v>
      </c>
      <c r="F59" s="130">
        <f t="shared" ref="F59" si="27">F41+F47+F53</f>
        <v>478323.25851000007</v>
      </c>
      <c r="G59" s="312">
        <f t="shared" si="23"/>
        <v>0.14991399184555818</v>
      </c>
      <c r="H59" s="312">
        <f t="shared" si="24"/>
        <v>-0.1678921428329089</v>
      </c>
      <c r="I59" s="318">
        <f>I41+I47+I53</f>
        <v>52671.362999999998</v>
      </c>
      <c r="J59" s="130">
        <f t="shared" si="25"/>
        <v>562691.05719000008</v>
      </c>
      <c r="K59" s="312">
        <f t="shared" si="26"/>
        <v>0.13774778136878052</v>
      </c>
    </row>
    <row r="60" spans="1:11" ht="11.1" customHeight="1">
      <c r="A60" s="420"/>
      <c r="B60" s="420"/>
      <c r="C60" s="155" t="s">
        <v>7</v>
      </c>
      <c r="D60" s="318">
        <f>D54</f>
        <v>352577</v>
      </c>
      <c r="E60" s="130">
        <f t="shared" ref="E60:F60" si="28">E42+E48+E54</f>
        <v>107833.9</v>
      </c>
      <c r="F60" s="130">
        <f t="shared" si="28"/>
        <v>1176750.8999999999</v>
      </c>
      <c r="G60" s="312">
        <f t="shared" si="23"/>
        <v>0.36884449096307242</v>
      </c>
      <c r="H60" s="312">
        <f t="shared" si="24"/>
        <v>-0.24612660252601024</v>
      </c>
      <c r="I60" s="318">
        <f t="shared" ref="I60:J61" si="29">I42+I48+I54</f>
        <v>143039.79999999999</v>
      </c>
      <c r="J60" s="130">
        <f t="shared" si="29"/>
        <v>1528126</v>
      </c>
      <c r="K60" s="312">
        <f t="shared" si="26"/>
        <v>0.37408211929951563</v>
      </c>
    </row>
    <row r="61" spans="1:11" ht="11.1" customHeight="1">
      <c r="A61" s="420"/>
      <c r="B61" s="420"/>
      <c r="C61" s="155" t="s">
        <v>93</v>
      </c>
      <c r="D61" s="318">
        <f>D55</f>
        <v>28</v>
      </c>
      <c r="E61" s="130">
        <f>E43+E49+E55</f>
        <v>3184.5</v>
      </c>
      <c r="F61" s="130">
        <f t="shared" ref="F61" si="30">F43+F49+F55</f>
        <v>34785.172050000001</v>
      </c>
      <c r="G61" s="312">
        <f t="shared" si="23"/>
        <v>1.0892541969379797E-2</v>
      </c>
      <c r="H61" s="312">
        <f t="shared" si="24"/>
        <v>-0.13990593387930647</v>
      </c>
      <c r="I61" s="318">
        <f>I43+I49+I55</f>
        <v>3702.502</v>
      </c>
      <c r="J61" s="130">
        <f t="shared" si="29"/>
        <v>39561.722659999999</v>
      </c>
      <c r="K61" s="312">
        <f t="shared" si="26"/>
        <v>9.6828980106983872E-3</v>
      </c>
    </row>
    <row r="62" spans="1:11" ht="11.1" customHeight="1">
      <c r="A62" s="421"/>
      <c r="B62" s="421"/>
      <c r="C62" s="323" t="s">
        <v>0</v>
      </c>
      <c r="D62" s="326">
        <f>SUM(D57:D61)</f>
        <v>377554</v>
      </c>
      <c r="E62" s="324">
        <f>SUM(E57:E61)</f>
        <v>292356</v>
      </c>
      <c r="F62" s="324">
        <f>SUM(F57:F61)</f>
        <v>3191635.05076</v>
      </c>
      <c r="G62" s="325">
        <f>SUM(G57:G61)</f>
        <v>1</v>
      </c>
      <c r="H62" s="325">
        <f>(E62-I62)/I62</f>
        <v>-0.23542152554793006</v>
      </c>
      <c r="I62" s="326">
        <f>SUM(I57:I61)</f>
        <v>382375.39999999997</v>
      </c>
      <c r="J62" s="324">
        <f>SUM(J57:J61)</f>
        <v>4085169.9194300007</v>
      </c>
      <c r="K62" s="325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D34:D35"/>
    <mergeCell ref="I34:K35"/>
    <mergeCell ref="H36:H38"/>
    <mergeCell ref="G36:G38"/>
    <mergeCell ref="K36:K38"/>
    <mergeCell ref="A45:B50"/>
    <mergeCell ref="E36:F37"/>
    <mergeCell ref="I36:J37"/>
    <mergeCell ref="A51:B56"/>
    <mergeCell ref="A57:B62"/>
    <mergeCell ref="A39:B44"/>
    <mergeCell ref="A38:B38"/>
    <mergeCell ref="A9:B14"/>
    <mergeCell ref="A15:B20"/>
    <mergeCell ref="A21:B26"/>
    <mergeCell ref="A27:B32"/>
    <mergeCell ref="A34:C34"/>
    <mergeCell ref="A2:K2"/>
    <mergeCell ref="A8:B8"/>
    <mergeCell ref="H6:H8"/>
    <mergeCell ref="A3:C3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20"/>
  <sheetViews>
    <sheetView showGridLines="0" topLeftCell="A16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492" t="s">
        <v>306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12"/>
      <c r="B3" s="512"/>
      <c r="C3" s="512"/>
      <c r="D3" s="305"/>
      <c r="E3" s="305"/>
      <c r="F3" s="306"/>
      <c r="G3" s="307"/>
      <c r="H3" s="307"/>
      <c r="I3" s="307"/>
      <c r="J3" s="76"/>
      <c r="K3" s="76"/>
    </row>
    <row r="4" spans="1:16" ht="12.95" customHeight="1">
      <c r="A4" s="484" t="s">
        <v>37</v>
      </c>
      <c r="B4" s="484"/>
      <c r="C4" s="484"/>
      <c r="D4" s="478">
        <f>'3.1'!A4</f>
        <v>2022</v>
      </c>
      <c r="E4" s="358"/>
      <c r="F4" s="347"/>
      <c r="G4" s="347"/>
      <c r="H4" s="347"/>
      <c r="I4" s="478">
        <f>D4-1</f>
        <v>2021</v>
      </c>
      <c r="J4" s="479"/>
      <c r="K4" s="479"/>
    </row>
    <row r="5" spans="1:16" ht="24.95" customHeight="1">
      <c r="A5" s="359"/>
      <c r="B5" s="359"/>
      <c r="C5" s="359"/>
      <c r="D5" s="480"/>
      <c r="E5" s="360"/>
      <c r="F5" s="361"/>
      <c r="G5" s="361"/>
      <c r="H5" s="362"/>
      <c r="I5" s="480"/>
      <c r="J5" s="481"/>
      <c r="K5" s="481"/>
    </row>
    <row r="6" spans="1:16" ht="24.95" customHeight="1">
      <c r="A6" s="309"/>
      <c r="B6" s="277"/>
      <c r="C6" s="310"/>
      <c r="D6" s="369" t="s">
        <v>160</v>
      </c>
      <c r="E6" s="476" t="s">
        <v>60</v>
      </c>
      <c r="F6" s="476"/>
      <c r="G6" s="477" t="s">
        <v>33</v>
      </c>
      <c r="H6" s="477" t="s">
        <v>272</v>
      </c>
      <c r="I6" s="475" t="s">
        <v>60</v>
      </c>
      <c r="J6" s="476"/>
      <c r="K6" s="477" t="s">
        <v>33</v>
      </c>
    </row>
    <row r="7" spans="1:16" ht="24.95" customHeight="1">
      <c r="A7" s="309"/>
      <c r="B7" s="311"/>
      <c r="D7" s="370"/>
      <c r="E7" s="476"/>
      <c r="F7" s="476"/>
      <c r="G7" s="477"/>
      <c r="H7" s="477"/>
      <c r="I7" s="475"/>
      <c r="J7" s="476"/>
      <c r="K7" s="477"/>
    </row>
    <row r="8" spans="1:16" ht="15" customHeight="1">
      <c r="A8" s="485" t="s">
        <v>159</v>
      </c>
      <c r="B8" s="485"/>
      <c r="C8" s="328" t="s">
        <v>185</v>
      </c>
      <c r="D8" s="348"/>
      <c r="E8" s="222" t="s">
        <v>263</v>
      </c>
      <c r="F8" s="222" t="s">
        <v>264</v>
      </c>
      <c r="G8" s="464"/>
      <c r="H8" s="464"/>
      <c r="I8" s="224" t="s">
        <v>263</v>
      </c>
      <c r="J8" s="222" t="s">
        <v>264</v>
      </c>
      <c r="K8" s="464"/>
    </row>
    <row r="9" spans="1:16" ht="11.1" customHeight="1">
      <c r="A9" s="419" t="str">
        <f>'3.1'!D5</f>
        <v>Říjen</v>
      </c>
      <c r="B9" s="419"/>
      <c r="C9" s="165" t="s">
        <v>4</v>
      </c>
      <c r="D9" s="317">
        <v>55</v>
      </c>
      <c r="E9" s="313">
        <v>7215.5940000000001</v>
      </c>
      <c r="F9" s="313">
        <v>79080.944980000058</v>
      </c>
      <c r="G9" s="314">
        <f>E9/$E$14</f>
        <v>0.55939607253331669</v>
      </c>
      <c r="H9" s="314">
        <f>(E9-I9)/I9</f>
        <v>-0.84752618123407841</v>
      </c>
      <c r="I9" s="317">
        <v>47323.494999999995</v>
      </c>
      <c r="J9" s="313">
        <v>506224.48536000005</v>
      </c>
      <c r="K9" s="314">
        <f>I9/$I$14</f>
        <v>0.83908691319673478</v>
      </c>
    </row>
    <row r="10" spans="1:16" ht="11.1" customHeight="1">
      <c r="A10" s="420"/>
      <c r="B10" s="420"/>
      <c r="C10" s="155" t="s">
        <v>5</v>
      </c>
      <c r="D10" s="318">
        <v>165</v>
      </c>
      <c r="E10" s="130">
        <v>1214.6390000000001</v>
      </c>
      <c r="F10" s="130">
        <v>13311.664180000007</v>
      </c>
      <c r="G10" s="312">
        <f>E10/$E$14</f>
        <v>9.4166091682236469E-2</v>
      </c>
      <c r="H10" s="312">
        <f>(E10-I10)/I10</f>
        <v>-0.37881725406765482</v>
      </c>
      <c r="I10" s="318">
        <v>1955.365</v>
      </c>
      <c r="J10" s="130">
        <v>20917.123109999997</v>
      </c>
      <c r="K10" s="312">
        <f>I10/$I$14</f>
        <v>3.4670329865174446E-2</v>
      </c>
      <c r="L10" s="94"/>
      <c r="N10" s="94"/>
      <c r="O10" s="94"/>
      <c r="P10" s="94"/>
    </row>
    <row r="11" spans="1:16" ht="11.1" customHeight="1">
      <c r="A11" s="420"/>
      <c r="B11" s="420"/>
      <c r="C11" s="155" t="s">
        <v>6</v>
      </c>
      <c r="D11" s="318">
        <v>5870</v>
      </c>
      <c r="E11" s="130">
        <v>1932.2</v>
      </c>
      <c r="F11" s="130">
        <v>21175.9</v>
      </c>
      <c r="G11" s="312">
        <f>E11/$E$14</f>
        <v>0.14979571901479971</v>
      </c>
      <c r="H11" s="312">
        <f t="shared" ref="H11:H13" si="0">(E11-I11)/I11</f>
        <v>-0.30003405278906831</v>
      </c>
      <c r="I11" s="318">
        <v>2760.42</v>
      </c>
      <c r="J11" s="130">
        <v>29528.185935000001</v>
      </c>
      <c r="K11" s="312">
        <f>I11/$I$14</f>
        <v>4.8944658396987181E-2</v>
      </c>
      <c r="L11" s="94"/>
      <c r="N11" s="94"/>
      <c r="O11" s="94"/>
      <c r="P11" s="94"/>
    </row>
    <row r="12" spans="1:16" ht="11.1" customHeight="1">
      <c r="A12" s="420"/>
      <c r="B12" s="420"/>
      <c r="C12" s="155" t="s">
        <v>7</v>
      </c>
      <c r="D12" s="318">
        <v>77086</v>
      </c>
      <c r="E12" s="130">
        <v>2406.1999999999998</v>
      </c>
      <c r="F12" s="130">
        <v>26371</v>
      </c>
      <c r="G12" s="312">
        <f>E12/$E$14</f>
        <v>0.18654303855367507</v>
      </c>
      <c r="H12" s="312">
        <f t="shared" si="0"/>
        <v>-0.42193393393393397</v>
      </c>
      <c r="I12" s="318">
        <v>4162.5</v>
      </c>
      <c r="J12" s="130">
        <v>44527</v>
      </c>
      <c r="K12" s="312">
        <f>I12/$I$14</f>
        <v>7.3804761803442642E-2</v>
      </c>
      <c r="L12" s="94"/>
      <c r="N12" s="94"/>
      <c r="O12" s="94"/>
      <c r="P12" s="94"/>
    </row>
    <row r="13" spans="1:16" ht="11.1" customHeight="1">
      <c r="A13" s="420"/>
      <c r="B13" s="420"/>
      <c r="C13" s="155" t="s">
        <v>93</v>
      </c>
      <c r="D13" s="318">
        <v>7</v>
      </c>
      <c r="E13" s="130">
        <v>130.267</v>
      </c>
      <c r="F13" s="130">
        <v>1427.6971799999999</v>
      </c>
      <c r="G13" s="312">
        <f>E13/$E$14</f>
        <v>1.0099078215971903E-2</v>
      </c>
      <c r="H13" s="312">
        <f t="shared" si="0"/>
        <v>-0.33881331844482798</v>
      </c>
      <c r="I13" s="318">
        <v>197.02</v>
      </c>
      <c r="J13" s="130">
        <v>2107.5516749999997</v>
      </c>
      <c r="K13" s="312">
        <f>I13/$I$14</f>
        <v>3.493336737661086E-3</v>
      </c>
      <c r="L13" s="94"/>
      <c r="N13" s="94"/>
      <c r="O13" s="94"/>
      <c r="P13" s="94"/>
    </row>
    <row r="14" spans="1:16" ht="11.1" customHeight="1">
      <c r="A14" s="421"/>
      <c r="B14" s="421"/>
      <c r="C14" s="323" t="s">
        <v>0</v>
      </c>
      <c r="D14" s="326">
        <v>83183</v>
      </c>
      <c r="E14" s="324">
        <v>12898.900000000001</v>
      </c>
      <c r="F14" s="324">
        <v>141367.20634000006</v>
      </c>
      <c r="G14" s="325">
        <f>SUM(G9:G13)</f>
        <v>0.99999999999999978</v>
      </c>
      <c r="H14" s="325">
        <f>(E14-I14)/I14</f>
        <v>-0.77129123314680448</v>
      </c>
      <c r="I14" s="326">
        <v>56398.799999999988</v>
      </c>
      <c r="J14" s="324">
        <v>603304.34608000005</v>
      </c>
      <c r="K14" s="325">
        <f>SUM(K9:K13)</f>
        <v>1.0000000000000002</v>
      </c>
      <c r="L14" s="94"/>
    </row>
    <row r="15" spans="1:16" ht="11.1" customHeight="1">
      <c r="A15" s="419" t="str">
        <f>'3.1'!E5</f>
        <v>Listopad</v>
      </c>
      <c r="B15" s="419"/>
      <c r="C15" s="165" t="s">
        <v>4</v>
      </c>
      <c r="D15" s="317">
        <v>56</v>
      </c>
      <c r="E15" s="313">
        <v>9093.7470000000012</v>
      </c>
      <c r="F15" s="313">
        <v>99377.498700000011</v>
      </c>
      <c r="G15" s="314">
        <f>E15/$E$20</f>
        <v>0.47112001616379323</v>
      </c>
      <c r="H15" s="314">
        <f>(E15-I15)/I15</f>
        <v>-0.81208648163702801</v>
      </c>
      <c r="I15" s="317">
        <v>48393.256000000001</v>
      </c>
      <c r="J15" s="313">
        <v>516757.59105999983</v>
      </c>
      <c r="K15" s="314">
        <f>I15/$I$20</f>
        <v>0.78444850771914121</v>
      </c>
      <c r="L15" s="94"/>
      <c r="M15" s="94"/>
    </row>
    <row r="16" spans="1:16" ht="11.1" customHeight="1">
      <c r="A16" s="420"/>
      <c r="B16" s="420"/>
      <c r="C16" s="155" t="s">
        <v>5</v>
      </c>
      <c r="D16" s="318">
        <v>164</v>
      </c>
      <c r="E16" s="130">
        <v>1753.25</v>
      </c>
      <c r="F16" s="130">
        <v>19159.480170000003</v>
      </c>
      <c r="G16" s="312">
        <f>E16/$E$20</f>
        <v>9.083067390583556E-2</v>
      </c>
      <c r="H16" s="312">
        <f>(E16-I16)/I16</f>
        <v>-0.30257073243498583</v>
      </c>
      <c r="I16" s="318">
        <v>2513.875</v>
      </c>
      <c r="J16" s="130">
        <v>26844.020159999985</v>
      </c>
      <c r="K16" s="312">
        <f>I16/$I$20</f>
        <v>4.0749593132201237E-2</v>
      </c>
      <c r="L16" s="98"/>
      <c r="M16" s="94"/>
    </row>
    <row r="17" spans="1:20" ht="11.1" customHeight="1">
      <c r="A17" s="420"/>
      <c r="B17" s="420"/>
      <c r="C17" s="155" t="s">
        <v>6</v>
      </c>
      <c r="D17" s="318">
        <v>5856</v>
      </c>
      <c r="E17" s="130">
        <v>3658.2</v>
      </c>
      <c r="F17" s="130">
        <v>39976.9</v>
      </c>
      <c r="G17" s="312">
        <f>E17/$E$20</f>
        <v>0.18952047413793105</v>
      </c>
      <c r="H17" s="312">
        <f t="shared" ref="H17:H20" si="1">(E17-I17)/I17</f>
        <v>-0.15872446789012137</v>
      </c>
      <c r="I17" s="318">
        <v>4348.3969999999999</v>
      </c>
      <c r="J17" s="130">
        <v>46433.483539999994</v>
      </c>
      <c r="K17" s="312">
        <f>I17/$I$20</f>
        <v>7.0486960778592594E-2</v>
      </c>
      <c r="L17" s="94"/>
      <c r="M17" s="94"/>
      <c r="N17" s="94"/>
      <c r="O17" s="94"/>
    </row>
    <row r="18" spans="1:20" ht="11.1" customHeight="1">
      <c r="A18" s="420"/>
      <c r="B18" s="420"/>
      <c r="C18" s="155" t="s">
        <v>7</v>
      </c>
      <c r="D18" s="318">
        <v>77028</v>
      </c>
      <c r="E18" s="130">
        <v>4650.3</v>
      </c>
      <c r="F18" s="130">
        <v>50818.9</v>
      </c>
      <c r="G18" s="312">
        <f>E18/$E$20</f>
        <v>0.24091822778514593</v>
      </c>
      <c r="H18" s="312">
        <f t="shared" si="1"/>
        <v>-0.25592818970207049</v>
      </c>
      <c r="I18" s="318">
        <v>6249.8</v>
      </c>
      <c r="J18" s="130">
        <v>66737.5</v>
      </c>
      <c r="K18" s="312">
        <f>I18/$I$20</f>
        <v>0.1013084609050296</v>
      </c>
      <c r="L18" s="94"/>
      <c r="M18" s="94"/>
      <c r="N18" s="94"/>
      <c r="O18" s="94"/>
    </row>
    <row r="19" spans="1:20" ht="11.1" customHeight="1">
      <c r="A19" s="420"/>
      <c r="B19" s="420"/>
      <c r="C19" s="155" t="s">
        <v>93</v>
      </c>
      <c r="D19" s="318">
        <v>7</v>
      </c>
      <c r="E19" s="130">
        <v>146.90299999999999</v>
      </c>
      <c r="F19" s="130">
        <v>1605.3746799999999</v>
      </c>
      <c r="G19" s="312">
        <f>E19/$E$20</f>
        <v>7.6106080072944303E-3</v>
      </c>
      <c r="H19" s="312">
        <f t="shared" si="1"/>
        <v>-0.20795052622498283</v>
      </c>
      <c r="I19" s="318">
        <v>185.47200000000001</v>
      </c>
      <c r="J19" s="130">
        <v>1980.5213800000001</v>
      </c>
      <c r="K19" s="312">
        <f>I19/$I$20</f>
        <v>3.006477465035305E-3</v>
      </c>
      <c r="L19" s="94"/>
      <c r="M19" s="94"/>
      <c r="N19" s="94"/>
      <c r="O19" s="94"/>
    </row>
    <row r="20" spans="1:20" ht="11.1" customHeight="1">
      <c r="A20" s="421"/>
      <c r="B20" s="421"/>
      <c r="C20" s="323" t="s">
        <v>0</v>
      </c>
      <c r="D20" s="326">
        <v>83111</v>
      </c>
      <c r="E20" s="324">
        <v>19302.399999999998</v>
      </c>
      <c r="F20" s="324">
        <v>210938.15355000002</v>
      </c>
      <c r="G20" s="325">
        <f>SUM(G15:G19)</f>
        <v>1.0000000000000002</v>
      </c>
      <c r="H20" s="325">
        <f t="shared" si="1"/>
        <v>-0.68711055781413122</v>
      </c>
      <c r="I20" s="326">
        <v>61690.8</v>
      </c>
      <c r="J20" s="324">
        <v>658753.11613999994</v>
      </c>
      <c r="K20" s="325">
        <f>SUM(K15:K19)</f>
        <v>1</v>
      </c>
      <c r="L20" s="94"/>
      <c r="M20" s="94"/>
      <c r="N20" s="94"/>
      <c r="O20" s="94"/>
    </row>
    <row r="21" spans="1:20" ht="11.1" customHeight="1">
      <c r="A21" s="419" t="str">
        <f>'3.1'!F5</f>
        <v>Prosinec</v>
      </c>
      <c r="B21" s="419"/>
      <c r="C21" s="165" t="s">
        <v>4</v>
      </c>
      <c r="D21" s="317">
        <v>56</v>
      </c>
      <c r="E21" s="313">
        <v>9950.0429999999997</v>
      </c>
      <c r="F21" s="313">
        <v>108325.22898</v>
      </c>
      <c r="G21" s="314">
        <f>E21/$E$26</f>
        <v>0.39873858891231001</v>
      </c>
      <c r="H21" s="314">
        <f>(E21-I21)/I21</f>
        <v>-0.80014432530241053</v>
      </c>
      <c r="I21" s="317">
        <v>49786.142</v>
      </c>
      <c r="J21" s="313">
        <v>531718.39155000006</v>
      </c>
      <c r="K21" s="314">
        <f>I21/$I$26</f>
        <v>0.73912408715778155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0"/>
      <c r="B22" s="420"/>
      <c r="C22" s="155" t="s">
        <v>5</v>
      </c>
      <c r="D22" s="318">
        <v>164</v>
      </c>
      <c r="E22" s="130">
        <v>2302.087</v>
      </c>
      <c r="F22" s="130">
        <v>25062.659850000029</v>
      </c>
      <c r="G22" s="312">
        <f>E22/$E$26</f>
        <v>9.2253965327926027E-2</v>
      </c>
      <c r="H22" s="312">
        <f t="shared" ref="H22:H26" si="2">(E22-I22)/I22</f>
        <v>-0.19497764766111728</v>
      </c>
      <c r="I22" s="318">
        <v>2859.6559999999999</v>
      </c>
      <c r="J22" s="130">
        <v>30541.378120000008</v>
      </c>
      <c r="K22" s="312">
        <f>I22/$I$26</f>
        <v>4.2454396859778226E-2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0"/>
      <c r="B23" s="420"/>
      <c r="C23" s="155" t="s">
        <v>6</v>
      </c>
      <c r="D23" s="318">
        <v>5850</v>
      </c>
      <c r="E23" s="130">
        <v>5337</v>
      </c>
      <c r="F23" s="130">
        <v>58103.8</v>
      </c>
      <c r="G23" s="312">
        <f>E23/$E$26</f>
        <v>0.2138752414461926</v>
      </c>
      <c r="H23" s="312">
        <f t="shared" si="2"/>
        <v>-0.11194368355177266</v>
      </c>
      <c r="I23" s="318">
        <v>6009.7539999999999</v>
      </c>
      <c r="J23" s="130">
        <v>64184.767906000001</v>
      </c>
      <c r="K23" s="312">
        <f>I23/$I$26</f>
        <v>8.9220689952092022E-2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0"/>
      <c r="B24" s="420"/>
      <c r="C24" s="155" t="s">
        <v>7</v>
      </c>
      <c r="D24" s="318">
        <v>76938</v>
      </c>
      <c r="E24" s="130">
        <v>7211.1</v>
      </c>
      <c r="F24" s="130">
        <v>78506.100000000006</v>
      </c>
      <c r="G24" s="312">
        <f>E24/$E$26</f>
        <v>0.28897803140203104</v>
      </c>
      <c r="H24" s="312">
        <f t="shared" si="2"/>
        <v>-0.15296066155309915</v>
      </c>
      <c r="I24" s="318">
        <v>8513.2999999999993</v>
      </c>
      <c r="J24" s="130">
        <v>90922.1</v>
      </c>
      <c r="K24" s="312">
        <f>I24/$I$26</f>
        <v>0.12638828473996522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0"/>
      <c r="B25" s="420"/>
      <c r="C25" s="155" t="s">
        <v>93</v>
      </c>
      <c r="D25" s="318">
        <v>7</v>
      </c>
      <c r="E25" s="130">
        <v>153.57</v>
      </c>
      <c r="F25" s="130">
        <v>1671.8920699999999</v>
      </c>
      <c r="G25" s="312">
        <f>E25/$E$26</f>
        <v>6.1541729115405274E-3</v>
      </c>
      <c r="H25" s="312">
        <f t="shared" si="2"/>
        <v>-0.18938178286389939</v>
      </c>
      <c r="I25" s="318">
        <v>189.44800000000001</v>
      </c>
      <c r="J25" s="130">
        <v>2023.3186239999998</v>
      </c>
      <c r="K25" s="312">
        <f>I25/$I$26</f>
        <v>2.8125412903829226E-3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21"/>
      <c r="B26" s="421"/>
      <c r="C26" s="323" t="s">
        <v>0</v>
      </c>
      <c r="D26" s="326">
        <v>83015</v>
      </c>
      <c r="E26" s="324">
        <v>24953.799999999996</v>
      </c>
      <c r="F26" s="324">
        <v>271669.68090000009</v>
      </c>
      <c r="G26" s="325">
        <f>SUM(G21:G25)</f>
        <v>1.0000000000000002</v>
      </c>
      <c r="H26" s="325">
        <f t="shared" si="2"/>
        <v>-0.62953637487881975</v>
      </c>
      <c r="I26" s="326">
        <v>67358.3</v>
      </c>
      <c r="J26" s="324">
        <v>719389.95620000002</v>
      </c>
      <c r="K26" s="325">
        <f>SUM(K21:K25)</f>
        <v>0.99999999999999989</v>
      </c>
    </row>
    <row r="27" spans="1:20" ht="11.1" customHeight="1">
      <c r="A27" s="488" t="str">
        <f>'3.1'!G5</f>
        <v>IV. čtvrtletí</v>
      </c>
      <c r="B27" s="419"/>
      <c r="C27" s="165" t="s">
        <v>4</v>
      </c>
      <c r="D27" s="317">
        <f>D21</f>
        <v>56</v>
      </c>
      <c r="E27" s="313">
        <f>E9+E15+E21</f>
        <v>26259.383999999998</v>
      </c>
      <c r="F27" s="313">
        <f>F9+F15+F21</f>
        <v>286783.6726600001</v>
      </c>
      <c r="G27" s="314">
        <f>E27/$E$32</f>
        <v>0.45944078481185402</v>
      </c>
      <c r="H27" s="314">
        <f>(E27-I27)/I27</f>
        <v>-0.81952672239994573</v>
      </c>
      <c r="I27" s="317">
        <f>I9+I15+I21</f>
        <v>145502.89299999998</v>
      </c>
      <c r="J27" s="313">
        <f>J9+J15+J21</f>
        <v>1554700.4679699999</v>
      </c>
      <c r="K27" s="314">
        <f>I27/$I$32</f>
        <v>0.78460253796349266</v>
      </c>
    </row>
    <row r="28" spans="1:20" ht="11.1" customHeight="1">
      <c r="A28" s="420"/>
      <c r="B28" s="420"/>
      <c r="C28" s="155" t="s">
        <v>5</v>
      </c>
      <c r="D28" s="318">
        <f>D22</f>
        <v>164</v>
      </c>
      <c r="E28" s="130">
        <f t="shared" ref="E28:F31" si="3">E10+E16+E22</f>
        <v>5269.9760000000006</v>
      </c>
      <c r="F28" s="130">
        <f t="shared" si="3"/>
        <v>57533.804200000042</v>
      </c>
      <c r="G28" s="312">
        <f>E28/$E$32</f>
        <v>9.2204825116218858E-2</v>
      </c>
      <c r="H28" s="312">
        <f t="shared" ref="H28:H31" si="4">(E28-I28)/I28</f>
        <v>-0.2809318074645894</v>
      </c>
      <c r="I28" s="318">
        <f t="shared" ref="I28:J28" si="5">I10+I16+I22</f>
        <v>7328.8959999999997</v>
      </c>
      <c r="J28" s="130">
        <f t="shared" si="5"/>
        <v>78302.521389999994</v>
      </c>
      <c r="K28" s="312">
        <f>I28/$I$32</f>
        <v>3.9519972995110758E-2</v>
      </c>
    </row>
    <row r="29" spans="1:20" ht="11.1" customHeight="1">
      <c r="A29" s="420"/>
      <c r="B29" s="420"/>
      <c r="C29" s="155" t="s">
        <v>6</v>
      </c>
      <c r="D29" s="318">
        <f>D23</f>
        <v>5850</v>
      </c>
      <c r="E29" s="130">
        <f t="shared" si="3"/>
        <v>10927.4</v>
      </c>
      <c r="F29" s="130">
        <f t="shared" si="3"/>
        <v>119256.6</v>
      </c>
      <c r="G29" s="312">
        <f>E29/$E$32</f>
        <v>0.1911885378557644</v>
      </c>
      <c r="H29" s="312">
        <f t="shared" si="4"/>
        <v>-0.16702817707812842</v>
      </c>
      <c r="I29" s="318">
        <f t="shared" ref="I29:J29" si="6">I11+I17+I23</f>
        <v>13118.571</v>
      </c>
      <c r="J29" s="130">
        <f t="shared" si="6"/>
        <v>140146.437381</v>
      </c>
      <c r="K29" s="312">
        <f>I29/$I$32</f>
        <v>7.0739927494460716E-2</v>
      </c>
    </row>
    <row r="30" spans="1:20" ht="11.1" customHeight="1">
      <c r="A30" s="420"/>
      <c r="B30" s="420"/>
      <c r="C30" s="155" t="s">
        <v>7</v>
      </c>
      <c r="D30" s="318">
        <f>D24</f>
        <v>76938</v>
      </c>
      <c r="E30" s="130">
        <f t="shared" si="3"/>
        <v>14267.6</v>
      </c>
      <c r="F30" s="130">
        <f t="shared" si="3"/>
        <v>155696</v>
      </c>
      <c r="G30" s="312">
        <f>E30/$E$32</f>
        <v>0.24962951687600932</v>
      </c>
      <c r="H30" s="312">
        <f t="shared" si="4"/>
        <v>-0.24612165532400551</v>
      </c>
      <c r="I30" s="318">
        <f t="shared" ref="I30:J30" si="7">I12+I18+I24</f>
        <v>18925.599999999999</v>
      </c>
      <c r="J30" s="130">
        <f t="shared" si="7"/>
        <v>202186.6</v>
      </c>
      <c r="K30" s="312">
        <f>I30/$I$32</f>
        <v>0.10205346083724863</v>
      </c>
    </row>
    <row r="31" spans="1:20" ht="11.1" customHeight="1">
      <c r="A31" s="420"/>
      <c r="B31" s="420"/>
      <c r="C31" s="155" t="s">
        <v>93</v>
      </c>
      <c r="D31" s="318">
        <f>D25</f>
        <v>7</v>
      </c>
      <c r="E31" s="130">
        <f>E13+E19+E25</f>
        <v>430.73999999999995</v>
      </c>
      <c r="F31" s="130">
        <f t="shared" si="3"/>
        <v>4704.9639299999999</v>
      </c>
      <c r="G31" s="312">
        <f>E31/$E$32</f>
        <v>7.5363353401533715E-3</v>
      </c>
      <c r="H31" s="312">
        <f t="shared" si="4"/>
        <v>-0.24687904325628579</v>
      </c>
      <c r="I31" s="318">
        <f>I13+I19+I25</f>
        <v>571.94000000000005</v>
      </c>
      <c r="J31" s="130">
        <f t="shared" ref="J31" si="8">J13+J19+J25</f>
        <v>6111.3916789999994</v>
      </c>
      <c r="K31" s="312">
        <f>I31/$I$32</f>
        <v>3.0841007096871955E-3</v>
      </c>
    </row>
    <row r="32" spans="1:20" ht="11.1" customHeight="1">
      <c r="A32" s="421"/>
      <c r="B32" s="421"/>
      <c r="C32" s="323" t="s">
        <v>0</v>
      </c>
      <c r="D32" s="326">
        <f>SUM(D27:D31)</f>
        <v>83015</v>
      </c>
      <c r="E32" s="324">
        <f>SUM(E27:E31)</f>
        <v>57155.1</v>
      </c>
      <c r="F32" s="324">
        <f>SUM(F27:F31)</f>
        <v>623975.04079000012</v>
      </c>
      <c r="G32" s="325">
        <f>SUM(G27:G31)</f>
        <v>1</v>
      </c>
      <c r="H32" s="325">
        <f>(E32-I32)/I32</f>
        <v>-0.69179969144972786</v>
      </c>
      <c r="I32" s="326">
        <f>SUM(I27:I31)</f>
        <v>185447.9</v>
      </c>
      <c r="J32" s="324">
        <f>SUM(J27:J31)</f>
        <v>1981447.41842</v>
      </c>
      <c r="K32" s="325">
        <f>SUM(K27:K31)</f>
        <v>1</v>
      </c>
    </row>
    <row r="33" spans="1:11" ht="9.9499999999999993" customHeight="1">
      <c r="A33" s="363"/>
      <c r="B33" s="364"/>
      <c r="C33" s="365"/>
      <c r="D33" s="366"/>
      <c r="E33" s="366"/>
      <c r="F33" s="366"/>
      <c r="G33" s="367"/>
      <c r="H33" s="368"/>
      <c r="I33" s="366"/>
      <c r="J33" s="366"/>
      <c r="K33" s="367"/>
    </row>
    <row r="34" spans="1:11" ht="12.95" customHeight="1">
      <c r="A34" s="513" t="s">
        <v>38</v>
      </c>
      <c r="B34" s="513"/>
      <c r="C34" s="513"/>
      <c r="D34" s="478">
        <f>D4</f>
        <v>2022</v>
      </c>
      <c r="E34" s="358"/>
      <c r="F34" s="347"/>
      <c r="G34" s="347"/>
      <c r="H34" s="347"/>
      <c r="I34" s="478">
        <f>D34-1</f>
        <v>2021</v>
      </c>
      <c r="J34" s="479"/>
      <c r="K34" s="479"/>
    </row>
    <row r="35" spans="1:11" ht="24.95" customHeight="1">
      <c r="A35" s="309"/>
      <c r="B35" s="277"/>
      <c r="C35" s="151"/>
      <c r="D35" s="480"/>
      <c r="E35" s="360"/>
      <c r="F35" s="361"/>
      <c r="G35" s="361"/>
      <c r="H35" s="362"/>
      <c r="I35" s="480"/>
      <c r="J35" s="481"/>
      <c r="K35" s="481"/>
    </row>
    <row r="36" spans="1:11" ht="24.95" customHeight="1">
      <c r="A36" s="131"/>
      <c r="B36" s="132"/>
      <c r="C36" s="357"/>
      <c r="D36" s="369" t="s">
        <v>160</v>
      </c>
      <c r="E36" s="476" t="s">
        <v>60</v>
      </c>
      <c r="F36" s="476"/>
      <c r="G36" s="477" t="s">
        <v>33</v>
      </c>
      <c r="H36" s="477" t="s">
        <v>272</v>
      </c>
      <c r="I36" s="475" t="s">
        <v>60</v>
      </c>
      <c r="J36" s="476"/>
      <c r="K36" s="477" t="s">
        <v>33</v>
      </c>
    </row>
    <row r="37" spans="1:11" ht="24.95" customHeight="1">
      <c r="A37" s="131"/>
      <c r="B37" s="311"/>
      <c r="C37" s="311"/>
      <c r="D37" s="370"/>
      <c r="E37" s="476"/>
      <c r="F37" s="476"/>
      <c r="G37" s="477"/>
      <c r="H37" s="477"/>
      <c r="I37" s="475"/>
      <c r="J37" s="476"/>
      <c r="K37" s="477"/>
    </row>
    <row r="38" spans="1:11" ht="15" customHeight="1">
      <c r="A38" s="514" t="s">
        <v>159</v>
      </c>
      <c r="B38" s="514"/>
      <c r="C38" s="371" t="s">
        <v>185</v>
      </c>
      <c r="D38" s="348"/>
      <c r="E38" s="222" t="s">
        <v>263</v>
      </c>
      <c r="F38" s="222" t="s">
        <v>264</v>
      </c>
      <c r="G38" s="464"/>
      <c r="H38" s="464"/>
      <c r="I38" s="224" t="s">
        <v>263</v>
      </c>
      <c r="J38" s="222" t="s">
        <v>264</v>
      </c>
      <c r="K38" s="464"/>
    </row>
    <row r="39" spans="1:11" ht="11.1" customHeight="1">
      <c r="A39" s="419" t="str">
        <f>'3.1'!D5</f>
        <v>Říjen</v>
      </c>
      <c r="B39" s="419"/>
      <c r="C39" s="165" t="s">
        <v>4</v>
      </c>
      <c r="D39" s="317">
        <v>78</v>
      </c>
      <c r="E39" s="313">
        <v>9407.987000000001</v>
      </c>
      <c r="F39" s="313">
        <v>103109.13844000002</v>
      </c>
      <c r="G39" s="314">
        <f>E39/$E$44</f>
        <v>0.4788145151029341</v>
      </c>
      <c r="H39" s="314">
        <f>(E39-I39)/I39</f>
        <v>-0.1933033971423109</v>
      </c>
      <c r="I39" s="317">
        <v>11662.360999999999</v>
      </c>
      <c r="J39" s="313">
        <v>124753.27680999997</v>
      </c>
      <c r="K39" s="314">
        <f>I39/$I$44</f>
        <v>0.41503950262283179</v>
      </c>
    </row>
    <row r="40" spans="1:11" ht="11.1" customHeight="1">
      <c r="A40" s="420"/>
      <c r="B40" s="420"/>
      <c r="C40" s="155" t="s">
        <v>5</v>
      </c>
      <c r="D40" s="318">
        <v>249</v>
      </c>
      <c r="E40" s="130">
        <v>2039.6210000000001</v>
      </c>
      <c r="F40" s="130">
        <v>22353.821150000007</v>
      </c>
      <c r="G40" s="312">
        <f t="shared" ref="G40" si="9">E40/$E$44</f>
        <v>0.10380543043998271</v>
      </c>
      <c r="H40" s="312">
        <f>(E40-I40)/I40</f>
        <v>-0.35338149211486075</v>
      </c>
      <c r="I40" s="318">
        <v>3154.288</v>
      </c>
      <c r="J40" s="130">
        <v>33742.243749999994</v>
      </c>
      <c r="K40" s="312">
        <f t="shared" ref="K40:K43" si="10">I40/$I$44</f>
        <v>0.11225463888908661</v>
      </c>
    </row>
    <row r="41" spans="1:11" ht="11.1" customHeight="1">
      <c r="A41" s="420"/>
      <c r="B41" s="420"/>
      <c r="C41" s="155" t="s">
        <v>6</v>
      </c>
      <c r="D41" s="318">
        <v>9899</v>
      </c>
      <c r="E41" s="130">
        <v>3062.3470000000002</v>
      </c>
      <c r="F41" s="130">
        <v>33562.420389999999</v>
      </c>
      <c r="G41" s="312">
        <f>E41/$E$44</f>
        <v>0.15585652848817977</v>
      </c>
      <c r="H41" s="312">
        <f t="shared" ref="H41:H43" si="11">(E41-I41)/I41</f>
        <v>-0.30328920800785347</v>
      </c>
      <c r="I41" s="318">
        <v>4395.4349999999995</v>
      </c>
      <c r="J41" s="130">
        <v>47018.130059999996</v>
      </c>
      <c r="K41" s="312">
        <f t="shared" si="10"/>
        <v>0.15642451440244276</v>
      </c>
    </row>
    <row r="42" spans="1:11" ht="11.1" customHeight="1">
      <c r="A42" s="420"/>
      <c r="B42" s="420"/>
      <c r="C42" s="155" t="s">
        <v>7</v>
      </c>
      <c r="D42" s="318">
        <v>106425</v>
      </c>
      <c r="E42" s="130">
        <v>5034.3</v>
      </c>
      <c r="F42" s="130">
        <v>55174.7</v>
      </c>
      <c r="G42" s="312">
        <f>E42/$E$44</f>
        <v>0.25621803191083292</v>
      </c>
      <c r="H42" s="312">
        <f t="shared" si="11"/>
        <v>-0.42194281777471582</v>
      </c>
      <c r="I42" s="318">
        <v>8709</v>
      </c>
      <c r="J42" s="130">
        <v>93161.4</v>
      </c>
      <c r="K42" s="312">
        <f t="shared" si="10"/>
        <v>0.30993544346142626</v>
      </c>
    </row>
    <row r="43" spans="1:11" ht="11.1" customHeight="1">
      <c r="A43" s="420"/>
      <c r="B43" s="420"/>
      <c r="C43" s="155" t="s">
        <v>93</v>
      </c>
      <c r="D43" s="318">
        <v>17</v>
      </c>
      <c r="E43" s="130">
        <v>104.245</v>
      </c>
      <c r="F43" s="130">
        <v>1142.5021399999998</v>
      </c>
      <c r="G43" s="312">
        <f>E43/$E$44</f>
        <v>5.3054940580705909E-3</v>
      </c>
      <c r="H43" s="312">
        <f t="shared" si="11"/>
        <v>-0.41539177639695818</v>
      </c>
      <c r="I43" s="318">
        <v>178.316</v>
      </c>
      <c r="J43" s="130">
        <v>1907.4592000000005</v>
      </c>
      <c r="K43" s="312">
        <f t="shared" si="10"/>
        <v>6.3459006242126172E-3</v>
      </c>
    </row>
    <row r="44" spans="1:11" ht="11.1" customHeight="1">
      <c r="A44" s="421"/>
      <c r="B44" s="421"/>
      <c r="C44" s="323" t="s">
        <v>0</v>
      </c>
      <c r="D44" s="326">
        <v>116668</v>
      </c>
      <c r="E44" s="324">
        <v>19648.5</v>
      </c>
      <c r="F44" s="324">
        <v>215342.58212000004</v>
      </c>
      <c r="G44" s="325">
        <f>SUM(G39:G43)</f>
        <v>1.0000000000000002</v>
      </c>
      <c r="H44" s="325">
        <f>(E44-I44)/I44</f>
        <v>-0.30075019395431923</v>
      </c>
      <c r="I44" s="326">
        <v>28099.399999999998</v>
      </c>
      <c r="J44" s="324">
        <v>300582.50981999998</v>
      </c>
      <c r="K44" s="325">
        <f>SUM(K39:K43)</f>
        <v>1</v>
      </c>
    </row>
    <row r="45" spans="1:11" ht="11.1" customHeight="1">
      <c r="A45" s="419" t="str">
        <f>'3.1'!E5</f>
        <v>Listopad</v>
      </c>
      <c r="B45" s="419"/>
      <c r="C45" s="165" t="s">
        <v>4</v>
      </c>
      <c r="D45" s="317">
        <v>78</v>
      </c>
      <c r="E45" s="313">
        <v>11728.197</v>
      </c>
      <c r="F45" s="313">
        <v>128168.08512999998</v>
      </c>
      <c r="G45" s="314">
        <f>E45/$E$50</f>
        <v>0.38682664335894984</v>
      </c>
      <c r="H45" s="314">
        <f>(E45-I45)/I45</f>
        <v>-0.18283683794382685</v>
      </c>
      <c r="I45" s="317">
        <v>14352.332</v>
      </c>
      <c r="J45" s="313">
        <v>153258.95523000002</v>
      </c>
      <c r="K45" s="314">
        <f>I45/$I$50</f>
        <v>0.37332116009884253</v>
      </c>
    </row>
    <row r="46" spans="1:11" ht="11.1" customHeight="1">
      <c r="A46" s="420"/>
      <c r="B46" s="420"/>
      <c r="C46" s="155" t="s">
        <v>5</v>
      </c>
      <c r="D46" s="318">
        <v>249</v>
      </c>
      <c r="E46" s="130">
        <v>2927.0589999999997</v>
      </c>
      <c r="F46" s="130">
        <v>31987.040420000005</v>
      </c>
      <c r="G46" s="312">
        <f t="shared" ref="G46:G49" si="12">E46/$E$50</f>
        <v>9.6542069329463367E-2</v>
      </c>
      <c r="H46" s="312">
        <f>(E46-I46)/I46</f>
        <v>-0.25778128495324532</v>
      </c>
      <c r="I46" s="318">
        <v>3943.6610000000001</v>
      </c>
      <c r="J46" s="130">
        <v>42111.535330000028</v>
      </c>
      <c r="K46" s="312">
        <f t="shared" ref="K46:K49" si="13">I46/$I$50</f>
        <v>0.10257929509689166</v>
      </c>
    </row>
    <row r="47" spans="1:11" ht="11.1" customHeight="1">
      <c r="A47" s="420"/>
      <c r="B47" s="420"/>
      <c r="C47" s="155" t="s">
        <v>6</v>
      </c>
      <c r="D47" s="318">
        <v>9875</v>
      </c>
      <c r="E47" s="130">
        <v>5799.5860000000002</v>
      </c>
      <c r="F47" s="130">
        <v>63378.925770000002</v>
      </c>
      <c r="G47" s="312">
        <f t="shared" si="12"/>
        <v>0.19128553052541311</v>
      </c>
      <c r="H47" s="312">
        <f t="shared" ref="H47:H49" si="14">(E47-I47)/I47</f>
        <v>-0.15866407207223937</v>
      </c>
      <c r="I47" s="318">
        <v>6893.3060000000005</v>
      </c>
      <c r="J47" s="130">
        <v>73609.134149999998</v>
      </c>
      <c r="K47" s="312">
        <f t="shared" si="13"/>
        <v>0.17930305631421511</v>
      </c>
    </row>
    <row r="48" spans="1:11" ht="11.1" customHeight="1">
      <c r="A48" s="420"/>
      <c r="B48" s="420"/>
      <c r="C48" s="155" t="s">
        <v>7</v>
      </c>
      <c r="D48" s="318">
        <v>106345</v>
      </c>
      <c r="E48" s="130">
        <v>9729.5</v>
      </c>
      <c r="F48" s="130">
        <v>106325.7</v>
      </c>
      <c r="G48" s="312">
        <f t="shared" si="12"/>
        <v>0.32090438338995347</v>
      </c>
      <c r="H48" s="312">
        <f t="shared" si="14"/>
        <v>-0.25593826952784454</v>
      </c>
      <c r="I48" s="318">
        <v>13076.2</v>
      </c>
      <c r="J48" s="130">
        <v>139631.29999999999</v>
      </c>
      <c r="K48" s="312">
        <f t="shared" si="13"/>
        <v>0.34012745480556639</v>
      </c>
    </row>
    <row r="49" spans="1:11" ht="11.1" customHeight="1">
      <c r="A49" s="420"/>
      <c r="B49" s="420"/>
      <c r="C49" s="155" t="s">
        <v>93</v>
      </c>
      <c r="D49" s="318">
        <v>17</v>
      </c>
      <c r="E49" s="130">
        <v>134.65799999999999</v>
      </c>
      <c r="F49" s="130">
        <v>1471.5644799999998</v>
      </c>
      <c r="G49" s="312">
        <f t="shared" si="12"/>
        <v>4.4413733962201914E-3</v>
      </c>
      <c r="H49" s="312">
        <f t="shared" si="14"/>
        <v>-0.24982033526275629</v>
      </c>
      <c r="I49" s="318">
        <v>179.501</v>
      </c>
      <c r="J49" s="130">
        <v>1916.7673500000001</v>
      </c>
      <c r="K49" s="312">
        <f t="shared" si="13"/>
        <v>4.6690336844843281E-3</v>
      </c>
    </row>
    <row r="50" spans="1:11" ht="11.1" customHeight="1">
      <c r="A50" s="421"/>
      <c r="B50" s="421"/>
      <c r="C50" s="323" t="s">
        <v>0</v>
      </c>
      <c r="D50" s="326">
        <v>116564</v>
      </c>
      <c r="E50" s="324">
        <v>30319</v>
      </c>
      <c r="F50" s="324">
        <v>331331.31579999998</v>
      </c>
      <c r="G50" s="325">
        <f>SUM(G45:G49)</f>
        <v>0.99999999999999989</v>
      </c>
      <c r="H50" s="325">
        <f t="shared" ref="H50" si="15">(E50-I50)/I50</f>
        <v>-0.21136688776173754</v>
      </c>
      <c r="I50" s="326">
        <v>38445</v>
      </c>
      <c r="J50" s="324">
        <v>410527.69206000003</v>
      </c>
      <c r="K50" s="325">
        <f>SUM(K45:K49)</f>
        <v>1</v>
      </c>
    </row>
    <row r="51" spans="1:11" ht="11.1" customHeight="1">
      <c r="A51" s="419" t="str">
        <f>'3.1'!F5</f>
        <v>Prosinec</v>
      </c>
      <c r="B51" s="419"/>
      <c r="C51" s="165" t="s">
        <v>4</v>
      </c>
      <c r="D51" s="317">
        <v>78</v>
      </c>
      <c r="E51" s="313">
        <v>11878.65</v>
      </c>
      <c r="F51" s="313">
        <v>129321.29042</v>
      </c>
      <c r="G51" s="314">
        <f>E51/$E$56</f>
        <v>0.30416351927484092</v>
      </c>
      <c r="H51" s="314">
        <f>(E51-I51)/I51</f>
        <v>-0.22507440587830907</v>
      </c>
      <c r="I51" s="317">
        <v>15328.762000000001</v>
      </c>
      <c r="J51" s="313">
        <v>163711.3652</v>
      </c>
      <c r="K51" s="314">
        <f>I51/$I$56</f>
        <v>0.32435234322761941</v>
      </c>
    </row>
    <row r="52" spans="1:11" ht="11.1" customHeight="1">
      <c r="A52" s="420"/>
      <c r="B52" s="420"/>
      <c r="C52" s="155" t="s">
        <v>5</v>
      </c>
      <c r="D52" s="318">
        <v>250</v>
      </c>
      <c r="E52" s="130">
        <v>3496.4369999999999</v>
      </c>
      <c r="F52" s="130">
        <v>38065.566670000022</v>
      </c>
      <c r="G52" s="312">
        <f t="shared" ref="G52:G55" si="16">E52/$E$56</f>
        <v>8.9529414777164654E-2</v>
      </c>
      <c r="H52" s="312">
        <f t="shared" ref="H52:H55" si="17">(E52-I52)/I52</f>
        <v>-0.20645410798183333</v>
      </c>
      <c r="I52" s="318">
        <v>4406.0929999999998</v>
      </c>
      <c r="J52" s="130">
        <v>47057.405940000004</v>
      </c>
      <c r="K52" s="312">
        <f t="shared" ref="K52:K55" si="18">I52/$I$56</f>
        <v>9.323170318834692E-2</v>
      </c>
    </row>
    <row r="53" spans="1:11" ht="11.1" customHeight="1">
      <c r="A53" s="420"/>
      <c r="B53" s="420"/>
      <c r="C53" s="155" t="s">
        <v>6</v>
      </c>
      <c r="D53" s="318">
        <v>9866</v>
      </c>
      <c r="E53" s="130">
        <v>8461.9420000000009</v>
      </c>
      <c r="F53" s="130">
        <v>92124.522509999995</v>
      </c>
      <c r="G53" s="312">
        <f t="shared" si="16"/>
        <v>0.21667563726682629</v>
      </c>
      <c r="H53" s="312">
        <f t="shared" si="17"/>
        <v>-0.1121598836629793</v>
      </c>
      <c r="I53" s="318">
        <v>9530.93</v>
      </c>
      <c r="J53" s="130">
        <v>101790.24408</v>
      </c>
      <c r="K53" s="312">
        <f t="shared" si="18"/>
        <v>0.20167182963884589</v>
      </c>
    </row>
    <row r="54" spans="1:11" ht="11.1" customHeight="1">
      <c r="A54" s="420"/>
      <c r="B54" s="420"/>
      <c r="C54" s="155" t="s">
        <v>7</v>
      </c>
      <c r="D54" s="318">
        <v>106221</v>
      </c>
      <c r="E54" s="130">
        <v>15087.3</v>
      </c>
      <c r="F54" s="130">
        <v>164254.20000000001</v>
      </c>
      <c r="G54" s="312">
        <f t="shared" si="16"/>
        <v>0.38632388902403114</v>
      </c>
      <c r="H54" s="312">
        <f t="shared" si="17"/>
        <v>-0.15296515251040047</v>
      </c>
      <c r="I54" s="318">
        <v>17811.900000000001</v>
      </c>
      <c r="J54" s="130">
        <v>190231.4</v>
      </c>
      <c r="K54" s="312">
        <f t="shared" si="18"/>
        <v>0.37689485310920962</v>
      </c>
    </row>
    <row r="55" spans="1:11" ht="11.1" customHeight="1">
      <c r="A55" s="420"/>
      <c r="B55" s="420"/>
      <c r="C55" s="155" t="s">
        <v>93</v>
      </c>
      <c r="D55" s="318">
        <v>17</v>
      </c>
      <c r="E55" s="130">
        <v>129.17099999999999</v>
      </c>
      <c r="F55" s="130">
        <v>1406.2782500000001</v>
      </c>
      <c r="G55" s="312">
        <f t="shared" si="16"/>
        <v>3.3075396571370041E-3</v>
      </c>
      <c r="H55" s="312">
        <f t="shared" si="17"/>
        <v>-0.28993760822362091</v>
      </c>
      <c r="I55" s="318">
        <v>181.91499999999999</v>
      </c>
      <c r="J55" s="130">
        <v>1942.8658399999999</v>
      </c>
      <c r="K55" s="312">
        <f t="shared" si="18"/>
        <v>3.8492708359782984E-3</v>
      </c>
    </row>
    <row r="56" spans="1:11" ht="11.1" customHeight="1">
      <c r="A56" s="421"/>
      <c r="B56" s="421"/>
      <c r="C56" s="323" t="s">
        <v>0</v>
      </c>
      <c r="D56" s="326">
        <v>116432</v>
      </c>
      <c r="E56" s="324">
        <v>39053.5</v>
      </c>
      <c r="F56" s="324">
        <v>425171.85785000003</v>
      </c>
      <c r="G56" s="325">
        <f>SUM(G51:G55)</f>
        <v>1</v>
      </c>
      <c r="H56" s="325">
        <f t="shared" ref="H56" si="19">(E56-I56)/I56</f>
        <v>-0.17363879508078781</v>
      </c>
      <c r="I56" s="326">
        <v>47259.6</v>
      </c>
      <c r="J56" s="324">
        <v>504733.28105999995</v>
      </c>
      <c r="K56" s="325">
        <f>SUM(K51:K55)</f>
        <v>1.0000000000000002</v>
      </c>
    </row>
    <row r="57" spans="1:11" ht="11.1" customHeight="1">
      <c r="A57" s="488" t="str">
        <f>'3.1'!G5</f>
        <v>IV. čtvrtletí</v>
      </c>
      <c r="B57" s="419"/>
      <c r="C57" s="165" t="s">
        <v>4</v>
      </c>
      <c r="D57" s="317">
        <f>D51</f>
        <v>78</v>
      </c>
      <c r="E57" s="313">
        <f>E39+E45+E51</f>
        <v>33014.834000000003</v>
      </c>
      <c r="F57" s="313">
        <f>F39+F45+F51</f>
        <v>360598.51399000001</v>
      </c>
      <c r="G57" s="314">
        <f>E57/$E$62</f>
        <v>0.37086568337807935</v>
      </c>
      <c r="H57" s="314">
        <f>(E57-I57)/I57</f>
        <v>-0.20144956438691441</v>
      </c>
      <c r="I57" s="317">
        <f>I39+I45+I51</f>
        <v>41343.455000000002</v>
      </c>
      <c r="J57" s="313">
        <f>J39+J45+J51</f>
        <v>441723.59723999997</v>
      </c>
      <c r="K57" s="314">
        <f>I57/$I$62</f>
        <v>0.36328648377912898</v>
      </c>
    </row>
    <row r="58" spans="1:11" ht="11.1" customHeight="1">
      <c r="A58" s="420"/>
      <c r="B58" s="420"/>
      <c r="C58" s="155" t="s">
        <v>5</v>
      </c>
      <c r="D58" s="318">
        <f>D52</f>
        <v>250</v>
      </c>
      <c r="E58" s="130">
        <f t="shared" ref="E58:F59" si="20">E40+E46+E52</f>
        <v>8463.1170000000002</v>
      </c>
      <c r="F58" s="130">
        <f t="shared" si="20"/>
        <v>92406.428240000037</v>
      </c>
      <c r="G58" s="312">
        <f t="shared" ref="G58:G61" si="21">E58/$E$62</f>
        <v>9.5068770290156257E-2</v>
      </c>
      <c r="H58" s="312">
        <f t="shared" ref="H58:H61" si="22">(E58-I58)/I58</f>
        <v>-0.26433535273949804</v>
      </c>
      <c r="I58" s="318">
        <f t="shared" ref="I58:J58" si="23">I40+I46+I52</f>
        <v>11504.042000000001</v>
      </c>
      <c r="J58" s="130">
        <f t="shared" si="23"/>
        <v>122911.18502000003</v>
      </c>
      <c r="K58" s="312">
        <f t="shared" ref="K58:K61" si="24">I58/$I$62</f>
        <v>0.1010864468735721</v>
      </c>
    </row>
    <row r="59" spans="1:11" ht="11.1" customHeight="1">
      <c r="A59" s="420"/>
      <c r="B59" s="420"/>
      <c r="C59" s="155" t="s">
        <v>6</v>
      </c>
      <c r="D59" s="318">
        <f>D53</f>
        <v>9866</v>
      </c>
      <c r="E59" s="130">
        <f>E41+E47+E53</f>
        <v>17323.875</v>
      </c>
      <c r="F59" s="130">
        <f t="shared" si="20"/>
        <v>189065.86867</v>
      </c>
      <c r="G59" s="312">
        <f t="shared" si="21"/>
        <v>0.19460436301546827</v>
      </c>
      <c r="H59" s="312">
        <f t="shared" si="22"/>
        <v>-0.16790832093360178</v>
      </c>
      <c r="I59" s="318">
        <f>I41+I47+I53</f>
        <v>20819.671000000002</v>
      </c>
      <c r="J59" s="130">
        <f t="shared" ref="J59" si="25">J41+J47+J53</f>
        <v>222417.50829</v>
      </c>
      <c r="K59" s="312">
        <f t="shared" si="24"/>
        <v>0.18294322695160101</v>
      </c>
    </row>
    <row r="60" spans="1:11" ht="11.1" customHeight="1">
      <c r="A60" s="420"/>
      <c r="B60" s="420"/>
      <c r="C60" s="155" t="s">
        <v>7</v>
      </c>
      <c r="D60" s="318">
        <f>D54</f>
        <v>106221</v>
      </c>
      <c r="E60" s="130">
        <f t="shared" ref="E60:F61" si="26">E42+E48+E54</f>
        <v>29851.1</v>
      </c>
      <c r="F60" s="130">
        <f t="shared" si="26"/>
        <v>325754.59999999998</v>
      </c>
      <c r="G60" s="312">
        <f t="shared" si="21"/>
        <v>0.33532649599532693</v>
      </c>
      <c r="H60" s="312">
        <f t="shared" si="22"/>
        <v>-0.24612913571953515</v>
      </c>
      <c r="I60" s="318">
        <f t="shared" ref="I60:J60" si="27">I42+I48+I54</f>
        <v>39597.100000000006</v>
      </c>
      <c r="J60" s="130">
        <f t="shared" si="27"/>
        <v>423024.1</v>
      </c>
      <c r="K60" s="312">
        <f t="shared" si="24"/>
        <v>0.34794119714597027</v>
      </c>
    </row>
    <row r="61" spans="1:11" ht="11.1" customHeight="1">
      <c r="A61" s="420"/>
      <c r="B61" s="420"/>
      <c r="C61" s="155" t="s">
        <v>93</v>
      </c>
      <c r="D61" s="318">
        <f>D55</f>
        <v>17</v>
      </c>
      <c r="E61" s="130">
        <f>E43+E49+E55</f>
        <v>368.07399999999996</v>
      </c>
      <c r="F61" s="130">
        <f t="shared" si="26"/>
        <v>4020.3448699999999</v>
      </c>
      <c r="G61" s="312">
        <f t="shared" si="21"/>
        <v>4.1346873209692093E-3</v>
      </c>
      <c r="H61" s="312">
        <f t="shared" si="22"/>
        <v>-0.31804302876242285</v>
      </c>
      <c r="I61" s="318">
        <f>I43+I49+I55</f>
        <v>539.73199999999997</v>
      </c>
      <c r="J61" s="130">
        <f t="shared" ref="J61" si="28">J43+J49+J55</f>
        <v>5767.0923899999998</v>
      </c>
      <c r="K61" s="312">
        <f t="shared" si="24"/>
        <v>4.7426452497276008E-3</v>
      </c>
    </row>
    <row r="62" spans="1:11" ht="11.1" customHeight="1">
      <c r="A62" s="421"/>
      <c r="B62" s="421"/>
      <c r="C62" s="323" t="s">
        <v>0</v>
      </c>
      <c r="D62" s="326">
        <f>SUM(D57:D61)</f>
        <v>116432</v>
      </c>
      <c r="E62" s="324">
        <f>SUM(E57:E61)</f>
        <v>89021</v>
      </c>
      <c r="F62" s="324">
        <f>SUM(F57:F61)</f>
        <v>971845.75577000005</v>
      </c>
      <c r="G62" s="325">
        <f>SUM(G57:G61)</f>
        <v>1</v>
      </c>
      <c r="H62" s="325">
        <f>(E62-I62)/I62</f>
        <v>-0.21776914695441296</v>
      </c>
      <c r="I62" s="326">
        <f>SUM(I57:I61)</f>
        <v>113804.00000000001</v>
      </c>
      <c r="J62" s="324">
        <f>SUM(J57:J61)</f>
        <v>1215843.48294</v>
      </c>
      <c r="K62" s="325">
        <f>SUM(K57:K61)</f>
        <v>0.99999999999999989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20"/>
  <sheetViews>
    <sheetView showGridLines="0" topLeftCell="A16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492" t="s">
        <v>307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12"/>
      <c r="B3" s="512"/>
      <c r="C3" s="512"/>
      <c r="D3" s="305"/>
      <c r="E3" s="305"/>
      <c r="F3" s="306"/>
      <c r="G3" s="307"/>
      <c r="H3" s="307"/>
      <c r="I3" s="307"/>
      <c r="J3" s="76"/>
      <c r="K3" s="76"/>
    </row>
    <row r="4" spans="1:16" ht="12.95" customHeight="1">
      <c r="A4" s="484" t="s">
        <v>39</v>
      </c>
      <c r="B4" s="484"/>
      <c r="C4" s="484"/>
      <c r="D4" s="478">
        <f>'3.1'!A4</f>
        <v>2022</v>
      </c>
      <c r="E4" s="358"/>
      <c r="F4" s="347"/>
      <c r="G4" s="347"/>
      <c r="H4" s="347"/>
      <c r="I4" s="478">
        <f>D4-1</f>
        <v>2021</v>
      </c>
      <c r="J4" s="479"/>
      <c r="K4" s="479"/>
    </row>
    <row r="5" spans="1:16" ht="24.95" customHeight="1">
      <c r="A5" s="359"/>
      <c r="B5" s="359"/>
      <c r="C5" s="359"/>
      <c r="D5" s="480"/>
      <c r="E5" s="360"/>
      <c r="F5" s="361"/>
      <c r="G5" s="361"/>
      <c r="H5" s="362"/>
      <c r="I5" s="480"/>
      <c r="J5" s="481"/>
      <c r="K5" s="481"/>
    </row>
    <row r="6" spans="1:16" ht="24.95" customHeight="1">
      <c r="A6" s="309"/>
      <c r="B6" s="277"/>
      <c r="C6" s="310"/>
      <c r="D6" s="369" t="s">
        <v>160</v>
      </c>
      <c r="E6" s="476" t="s">
        <v>60</v>
      </c>
      <c r="F6" s="476"/>
      <c r="G6" s="477" t="s">
        <v>33</v>
      </c>
      <c r="H6" s="477" t="s">
        <v>272</v>
      </c>
      <c r="I6" s="475" t="s">
        <v>60</v>
      </c>
      <c r="J6" s="476"/>
      <c r="K6" s="477" t="s">
        <v>33</v>
      </c>
    </row>
    <row r="7" spans="1:16" ht="24.95" customHeight="1">
      <c r="A7" s="309"/>
      <c r="B7" s="311"/>
      <c r="D7" s="370"/>
      <c r="E7" s="476"/>
      <c r="F7" s="476"/>
      <c r="G7" s="477"/>
      <c r="H7" s="477"/>
      <c r="I7" s="475"/>
      <c r="J7" s="476"/>
      <c r="K7" s="477"/>
    </row>
    <row r="8" spans="1:16" ht="15" customHeight="1">
      <c r="A8" s="485" t="s">
        <v>159</v>
      </c>
      <c r="B8" s="485"/>
      <c r="C8" s="328" t="s">
        <v>185</v>
      </c>
      <c r="D8" s="348"/>
      <c r="E8" s="222" t="s">
        <v>263</v>
      </c>
      <c r="F8" s="222" t="s">
        <v>264</v>
      </c>
      <c r="G8" s="464"/>
      <c r="H8" s="464"/>
      <c r="I8" s="224" t="s">
        <v>263</v>
      </c>
      <c r="J8" s="222" t="s">
        <v>264</v>
      </c>
      <c r="K8" s="464"/>
    </row>
    <row r="9" spans="1:16" ht="11.1" customHeight="1">
      <c r="A9" s="419" t="str">
        <f>'3.1'!D5</f>
        <v>Říjen</v>
      </c>
      <c r="B9" s="419"/>
      <c r="C9" s="165" t="s">
        <v>4</v>
      </c>
      <c r="D9" s="317">
        <v>92</v>
      </c>
      <c r="E9" s="313">
        <v>9038.7309999999998</v>
      </c>
      <c r="F9" s="313">
        <v>99062.338839999997</v>
      </c>
      <c r="G9" s="314">
        <f>E9/$E$14</f>
        <v>0.48348904508205481</v>
      </c>
      <c r="H9" s="314">
        <f>(E9-I9)/I9</f>
        <v>-0.19852353337589562</v>
      </c>
      <c r="I9" s="317">
        <v>11277.6</v>
      </c>
      <c r="J9" s="313">
        <v>120637.99363999994</v>
      </c>
      <c r="K9" s="314">
        <f>I9/$I$14</f>
        <v>0.43968622803050389</v>
      </c>
    </row>
    <row r="10" spans="1:16" ht="11.1" customHeight="1">
      <c r="A10" s="420"/>
      <c r="B10" s="420"/>
      <c r="C10" s="155" t="s">
        <v>5</v>
      </c>
      <c r="D10" s="318">
        <v>290</v>
      </c>
      <c r="E10" s="130">
        <v>2158.6310000000003</v>
      </c>
      <c r="F10" s="130">
        <v>23658.145800000013</v>
      </c>
      <c r="G10" s="312">
        <f>E10/$E$14</f>
        <v>0.11546692128292359</v>
      </c>
      <c r="H10" s="312">
        <f>(E10-I10)/I10</f>
        <v>-0.11671358009839337</v>
      </c>
      <c r="I10" s="318">
        <v>2443.8630000000003</v>
      </c>
      <c r="J10" s="130">
        <v>26141.808429999986</v>
      </c>
      <c r="K10" s="312">
        <f>I10/$I$14</f>
        <v>9.528028164621119E-2</v>
      </c>
      <c r="L10" s="94"/>
      <c r="N10" s="94"/>
      <c r="O10" s="94"/>
      <c r="P10" s="94"/>
    </row>
    <row r="11" spans="1:16" ht="11.1" customHeight="1">
      <c r="A11" s="420"/>
      <c r="B11" s="420"/>
      <c r="C11" s="155" t="s">
        <v>6</v>
      </c>
      <c r="D11" s="318">
        <v>8826</v>
      </c>
      <c r="E11" s="130">
        <v>3329.739</v>
      </c>
      <c r="F11" s="130">
        <v>36492.642879999999</v>
      </c>
      <c r="G11" s="312">
        <f>E11/$E$14</f>
        <v>0.17811043712690158</v>
      </c>
      <c r="H11" s="312">
        <f t="shared" ref="H11:H13" si="0">(E11-I11)/I11</f>
        <v>-0.30219020474883174</v>
      </c>
      <c r="I11" s="318">
        <v>4771.7000000000007</v>
      </c>
      <c r="J11" s="130">
        <v>51043.922719999995</v>
      </c>
      <c r="K11" s="312">
        <f>I11/$I$14</f>
        <v>0.18603699140713942</v>
      </c>
      <c r="L11" s="94"/>
      <c r="N11" s="94"/>
      <c r="O11" s="94"/>
      <c r="P11" s="94"/>
    </row>
    <row r="12" spans="1:16" ht="11.1" customHeight="1">
      <c r="A12" s="420"/>
      <c r="B12" s="420"/>
      <c r="C12" s="155" t="s">
        <v>7</v>
      </c>
      <c r="D12" s="318">
        <v>82918</v>
      </c>
      <c r="E12" s="130">
        <v>3935.3</v>
      </c>
      <c r="F12" s="130">
        <v>43129.4</v>
      </c>
      <c r="G12" s="312">
        <f>E12/$E$14</f>
        <v>0.2105023856901384</v>
      </c>
      <c r="H12" s="312">
        <f t="shared" si="0"/>
        <v>-0.42193398651526942</v>
      </c>
      <c r="I12" s="318">
        <v>6807.7</v>
      </c>
      <c r="J12" s="130">
        <v>72823.100000000006</v>
      </c>
      <c r="K12" s="312">
        <f>I12/$I$14</f>
        <v>0.26541568547946914</v>
      </c>
      <c r="L12" s="94"/>
      <c r="N12" s="94"/>
      <c r="O12" s="94"/>
      <c r="P12" s="94"/>
    </row>
    <row r="13" spans="1:16" ht="11.1" customHeight="1">
      <c r="A13" s="420"/>
      <c r="B13" s="420"/>
      <c r="C13" s="155" t="s">
        <v>93</v>
      </c>
      <c r="D13" s="318">
        <v>9</v>
      </c>
      <c r="E13" s="130">
        <v>232.399</v>
      </c>
      <c r="F13" s="130">
        <v>2547.0278699999999</v>
      </c>
      <c r="G13" s="312">
        <f>E13/$E$14</f>
        <v>1.2431210817981469E-2</v>
      </c>
      <c r="H13" s="312">
        <f t="shared" si="0"/>
        <v>-0.33283286013257274</v>
      </c>
      <c r="I13" s="318">
        <v>348.33699999999999</v>
      </c>
      <c r="J13" s="130">
        <v>3726.1958</v>
      </c>
      <c r="K13" s="312">
        <f>I13/$I$14</f>
        <v>1.3580813436676387E-2</v>
      </c>
      <c r="L13" s="94"/>
      <c r="N13" s="94"/>
      <c r="O13" s="94"/>
      <c r="P13" s="94"/>
    </row>
    <row r="14" spans="1:16" ht="11.1" customHeight="1">
      <c r="A14" s="421"/>
      <c r="B14" s="421"/>
      <c r="C14" s="323" t="s">
        <v>0</v>
      </c>
      <c r="D14" s="326">
        <v>92135</v>
      </c>
      <c r="E14" s="324">
        <v>18694.800000000003</v>
      </c>
      <c r="F14" s="324">
        <v>204889.55538999999</v>
      </c>
      <c r="G14" s="325">
        <f>SUM(G9:G13)</f>
        <v>0.99999999999999989</v>
      </c>
      <c r="H14" s="325">
        <f>(E14-I14)/I14</f>
        <v>-0.27113516211031913</v>
      </c>
      <c r="I14" s="326">
        <v>25649.200000000001</v>
      </c>
      <c r="J14" s="324">
        <v>274373.02058999991</v>
      </c>
      <c r="K14" s="325">
        <f>SUM(K9:K13)</f>
        <v>1</v>
      </c>
      <c r="L14" s="94"/>
    </row>
    <row r="15" spans="1:16" ht="11.1" customHeight="1">
      <c r="A15" s="419" t="str">
        <f>'3.1'!E5</f>
        <v>Listopad</v>
      </c>
      <c r="B15" s="419"/>
      <c r="C15" s="165" t="s">
        <v>4</v>
      </c>
      <c r="D15" s="317">
        <v>92</v>
      </c>
      <c r="E15" s="313">
        <v>12292.678</v>
      </c>
      <c r="F15" s="313">
        <v>134337.04656999998</v>
      </c>
      <c r="G15" s="314">
        <f>E15/$E$20</f>
        <v>0.41239249602458383</v>
      </c>
      <c r="H15" s="314">
        <f>(E15-I15)/I15</f>
        <v>-0.16371498785405875</v>
      </c>
      <c r="I15" s="317">
        <v>14699.148999999999</v>
      </c>
      <c r="J15" s="313">
        <v>156961.71659000003</v>
      </c>
      <c r="K15" s="314">
        <f>I15/$I$20</f>
        <v>0.39706610587961982</v>
      </c>
      <c r="L15" s="94"/>
      <c r="M15" s="94"/>
    </row>
    <row r="16" spans="1:16" ht="11.1" customHeight="1">
      <c r="A16" s="420"/>
      <c r="B16" s="420"/>
      <c r="C16" s="155" t="s">
        <v>5</v>
      </c>
      <c r="D16" s="318">
        <v>289</v>
      </c>
      <c r="E16" s="130">
        <v>3363.9100000000003</v>
      </c>
      <c r="F16" s="130">
        <v>36760.90168000001</v>
      </c>
      <c r="G16" s="312">
        <f>E16/$E$20</f>
        <v>0.11285183271717179</v>
      </c>
      <c r="H16" s="312">
        <f>(E16-I16)/I16</f>
        <v>-0.21529890820057906</v>
      </c>
      <c r="I16" s="318">
        <v>4286.8680000000004</v>
      </c>
      <c r="J16" s="130">
        <v>45776.176169999999</v>
      </c>
      <c r="K16" s="312">
        <f>I16/$I$20</f>
        <v>0.11580058023630854</v>
      </c>
      <c r="L16" s="98"/>
      <c r="M16" s="94"/>
    </row>
    <row r="17" spans="1:20" ht="11.1" customHeight="1">
      <c r="A17" s="420"/>
      <c r="B17" s="420"/>
      <c r="C17" s="155" t="s">
        <v>6</v>
      </c>
      <c r="D17" s="318">
        <v>8805</v>
      </c>
      <c r="E17" s="130">
        <v>6304.26</v>
      </c>
      <c r="F17" s="130">
        <v>68894.398740000004</v>
      </c>
      <c r="G17" s="312">
        <f>E17/$E$20</f>
        <v>0.21149415261572319</v>
      </c>
      <c r="H17" s="312">
        <f t="shared" ref="H17:H20" si="1">(E17-I17)/I17</f>
        <v>-0.15852286810670244</v>
      </c>
      <c r="I17" s="318">
        <v>7491.8969999999999</v>
      </c>
      <c r="J17" s="130">
        <v>80000.732470000003</v>
      </c>
      <c r="K17" s="312">
        <f>I17/$I$20</f>
        <v>0.20237759120893367</v>
      </c>
      <c r="L17" s="94"/>
      <c r="M17" s="94"/>
      <c r="N17" s="94"/>
      <c r="O17" s="94"/>
    </row>
    <row r="18" spans="1:20" ht="11.1" customHeight="1">
      <c r="A18" s="420"/>
      <c r="B18" s="420"/>
      <c r="C18" s="155" t="s">
        <v>7</v>
      </c>
      <c r="D18" s="318">
        <v>82856</v>
      </c>
      <c r="E18" s="130">
        <v>7605.4</v>
      </c>
      <c r="F18" s="130">
        <v>83113.5</v>
      </c>
      <c r="G18" s="312">
        <f>E18/$E$20</f>
        <v>0.2551445575378587</v>
      </c>
      <c r="H18" s="312">
        <f t="shared" si="1"/>
        <v>-0.25594090886856141</v>
      </c>
      <c r="I18" s="318">
        <v>10221.5</v>
      </c>
      <c r="J18" s="130">
        <v>109148.1</v>
      </c>
      <c r="K18" s="312">
        <f>I18/$I$20</f>
        <v>0.27611198452703178</v>
      </c>
      <c r="L18" s="94"/>
      <c r="M18" s="94"/>
      <c r="N18" s="94"/>
      <c r="O18" s="94"/>
    </row>
    <row r="19" spans="1:20" ht="11.1" customHeight="1">
      <c r="A19" s="420"/>
      <c r="B19" s="420"/>
      <c r="C19" s="155" t="s">
        <v>93</v>
      </c>
      <c r="D19" s="318">
        <v>9</v>
      </c>
      <c r="E19" s="130">
        <v>241.952</v>
      </c>
      <c r="F19" s="130">
        <v>2644.1000099999997</v>
      </c>
      <c r="G19" s="312">
        <f>E19/$E$20</f>
        <v>8.1169611046624755E-3</v>
      </c>
      <c r="H19" s="312">
        <f t="shared" si="1"/>
        <v>-0.243866919177714</v>
      </c>
      <c r="I19" s="318">
        <v>319.98599999999999</v>
      </c>
      <c r="J19" s="130">
        <v>3416.9081100000003</v>
      </c>
      <c r="K19" s="312">
        <f>I19/$I$20</f>
        <v>8.6437381481061278E-3</v>
      </c>
      <c r="L19" s="94"/>
      <c r="M19" s="94"/>
      <c r="N19" s="94"/>
      <c r="O19" s="94"/>
    </row>
    <row r="20" spans="1:20" ht="11.1" customHeight="1">
      <c r="A20" s="421"/>
      <c r="B20" s="421"/>
      <c r="C20" s="323" t="s">
        <v>0</v>
      </c>
      <c r="D20" s="326">
        <v>92051</v>
      </c>
      <c r="E20" s="324">
        <v>29808.2</v>
      </c>
      <c r="F20" s="324">
        <v>325749.94699999999</v>
      </c>
      <c r="G20" s="325">
        <f>SUM(G15:G19)</f>
        <v>1</v>
      </c>
      <c r="H20" s="325">
        <f t="shared" si="1"/>
        <v>-0.1947951614558853</v>
      </c>
      <c r="I20" s="326">
        <v>37019.4</v>
      </c>
      <c r="J20" s="324">
        <v>395303.63334</v>
      </c>
      <c r="K20" s="325">
        <f>SUM(K15:K19)</f>
        <v>0.99999999999999989</v>
      </c>
      <c r="L20" s="94"/>
      <c r="M20" s="94"/>
      <c r="N20" s="94"/>
      <c r="O20" s="94"/>
    </row>
    <row r="21" spans="1:20" ht="11.1" customHeight="1">
      <c r="A21" s="419" t="str">
        <f>'3.1'!F5</f>
        <v>Prosinec</v>
      </c>
      <c r="B21" s="419"/>
      <c r="C21" s="165" t="s">
        <v>4</v>
      </c>
      <c r="D21" s="317">
        <v>92</v>
      </c>
      <c r="E21" s="313">
        <v>13235.668</v>
      </c>
      <c r="F21" s="313">
        <v>144095.59721000007</v>
      </c>
      <c r="G21" s="314">
        <f>E21/$E$26</f>
        <v>0.34236344306862182</v>
      </c>
      <c r="H21" s="314">
        <f>(E21-I21)/I21</f>
        <v>-0.17751852431837226</v>
      </c>
      <c r="I21" s="317">
        <v>16092.36</v>
      </c>
      <c r="J21" s="313">
        <v>171866.60317999986</v>
      </c>
      <c r="K21" s="314">
        <f>I21/$I$26</f>
        <v>0.35234243800974324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0"/>
      <c r="B22" s="420"/>
      <c r="C22" s="155" t="s">
        <v>5</v>
      </c>
      <c r="D22" s="318">
        <v>288</v>
      </c>
      <c r="E22" s="130">
        <v>4196.5239999999994</v>
      </c>
      <c r="F22" s="130">
        <v>45687.446660000009</v>
      </c>
      <c r="G22" s="312">
        <f>E22/$E$26</f>
        <v>0.10855035088218479</v>
      </c>
      <c r="H22" s="312">
        <f t="shared" ref="H22:H26" si="2">(E22-I22)/I22</f>
        <v>-0.16518583237051276</v>
      </c>
      <c r="I22" s="318">
        <v>5026.8960000000006</v>
      </c>
      <c r="J22" s="130">
        <v>53687.775040000037</v>
      </c>
      <c r="K22" s="312">
        <f>I22/$I$26</f>
        <v>0.11006395533417264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0"/>
      <c r="B23" s="420"/>
      <c r="C23" s="155" t="s">
        <v>6</v>
      </c>
      <c r="D23" s="318">
        <v>8796</v>
      </c>
      <c r="E23" s="130">
        <v>9197.7119999999995</v>
      </c>
      <c r="F23" s="130">
        <v>100134.61139000001</v>
      </c>
      <c r="G23" s="312">
        <f>E23/$E$26</f>
        <v>0.23791472773973926</v>
      </c>
      <c r="H23" s="312">
        <f t="shared" si="2"/>
        <v>-0.11199633201872884</v>
      </c>
      <c r="I23" s="318">
        <v>10357.741</v>
      </c>
      <c r="J23" s="130">
        <v>110621.03508</v>
      </c>
      <c r="K23" s="312">
        <f>I23/$I$26</f>
        <v>0.22678287809951281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0"/>
      <c r="B24" s="420"/>
      <c r="C24" s="155" t="s">
        <v>7</v>
      </c>
      <c r="D24" s="318">
        <v>82759</v>
      </c>
      <c r="E24" s="130">
        <v>11793.6</v>
      </c>
      <c r="F24" s="130">
        <v>128395.5</v>
      </c>
      <c r="G24" s="312">
        <f>E24/$E$26</f>
        <v>0.30506186028344762</v>
      </c>
      <c r="H24" s="312">
        <f t="shared" si="2"/>
        <v>-0.15295942772187621</v>
      </c>
      <c r="I24" s="318">
        <v>13923.3</v>
      </c>
      <c r="J24" s="130">
        <v>148701.6</v>
      </c>
      <c r="K24" s="312">
        <f>I24/$I$26</f>
        <v>0.30485084022113956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0"/>
      <c r="B25" s="420"/>
      <c r="C25" s="155" t="s">
        <v>93</v>
      </c>
      <c r="D25" s="318">
        <v>9</v>
      </c>
      <c r="E25" s="130">
        <v>236.196</v>
      </c>
      <c r="F25" s="130">
        <v>2571.44065</v>
      </c>
      <c r="G25" s="312">
        <f>E25/$E$26</f>
        <v>6.1096180260064087E-3</v>
      </c>
      <c r="H25" s="312">
        <f t="shared" si="2"/>
        <v>-0.13227995282932217</v>
      </c>
      <c r="I25" s="318">
        <v>272.20299999999997</v>
      </c>
      <c r="J25" s="130">
        <v>2907.1318299999998</v>
      </c>
      <c r="K25" s="312">
        <f>I25/$I$26</f>
        <v>5.9598883354316044E-3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21"/>
      <c r="B26" s="421"/>
      <c r="C26" s="323" t="s">
        <v>0</v>
      </c>
      <c r="D26" s="326">
        <v>91944</v>
      </c>
      <c r="E26" s="324">
        <v>38659.700000000004</v>
      </c>
      <c r="F26" s="324">
        <v>420884.59591000009</v>
      </c>
      <c r="G26" s="325">
        <f>SUM(G21:G25)</f>
        <v>0.99999999999999989</v>
      </c>
      <c r="H26" s="325">
        <f t="shared" si="2"/>
        <v>-0.15354535004652695</v>
      </c>
      <c r="I26" s="326">
        <v>45672.500000000007</v>
      </c>
      <c r="J26" s="324">
        <v>487784.1451299999</v>
      </c>
      <c r="K26" s="325">
        <f>SUM(K21:K25)</f>
        <v>0.99999999999999989</v>
      </c>
    </row>
    <row r="27" spans="1:20" ht="11.1" customHeight="1">
      <c r="A27" s="488" t="str">
        <f>'3.1'!G5</f>
        <v>IV. čtvrtletí</v>
      </c>
      <c r="B27" s="419"/>
      <c r="C27" s="165" t="s">
        <v>4</v>
      </c>
      <c r="D27" s="317">
        <f>D21</f>
        <v>92</v>
      </c>
      <c r="E27" s="313">
        <f>E9+E15+E21</f>
        <v>34567.076999999997</v>
      </c>
      <c r="F27" s="313">
        <f>F9+F15+F21</f>
        <v>377494.98262000002</v>
      </c>
      <c r="G27" s="314">
        <f>E27/$E$32</f>
        <v>0.39658107194935438</v>
      </c>
      <c r="H27" s="314">
        <f>(E27-I27)/I27</f>
        <v>-0.17832638195403663</v>
      </c>
      <c r="I27" s="317">
        <f>I9+I15+I21</f>
        <v>42069.108999999997</v>
      </c>
      <c r="J27" s="313">
        <f>J9+J15+J21</f>
        <v>449466.31340999983</v>
      </c>
      <c r="K27" s="314">
        <f>I27/$I$32</f>
        <v>0.38830239862803684</v>
      </c>
    </row>
    <row r="28" spans="1:20" ht="11.1" customHeight="1">
      <c r="A28" s="420"/>
      <c r="B28" s="420"/>
      <c r="C28" s="155" t="s">
        <v>5</v>
      </c>
      <c r="D28" s="318">
        <f>D22</f>
        <v>288</v>
      </c>
      <c r="E28" s="130">
        <f t="shared" ref="E28:F31" si="3">E10+E16+E22</f>
        <v>9719.0650000000005</v>
      </c>
      <c r="F28" s="130">
        <f t="shared" si="3"/>
        <v>106106.49414000002</v>
      </c>
      <c r="G28" s="312">
        <f>E28/$E$32</f>
        <v>0.11150486389246776</v>
      </c>
      <c r="H28" s="312">
        <f t="shared" ref="H28:H31" si="4">(E28-I28)/I28</f>
        <v>-0.17338209487339579</v>
      </c>
      <c r="I28" s="318">
        <f t="shared" ref="I28:J28" si="5">I10+I16+I22</f>
        <v>11757.627</v>
      </c>
      <c r="J28" s="130">
        <f t="shared" si="5"/>
        <v>125605.75964000002</v>
      </c>
      <c r="K28" s="312">
        <f>I28/$I$32</f>
        <v>0.1085241611909054</v>
      </c>
    </row>
    <row r="29" spans="1:20" ht="11.1" customHeight="1">
      <c r="A29" s="420"/>
      <c r="B29" s="420"/>
      <c r="C29" s="155" t="s">
        <v>6</v>
      </c>
      <c r="D29" s="318">
        <f>D23</f>
        <v>8796</v>
      </c>
      <c r="E29" s="130">
        <f t="shared" si="3"/>
        <v>18831.710999999999</v>
      </c>
      <c r="F29" s="130">
        <f t="shared" si="3"/>
        <v>205521.65301000001</v>
      </c>
      <c r="G29" s="312">
        <f>E29/$E$32</f>
        <v>0.21605240544407181</v>
      </c>
      <c r="H29" s="312">
        <f t="shared" si="4"/>
        <v>-0.16752444086198631</v>
      </c>
      <c r="I29" s="318">
        <f t="shared" ref="I29:J29" si="6">I11+I17+I23</f>
        <v>22621.338000000003</v>
      </c>
      <c r="J29" s="130">
        <f t="shared" si="6"/>
        <v>241665.69026999999</v>
      </c>
      <c r="K29" s="312">
        <f>I29/$I$32</f>
        <v>0.20879738160310357</v>
      </c>
    </row>
    <row r="30" spans="1:20" ht="11.1" customHeight="1">
      <c r="A30" s="420"/>
      <c r="B30" s="420"/>
      <c r="C30" s="155" t="s">
        <v>7</v>
      </c>
      <c r="D30" s="318">
        <f>D24</f>
        <v>82759</v>
      </c>
      <c r="E30" s="130">
        <f t="shared" si="3"/>
        <v>23334.300000000003</v>
      </c>
      <c r="F30" s="130">
        <f t="shared" si="3"/>
        <v>254638.4</v>
      </c>
      <c r="G30" s="312">
        <f>E30/$E$32</f>
        <v>0.26770969692311047</v>
      </c>
      <c r="H30" s="312">
        <f t="shared" si="4"/>
        <v>-0.24612551490186566</v>
      </c>
      <c r="I30" s="318">
        <f t="shared" ref="I30:J30" si="7">I12+I18+I24</f>
        <v>30952.5</v>
      </c>
      <c r="J30" s="130">
        <f t="shared" si="7"/>
        <v>330672.80000000005</v>
      </c>
      <c r="K30" s="312">
        <f>I30/$I$32</f>
        <v>0.2856949024885293</v>
      </c>
    </row>
    <row r="31" spans="1:20" ht="11.1" customHeight="1">
      <c r="A31" s="420"/>
      <c r="B31" s="420"/>
      <c r="C31" s="155" t="s">
        <v>93</v>
      </c>
      <c r="D31" s="318">
        <f>D25</f>
        <v>9</v>
      </c>
      <c r="E31" s="130">
        <f>E13+E19+E25</f>
        <v>710.54700000000003</v>
      </c>
      <c r="F31" s="130">
        <f t="shared" si="3"/>
        <v>7762.5685300000005</v>
      </c>
      <c r="G31" s="312">
        <f>E31/$E$32</f>
        <v>8.1519617909954593E-3</v>
      </c>
      <c r="H31" s="312">
        <f t="shared" si="4"/>
        <v>-0.24452168254785081</v>
      </c>
      <c r="I31" s="318">
        <f>I13+I19+I25</f>
        <v>940.52599999999995</v>
      </c>
      <c r="J31" s="130">
        <f t="shared" ref="J31" si="8">J13+J19+J25</f>
        <v>10050.23574</v>
      </c>
      <c r="K31" s="312">
        <f>I31/$I$32</f>
        <v>8.6811560894249733E-3</v>
      </c>
    </row>
    <row r="32" spans="1:20" ht="11.1" customHeight="1">
      <c r="A32" s="421"/>
      <c r="B32" s="421"/>
      <c r="C32" s="323" t="s">
        <v>0</v>
      </c>
      <c r="D32" s="326">
        <f>SUM(D27:D31)</f>
        <v>91944</v>
      </c>
      <c r="E32" s="324">
        <f>SUM(E27:E31)</f>
        <v>87162.700000000012</v>
      </c>
      <c r="F32" s="324">
        <f>SUM(F27:F31)</f>
        <v>951524.09830000007</v>
      </c>
      <c r="G32" s="325">
        <f>SUM(G27:G31)</f>
        <v>0.99999999999999989</v>
      </c>
      <c r="H32" s="325">
        <f>(E32-I32)/I32</f>
        <v>-0.19547890874284995</v>
      </c>
      <c r="I32" s="326">
        <f>SUM(I27:I31)</f>
        <v>108341.09999999999</v>
      </c>
      <c r="J32" s="324">
        <f>SUM(J27:J31)</f>
        <v>1157460.7990599999</v>
      </c>
      <c r="K32" s="325">
        <f>SUM(K27:K31)</f>
        <v>1</v>
      </c>
    </row>
    <row r="33" spans="1:11" ht="9.9499999999999993" customHeight="1">
      <c r="A33" s="363"/>
      <c r="B33" s="364"/>
      <c r="C33" s="365"/>
      <c r="D33" s="366"/>
      <c r="E33" s="366"/>
      <c r="F33" s="366"/>
      <c r="G33" s="367"/>
      <c r="H33" s="368"/>
      <c r="I33" s="366"/>
      <c r="J33" s="366"/>
      <c r="K33" s="367"/>
    </row>
    <row r="34" spans="1:11" ht="12.95" customHeight="1">
      <c r="A34" s="513" t="s">
        <v>40</v>
      </c>
      <c r="B34" s="513"/>
      <c r="C34" s="513"/>
      <c r="D34" s="478">
        <f>D4</f>
        <v>2022</v>
      </c>
      <c r="E34" s="358"/>
      <c r="F34" s="347"/>
      <c r="G34" s="347"/>
      <c r="H34" s="347"/>
      <c r="I34" s="478">
        <f>D34-1</f>
        <v>2021</v>
      </c>
      <c r="J34" s="479"/>
      <c r="K34" s="479"/>
    </row>
    <row r="35" spans="1:11" ht="24.95" customHeight="1">
      <c r="A35" s="309"/>
      <c r="B35" s="277"/>
      <c r="C35" s="151"/>
      <c r="D35" s="480"/>
      <c r="E35" s="360"/>
      <c r="F35" s="361"/>
      <c r="G35" s="361"/>
      <c r="H35" s="362"/>
      <c r="I35" s="480"/>
      <c r="J35" s="481"/>
      <c r="K35" s="481"/>
    </row>
    <row r="36" spans="1:11" ht="24.95" customHeight="1">
      <c r="A36" s="131"/>
      <c r="B36" s="132"/>
      <c r="C36" s="357"/>
      <c r="D36" s="369" t="s">
        <v>160</v>
      </c>
      <c r="E36" s="476" t="s">
        <v>60</v>
      </c>
      <c r="F36" s="476"/>
      <c r="G36" s="477" t="s">
        <v>33</v>
      </c>
      <c r="H36" s="477" t="s">
        <v>272</v>
      </c>
      <c r="I36" s="475" t="s">
        <v>60</v>
      </c>
      <c r="J36" s="476"/>
      <c r="K36" s="477" t="s">
        <v>33</v>
      </c>
    </row>
    <row r="37" spans="1:11" ht="24.95" customHeight="1">
      <c r="A37" s="131"/>
      <c r="B37" s="311"/>
      <c r="C37" s="311"/>
      <c r="D37" s="370"/>
      <c r="E37" s="476"/>
      <c r="F37" s="476"/>
      <c r="G37" s="477"/>
      <c r="H37" s="477"/>
      <c r="I37" s="475"/>
      <c r="J37" s="476"/>
      <c r="K37" s="477"/>
    </row>
    <row r="38" spans="1:11" ht="15" customHeight="1">
      <c r="A38" s="514" t="s">
        <v>159</v>
      </c>
      <c r="B38" s="514"/>
      <c r="C38" s="371" t="s">
        <v>185</v>
      </c>
      <c r="D38" s="348"/>
      <c r="E38" s="222" t="s">
        <v>263</v>
      </c>
      <c r="F38" s="222" t="s">
        <v>264</v>
      </c>
      <c r="G38" s="464"/>
      <c r="H38" s="464"/>
      <c r="I38" s="224" t="s">
        <v>263</v>
      </c>
      <c r="J38" s="222" t="s">
        <v>264</v>
      </c>
      <c r="K38" s="464"/>
    </row>
    <row r="39" spans="1:11" ht="11.1" customHeight="1">
      <c r="A39" s="419" t="str">
        <f>'3.1'!D5</f>
        <v>Říjen</v>
      </c>
      <c r="B39" s="419"/>
      <c r="C39" s="165" t="s">
        <v>4</v>
      </c>
      <c r="D39" s="317">
        <v>172</v>
      </c>
      <c r="E39" s="313">
        <v>27452.451000000001</v>
      </c>
      <c r="F39" s="313">
        <v>300516.84746999998</v>
      </c>
      <c r="G39" s="314">
        <f>E39/$E$44</f>
        <v>0.56260366122888927</v>
      </c>
      <c r="H39" s="314">
        <f>(E39-I39)/I39</f>
        <v>-0.28251924440889331</v>
      </c>
      <c r="I39" s="317">
        <v>38262.281999999999</v>
      </c>
      <c r="J39" s="313">
        <v>409121.06926000002</v>
      </c>
      <c r="K39" s="314">
        <f>I39/$I$44</f>
        <v>0.53494206983027115</v>
      </c>
    </row>
    <row r="40" spans="1:11" ht="11.1" customHeight="1">
      <c r="A40" s="420"/>
      <c r="B40" s="420"/>
      <c r="C40" s="155" t="s">
        <v>5</v>
      </c>
      <c r="D40" s="318">
        <v>456</v>
      </c>
      <c r="E40" s="130">
        <v>3107.7289999999998</v>
      </c>
      <c r="F40" s="130">
        <v>34046.521800000031</v>
      </c>
      <c r="G40" s="312">
        <f t="shared" ref="G40" si="9">E40/$E$44</f>
        <v>6.3689020463316551E-2</v>
      </c>
      <c r="H40" s="312">
        <f>(E40-I40)/I40</f>
        <v>-0.31535815530652511</v>
      </c>
      <c r="I40" s="318">
        <v>4539.2039999999997</v>
      </c>
      <c r="J40" s="130">
        <v>48551.597419999969</v>
      </c>
      <c r="K40" s="312">
        <f t="shared" ref="K40:K43" si="10">I40/$I$44</f>
        <v>6.3462267701174913E-2</v>
      </c>
    </row>
    <row r="41" spans="1:11" ht="11.1" customHeight="1">
      <c r="A41" s="420"/>
      <c r="B41" s="420"/>
      <c r="C41" s="155" t="s">
        <v>6</v>
      </c>
      <c r="D41" s="318">
        <v>18273</v>
      </c>
      <c r="E41" s="130">
        <v>5355.6860000000006</v>
      </c>
      <c r="F41" s="130">
        <v>58693.176280000007</v>
      </c>
      <c r="G41" s="312">
        <f>E41/$E$44</f>
        <v>0.10975808870371194</v>
      </c>
      <c r="H41" s="312">
        <f t="shared" ref="H41:H43" si="11">(E41-I41)/I41</f>
        <v>-0.30233210079260803</v>
      </c>
      <c r="I41" s="318">
        <v>7676.5549999999994</v>
      </c>
      <c r="J41" s="130">
        <v>82115.174339999998</v>
      </c>
      <c r="K41" s="312">
        <f t="shared" si="10"/>
        <v>0.10732533466942502</v>
      </c>
    </row>
    <row r="42" spans="1:11" ht="11.1" customHeight="1">
      <c r="A42" s="420"/>
      <c r="B42" s="420"/>
      <c r="C42" s="155" t="s">
        <v>7</v>
      </c>
      <c r="D42" s="318">
        <v>354576</v>
      </c>
      <c r="E42" s="130">
        <v>10949.6</v>
      </c>
      <c r="F42" s="130">
        <v>120004.5</v>
      </c>
      <c r="G42" s="312">
        <f>E42/$E$44</f>
        <v>0.2243983624264313</v>
      </c>
      <c r="H42" s="312">
        <f t="shared" si="11"/>
        <v>-0.42194230889638473</v>
      </c>
      <c r="I42" s="318">
        <v>18942.054</v>
      </c>
      <c r="J42" s="130">
        <v>202625.3</v>
      </c>
      <c r="K42" s="312">
        <f t="shared" si="10"/>
        <v>0.2648274238739019</v>
      </c>
    </row>
    <row r="43" spans="1:11" ht="11.1" customHeight="1">
      <c r="A43" s="420"/>
      <c r="B43" s="420"/>
      <c r="C43" s="155" t="s">
        <v>93</v>
      </c>
      <c r="D43" s="318">
        <v>33</v>
      </c>
      <c r="E43" s="130">
        <v>1929.8990000000001</v>
      </c>
      <c r="F43" s="130">
        <v>21127.69742</v>
      </c>
      <c r="G43" s="312">
        <f>E43/$E$44</f>
        <v>3.9550867177650995E-2</v>
      </c>
      <c r="H43" s="312">
        <f t="shared" si="11"/>
        <v>-8.3589989049989252E-2</v>
      </c>
      <c r="I43" s="318">
        <v>2105.9340000000002</v>
      </c>
      <c r="J43" s="130">
        <v>22516.096280000002</v>
      </c>
      <c r="K43" s="312">
        <f t="shared" si="10"/>
        <v>2.9442903925227002E-2</v>
      </c>
    </row>
    <row r="44" spans="1:11" ht="11.1" customHeight="1">
      <c r="A44" s="421"/>
      <c r="B44" s="421"/>
      <c r="C44" s="323" t="s">
        <v>0</v>
      </c>
      <c r="D44" s="326">
        <v>373510</v>
      </c>
      <c r="E44" s="324">
        <v>48795.364999999998</v>
      </c>
      <c r="F44" s="324">
        <v>534388.74297000002</v>
      </c>
      <c r="G44" s="325">
        <f>SUM(G39:G43)</f>
        <v>1</v>
      </c>
      <c r="H44" s="325">
        <f>(E44-I44)/I44</f>
        <v>-0.31779569364881138</v>
      </c>
      <c r="I44" s="326">
        <v>71526.028999999995</v>
      </c>
      <c r="J44" s="324">
        <v>764929.23730000004</v>
      </c>
      <c r="K44" s="325">
        <f>SUM(K39:K43)</f>
        <v>1</v>
      </c>
    </row>
    <row r="45" spans="1:11" ht="11.1" customHeight="1">
      <c r="A45" s="419" t="str">
        <f>'3.1'!E5</f>
        <v>Listopad</v>
      </c>
      <c r="B45" s="419"/>
      <c r="C45" s="165" t="s">
        <v>4</v>
      </c>
      <c r="D45" s="317">
        <v>174</v>
      </c>
      <c r="E45" s="313">
        <v>35154.560999999994</v>
      </c>
      <c r="F45" s="313">
        <v>383835.78528999997</v>
      </c>
      <c r="G45" s="314">
        <f>E45/$E$50</f>
        <v>0.47765428449830327</v>
      </c>
      <c r="H45" s="314">
        <f>(E45-I45)/I45</f>
        <v>-0.10107895652872999</v>
      </c>
      <c r="I45" s="317">
        <v>39107.506999999998</v>
      </c>
      <c r="J45" s="313">
        <v>417490.86541000003</v>
      </c>
      <c r="K45" s="314">
        <f>I45/$I$50</f>
        <v>0.44433723694447791</v>
      </c>
    </row>
    <row r="46" spans="1:11" ht="11.1" customHeight="1">
      <c r="A46" s="420"/>
      <c r="B46" s="420"/>
      <c r="C46" s="155" t="s">
        <v>5</v>
      </c>
      <c r="D46" s="318">
        <v>458</v>
      </c>
      <c r="E46" s="130">
        <v>5153.110999999999</v>
      </c>
      <c r="F46" s="130">
        <v>56290.437859999969</v>
      </c>
      <c r="G46" s="312">
        <f t="shared" ref="G46:G49" si="12">E46/$E$50</f>
        <v>7.0016677143126205E-2</v>
      </c>
      <c r="H46" s="312">
        <f>(E46-I46)/I46</f>
        <v>-0.181271719942174</v>
      </c>
      <c r="I46" s="318">
        <v>6294.0429999999997</v>
      </c>
      <c r="J46" s="130">
        <v>67201.613469999997</v>
      </c>
      <c r="K46" s="312">
        <f t="shared" ref="K46:K49" si="13">I46/$I$50</f>
        <v>7.1512553224876554E-2</v>
      </c>
    </row>
    <row r="47" spans="1:11" ht="11.1" customHeight="1">
      <c r="A47" s="420"/>
      <c r="B47" s="420"/>
      <c r="C47" s="155" t="s">
        <v>6</v>
      </c>
      <c r="D47" s="318">
        <v>18230</v>
      </c>
      <c r="E47" s="130">
        <v>10143.550999999999</v>
      </c>
      <c r="F47" s="130">
        <v>110847.57604999999</v>
      </c>
      <c r="G47" s="312">
        <f t="shared" si="12"/>
        <v>0.13782310054098099</v>
      </c>
      <c r="H47" s="312">
        <f t="shared" ref="H47:H49" si="14">(E47-I47)/I47</f>
        <v>-0.15848501018258299</v>
      </c>
      <c r="I47" s="318">
        <v>12053.915999999999</v>
      </c>
      <c r="J47" s="130">
        <v>128715.74557</v>
      </c>
      <c r="K47" s="312">
        <f t="shared" si="13"/>
        <v>0.13695589774620084</v>
      </c>
    </row>
    <row r="48" spans="1:11" ht="11.1" customHeight="1">
      <c r="A48" s="420"/>
      <c r="B48" s="420"/>
      <c r="C48" s="155" t="s">
        <v>7</v>
      </c>
      <c r="D48" s="318">
        <v>354310</v>
      </c>
      <c r="E48" s="130">
        <v>21161.599999999999</v>
      </c>
      <c r="F48" s="130">
        <v>231257.60000000001</v>
      </c>
      <c r="G48" s="312">
        <f t="shared" si="12"/>
        <v>0.28752823586217718</v>
      </c>
      <c r="H48" s="312">
        <f t="shared" si="14"/>
        <v>-0.25593573177231366</v>
      </c>
      <c r="I48" s="318">
        <v>28440.554</v>
      </c>
      <c r="J48" s="130">
        <v>303697.09999999998</v>
      </c>
      <c r="K48" s="312">
        <f t="shared" si="13"/>
        <v>0.32313993273798353</v>
      </c>
    </row>
    <row r="49" spans="1:11" ht="11.1" customHeight="1">
      <c r="A49" s="420"/>
      <c r="B49" s="420"/>
      <c r="C49" s="155" t="s">
        <v>93</v>
      </c>
      <c r="D49" s="318">
        <v>33</v>
      </c>
      <c r="E49" s="130">
        <v>1985.5139999999999</v>
      </c>
      <c r="F49" s="130">
        <v>21681.411239999998</v>
      </c>
      <c r="G49" s="312">
        <f t="shared" si="12"/>
        <v>2.6977701955412395E-2</v>
      </c>
      <c r="H49" s="312">
        <f t="shared" si="14"/>
        <v>-6.2154332740856383E-2</v>
      </c>
      <c r="I49" s="318">
        <v>2117.1009999999997</v>
      </c>
      <c r="J49" s="130">
        <v>22598.760019999998</v>
      </c>
      <c r="K49" s="312">
        <f t="shared" si="13"/>
        <v>2.4054379346461308E-2</v>
      </c>
    </row>
    <row r="50" spans="1:11" ht="11.1" customHeight="1">
      <c r="A50" s="421"/>
      <c r="B50" s="421"/>
      <c r="C50" s="323" t="s">
        <v>0</v>
      </c>
      <c r="D50" s="326">
        <v>373205</v>
      </c>
      <c r="E50" s="324">
        <v>73598.336999999985</v>
      </c>
      <c r="F50" s="324">
        <v>803912.81043999991</v>
      </c>
      <c r="G50" s="325">
        <f>SUM(G45:G49)</f>
        <v>1.0000000000000002</v>
      </c>
      <c r="H50" s="325">
        <f t="shared" ref="H50" si="15">(E50-I50)/I50</f>
        <v>-0.16377994367453463</v>
      </c>
      <c r="I50" s="326">
        <v>88013.120999999985</v>
      </c>
      <c r="J50" s="324">
        <v>939704.08447</v>
      </c>
      <c r="K50" s="325">
        <f>SUM(K45:K49)</f>
        <v>1.0000000000000002</v>
      </c>
    </row>
    <row r="51" spans="1:11" ht="11.1" customHeight="1">
      <c r="A51" s="419" t="str">
        <f>'3.1'!F5</f>
        <v>Prosinec</v>
      </c>
      <c r="B51" s="419"/>
      <c r="C51" s="165" t="s">
        <v>4</v>
      </c>
      <c r="D51" s="317">
        <v>174</v>
      </c>
      <c r="E51" s="313">
        <v>40482.131000000001</v>
      </c>
      <c r="F51" s="313">
        <v>440459.63557999983</v>
      </c>
      <c r="G51" s="314">
        <f>E51/$E$56</f>
        <v>0.41761955786052174</v>
      </c>
      <c r="H51" s="314">
        <f>(E51-I51)/I51</f>
        <v>-0.15354087747429884</v>
      </c>
      <c r="I51" s="317">
        <v>47825.263999999996</v>
      </c>
      <c r="J51" s="313">
        <v>510595.50164999993</v>
      </c>
      <c r="K51" s="314">
        <f>I51/$I$56</f>
        <v>0.42254575800725536</v>
      </c>
    </row>
    <row r="52" spans="1:11" ht="11.1" customHeight="1">
      <c r="A52" s="420"/>
      <c r="B52" s="420"/>
      <c r="C52" s="155" t="s">
        <v>5</v>
      </c>
      <c r="D52" s="318">
        <v>461</v>
      </c>
      <c r="E52" s="130">
        <v>6581.607</v>
      </c>
      <c r="F52" s="130">
        <v>71618.233869999953</v>
      </c>
      <c r="G52" s="312">
        <f t="shared" ref="G52:G55" si="16">E52/$E$56</f>
        <v>6.7896816137265975E-2</v>
      </c>
      <c r="H52" s="312">
        <f t="shared" ref="H52:H55" si="17">(E52-I52)/I52</f>
        <v>-0.12391033002279814</v>
      </c>
      <c r="I52" s="318">
        <v>7512.4810000000007</v>
      </c>
      <c r="J52" s="130">
        <v>80217.732979999986</v>
      </c>
      <c r="K52" s="312">
        <f t="shared" ref="K52:K55" si="18">I52/$I$56</f>
        <v>6.6374269855783846E-2</v>
      </c>
    </row>
    <row r="53" spans="1:11" ht="11.1" customHeight="1">
      <c r="A53" s="420"/>
      <c r="B53" s="420"/>
      <c r="C53" s="155" t="s">
        <v>6</v>
      </c>
      <c r="D53" s="318">
        <v>18213</v>
      </c>
      <c r="E53" s="130">
        <v>14804.106</v>
      </c>
      <c r="F53" s="130">
        <v>161160.06289000003</v>
      </c>
      <c r="G53" s="312">
        <f t="shared" si="16"/>
        <v>0.15272131307119918</v>
      </c>
      <c r="H53" s="312">
        <f t="shared" si="17"/>
        <v>-0.11197759924946925</v>
      </c>
      <c r="I53" s="318">
        <v>16670.87</v>
      </c>
      <c r="J53" s="130">
        <v>178041.83330999999</v>
      </c>
      <c r="K53" s="312">
        <f t="shared" si="18"/>
        <v>0.14729046557464717</v>
      </c>
    </row>
    <row r="54" spans="1:11" ht="11.1" customHeight="1">
      <c r="A54" s="420"/>
      <c r="B54" s="420"/>
      <c r="C54" s="155" t="s">
        <v>7</v>
      </c>
      <c r="D54" s="318">
        <v>353893</v>
      </c>
      <c r="E54" s="130">
        <v>33022.819000000003</v>
      </c>
      <c r="F54" s="130">
        <v>359463.32900000003</v>
      </c>
      <c r="G54" s="312">
        <f t="shared" si="16"/>
        <v>0.34066820914363521</v>
      </c>
      <c r="H54" s="312">
        <f t="shared" si="17"/>
        <v>-0.15295802744612619</v>
      </c>
      <c r="I54" s="318">
        <v>38986.047999999995</v>
      </c>
      <c r="J54" s="130">
        <v>416365.75199999998</v>
      </c>
      <c r="K54" s="312">
        <f t="shared" si="18"/>
        <v>0.34444951948131936</v>
      </c>
    </row>
    <row r="55" spans="1:11" ht="11.1" customHeight="1">
      <c r="A55" s="420"/>
      <c r="B55" s="420"/>
      <c r="C55" s="155" t="s">
        <v>93</v>
      </c>
      <c r="D55" s="318">
        <v>33</v>
      </c>
      <c r="E55" s="130">
        <v>2044.7659999999998</v>
      </c>
      <c r="F55" s="130">
        <v>22242.67253</v>
      </c>
      <c r="G55" s="312">
        <f t="shared" si="16"/>
        <v>2.1094103787377881E-2</v>
      </c>
      <c r="H55" s="312">
        <f t="shared" si="17"/>
        <v>-6.5877558851880291E-2</v>
      </c>
      <c r="I55" s="318">
        <v>2188.9700000000003</v>
      </c>
      <c r="J55" s="130">
        <v>23367.623459999999</v>
      </c>
      <c r="K55" s="312">
        <f t="shared" si="18"/>
        <v>1.9339987080994304E-2</v>
      </c>
    </row>
    <row r="56" spans="1:11" ht="11.1" customHeight="1">
      <c r="A56" s="421"/>
      <c r="B56" s="421"/>
      <c r="C56" s="323" t="s">
        <v>0</v>
      </c>
      <c r="D56" s="326">
        <v>372774</v>
      </c>
      <c r="E56" s="324">
        <v>96935.429000000004</v>
      </c>
      <c r="F56" s="324">
        <v>1054943.9338699998</v>
      </c>
      <c r="G56" s="325">
        <f>SUM(G51:G55)</f>
        <v>0.99999999999999989</v>
      </c>
      <c r="H56" s="325">
        <f t="shared" ref="H56" si="19">(E56-I56)/I56</f>
        <v>-0.14355612705946613</v>
      </c>
      <c r="I56" s="326">
        <v>113183.63299999999</v>
      </c>
      <c r="J56" s="324">
        <v>1208588.4433999998</v>
      </c>
      <c r="K56" s="325">
        <f>SUM(K51:K55)</f>
        <v>1</v>
      </c>
    </row>
    <row r="57" spans="1:11" ht="11.1" customHeight="1">
      <c r="A57" s="488" t="str">
        <f>'3.1'!G5</f>
        <v>IV. čtvrtletí</v>
      </c>
      <c r="B57" s="419"/>
      <c r="C57" s="165" t="s">
        <v>4</v>
      </c>
      <c r="D57" s="317">
        <f>D51</f>
        <v>174</v>
      </c>
      <c r="E57" s="313">
        <f>E39+E45+E51</f>
        <v>103089.143</v>
      </c>
      <c r="F57" s="313">
        <f>F39+F45+F51</f>
        <v>1124812.2683399997</v>
      </c>
      <c r="G57" s="314">
        <f>E57/$E$62</f>
        <v>0.47002029566241249</v>
      </c>
      <c r="H57" s="314">
        <f>(E57-I57)/I57</f>
        <v>-0.17657175319858678</v>
      </c>
      <c r="I57" s="317">
        <f>I39+I45+I51</f>
        <v>125195.05299999999</v>
      </c>
      <c r="J57" s="313">
        <f>J39+J45+J51</f>
        <v>1337207.4363200001</v>
      </c>
      <c r="K57" s="314">
        <f>I57/$I$62</f>
        <v>0.45905608480095339</v>
      </c>
    </row>
    <row r="58" spans="1:11" ht="11.1" customHeight="1">
      <c r="A58" s="420"/>
      <c r="B58" s="420"/>
      <c r="C58" s="155" t="s">
        <v>5</v>
      </c>
      <c r="D58" s="318">
        <f>D52</f>
        <v>461</v>
      </c>
      <c r="E58" s="130">
        <f t="shared" ref="E58:F59" si="20">E40+E46+E52</f>
        <v>14842.446999999998</v>
      </c>
      <c r="F58" s="130">
        <f t="shared" si="20"/>
        <v>161955.19352999993</v>
      </c>
      <c r="G58" s="312">
        <f t="shared" ref="G58:G61" si="21">E58/$E$62</f>
        <v>6.7672027570291143E-2</v>
      </c>
      <c r="H58" s="312">
        <f t="shared" ref="H58:H61" si="22">(E58-I58)/I58</f>
        <v>-0.19095895240570454</v>
      </c>
      <c r="I58" s="318">
        <f t="shared" ref="I58:J58" si="23">I40+I46+I52</f>
        <v>18345.727999999999</v>
      </c>
      <c r="J58" s="130">
        <f t="shared" si="23"/>
        <v>195970.94386999996</v>
      </c>
      <c r="K58" s="312">
        <f t="shared" ref="K58:K61" si="24">I58/$I$62</f>
        <v>6.7268776734358868E-2</v>
      </c>
    </row>
    <row r="59" spans="1:11" ht="11.1" customHeight="1">
      <c r="A59" s="420"/>
      <c r="B59" s="420"/>
      <c r="C59" s="155" t="s">
        <v>6</v>
      </c>
      <c r="D59" s="318">
        <f>D53</f>
        <v>18213</v>
      </c>
      <c r="E59" s="130">
        <f>E41+E47+E53</f>
        <v>30303.343000000001</v>
      </c>
      <c r="F59" s="130">
        <f t="shared" si="20"/>
        <v>330700.81521999999</v>
      </c>
      <c r="G59" s="312">
        <f t="shared" si="21"/>
        <v>0.13816378545720862</v>
      </c>
      <c r="H59" s="312">
        <f t="shared" si="22"/>
        <v>-0.16752124598926177</v>
      </c>
      <c r="I59" s="318">
        <f>I41+I47+I53</f>
        <v>36401.341</v>
      </c>
      <c r="J59" s="130">
        <f t="shared" ref="J59" si="25">J41+J47+J53</f>
        <v>388872.75321999996</v>
      </c>
      <c r="K59" s="312">
        <f t="shared" si="24"/>
        <v>0.13347378095654006</v>
      </c>
    </row>
    <row r="60" spans="1:11" ht="11.1" customHeight="1">
      <c r="A60" s="420"/>
      <c r="B60" s="420"/>
      <c r="C60" s="155" t="s">
        <v>7</v>
      </c>
      <c r="D60" s="318">
        <f>D54</f>
        <v>353893</v>
      </c>
      <c r="E60" s="130">
        <f t="shared" ref="E60:F61" si="26">E42+E48+E54</f>
        <v>65134.019</v>
      </c>
      <c r="F60" s="130">
        <f t="shared" si="26"/>
        <v>710725.429</v>
      </c>
      <c r="G60" s="312">
        <f t="shared" si="21"/>
        <v>0.29696930226746759</v>
      </c>
      <c r="H60" s="312">
        <f t="shared" si="22"/>
        <v>-0.24586045428332232</v>
      </c>
      <c r="I60" s="318">
        <f t="shared" ref="I60:J60" si="27">I42+I48+I54</f>
        <v>86368.655999999988</v>
      </c>
      <c r="J60" s="130">
        <f t="shared" si="27"/>
        <v>922688.152</v>
      </c>
      <c r="K60" s="312">
        <f t="shared" si="24"/>
        <v>0.31669028546104272</v>
      </c>
    </row>
    <row r="61" spans="1:11" ht="11.1" customHeight="1">
      <c r="A61" s="420"/>
      <c r="B61" s="420"/>
      <c r="C61" s="155" t="s">
        <v>93</v>
      </c>
      <c r="D61" s="318">
        <f>D55</f>
        <v>33</v>
      </c>
      <c r="E61" s="130">
        <f>E43+E49+E55</f>
        <v>5960.1790000000001</v>
      </c>
      <c r="F61" s="130">
        <f t="shared" si="26"/>
        <v>65051.781189999994</v>
      </c>
      <c r="G61" s="312">
        <f t="shared" si="21"/>
        <v>2.7174589042620153E-2</v>
      </c>
      <c r="H61" s="312">
        <f t="shared" si="22"/>
        <v>-7.0465634384252671E-2</v>
      </c>
      <c r="I61" s="318">
        <f>I43+I49+I55</f>
        <v>6412.0050000000001</v>
      </c>
      <c r="J61" s="130">
        <f t="shared" ref="J61" si="28">J43+J49+J55</f>
        <v>68482.479760000002</v>
      </c>
      <c r="K61" s="312">
        <f t="shared" si="24"/>
        <v>2.3511072047105071E-2</v>
      </c>
    </row>
    <row r="62" spans="1:11" ht="11.1" customHeight="1">
      <c r="A62" s="421"/>
      <c r="B62" s="421"/>
      <c r="C62" s="323" t="s">
        <v>0</v>
      </c>
      <c r="D62" s="326">
        <f>SUM(D57:D61)</f>
        <v>372774</v>
      </c>
      <c r="E62" s="324">
        <f>SUM(E57:E61)</f>
        <v>219329.13099999999</v>
      </c>
      <c r="F62" s="324">
        <f>SUM(F57:F61)</f>
        <v>2393245.4872799995</v>
      </c>
      <c r="G62" s="325">
        <f>SUM(G57:G61)</f>
        <v>1</v>
      </c>
      <c r="H62" s="325">
        <f>(E62-I62)/I62</f>
        <v>-0.19577994699474724</v>
      </c>
      <c r="I62" s="326">
        <f>SUM(I57:I61)</f>
        <v>272722.78299999994</v>
      </c>
      <c r="J62" s="324">
        <f>SUM(J57:J61)</f>
        <v>2913221.76517</v>
      </c>
      <c r="K62" s="325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20"/>
  <sheetViews>
    <sheetView showGridLines="0" topLeftCell="A19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492" t="s">
        <v>308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12"/>
      <c r="B3" s="512"/>
      <c r="C3" s="512"/>
      <c r="D3" s="305"/>
      <c r="E3" s="305"/>
      <c r="F3" s="306"/>
      <c r="G3" s="307"/>
      <c r="H3" s="307"/>
      <c r="I3" s="307"/>
      <c r="J3" s="76"/>
      <c r="K3" s="76"/>
    </row>
    <row r="4" spans="1:16" ht="12.95" customHeight="1">
      <c r="A4" s="484" t="s">
        <v>41</v>
      </c>
      <c r="B4" s="484"/>
      <c r="C4" s="484"/>
      <c r="D4" s="478">
        <f>'3.1'!A4</f>
        <v>2022</v>
      </c>
      <c r="E4" s="358"/>
      <c r="F4" s="347"/>
      <c r="G4" s="347"/>
      <c r="H4" s="347"/>
      <c r="I4" s="478">
        <f>D4-1</f>
        <v>2021</v>
      </c>
      <c r="J4" s="479"/>
      <c r="K4" s="479"/>
    </row>
    <row r="5" spans="1:16" ht="24.95" customHeight="1">
      <c r="A5" s="359"/>
      <c r="B5" s="359"/>
      <c r="C5" s="359"/>
      <c r="D5" s="480"/>
      <c r="E5" s="360"/>
      <c r="F5" s="361"/>
      <c r="G5" s="361"/>
      <c r="H5" s="362"/>
      <c r="I5" s="480"/>
      <c r="J5" s="481"/>
      <c r="K5" s="481"/>
    </row>
    <row r="6" spans="1:16" ht="24.95" customHeight="1">
      <c r="A6" s="309"/>
      <c r="B6" s="277"/>
      <c r="C6" s="310"/>
      <c r="D6" s="369" t="s">
        <v>160</v>
      </c>
      <c r="E6" s="476" t="s">
        <v>60</v>
      </c>
      <c r="F6" s="476"/>
      <c r="G6" s="477" t="s">
        <v>33</v>
      </c>
      <c r="H6" s="477" t="s">
        <v>272</v>
      </c>
      <c r="I6" s="475" t="s">
        <v>60</v>
      </c>
      <c r="J6" s="476"/>
      <c r="K6" s="477" t="s">
        <v>33</v>
      </c>
    </row>
    <row r="7" spans="1:16" ht="24.95" customHeight="1">
      <c r="A7" s="309"/>
      <c r="B7" s="311"/>
      <c r="D7" s="370"/>
      <c r="E7" s="476"/>
      <c r="F7" s="476"/>
      <c r="G7" s="477"/>
      <c r="H7" s="477"/>
      <c r="I7" s="475"/>
      <c r="J7" s="476"/>
      <c r="K7" s="477"/>
    </row>
    <row r="8" spans="1:16" ht="15" customHeight="1">
      <c r="A8" s="485" t="s">
        <v>159</v>
      </c>
      <c r="B8" s="485"/>
      <c r="C8" s="328" t="s">
        <v>185</v>
      </c>
      <c r="D8" s="348"/>
      <c r="E8" s="222" t="s">
        <v>263</v>
      </c>
      <c r="F8" s="222" t="s">
        <v>264</v>
      </c>
      <c r="G8" s="464"/>
      <c r="H8" s="464"/>
      <c r="I8" s="224" t="s">
        <v>263</v>
      </c>
      <c r="J8" s="222" t="s">
        <v>264</v>
      </c>
      <c r="K8" s="464"/>
    </row>
    <row r="9" spans="1:16" ht="11.1" customHeight="1">
      <c r="A9" s="419" t="str">
        <f>'3.1'!D5</f>
        <v>Říjen</v>
      </c>
      <c r="B9" s="419"/>
      <c r="C9" s="165" t="s">
        <v>4</v>
      </c>
      <c r="D9" s="317">
        <v>116</v>
      </c>
      <c r="E9" s="313">
        <v>14963.501</v>
      </c>
      <c r="F9" s="313">
        <v>163996.09135000006</v>
      </c>
      <c r="G9" s="314">
        <f>E9/$E$14</f>
        <v>0.51209090224637588</v>
      </c>
      <c r="H9" s="314">
        <f>(E9-I9)/I9</f>
        <v>-0.13448505493779611</v>
      </c>
      <c r="I9" s="317">
        <v>17288.553</v>
      </c>
      <c r="J9" s="313">
        <v>184937.56578000003</v>
      </c>
      <c r="K9" s="314">
        <f>I9/$I$14</f>
        <v>0.43162896774870047</v>
      </c>
    </row>
    <row r="10" spans="1:16" ht="11.1" customHeight="1">
      <c r="A10" s="420"/>
      <c r="B10" s="420"/>
      <c r="C10" s="155" t="s">
        <v>5</v>
      </c>
      <c r="D10" s="318">
        <v>356</v>
      </c>
      <c r="E10" s="130">
        <v>2666.5639999999999</v>
      </c>
      <c r="F10" s="130">
        <v>29225.10253</v>
      </c>
      <c r="G10" s="312">
        <f>E10/$E$14</f>
        <v>9.1256930089937169E-2</v>
      </c>
      <c r="H10" s="312">
        <f>(E10-I10)/I10</f>
        <v>-0.34545161772542726</v>
      </c>
      <c r="I10" s="318">
        <v>4073.8990000000003</v>
      </c>
      <c r="J10" s="130">
        <v>43578.553300000014</v>
      </c>
      <c r="K10" s="312">
        <f>I10/$I$14</f>
        <v>0.10170965841285058</v>
      </c>
      <c r="L10" s="94"/>
      <c r="N10" s="94"/>
      <c r="O10" s="94"/>
      <c r="P10" s="94"/>
    </row>
    <row r="11" spans="1:16" ht="11.1" customHeight="1">
      <c r="A11" s="420"/>
      <c r="B11" s="420"/>
      <c r="C11" s="155" t="s">
        <v>6</v>
      </c>
      <c r="D11" s="318">
        <v>13176</v>
      </c>
      <c r="E11" s="130">
        <v>3985.1</v>
      </c>
      <c r="F11" s="130">
        <v>43675.3</v>
      </c>
      <c r="G11" s="312">
        <f>E11/$E$14</f>
        <v>0.13638074769681457</v>
      </c>
      <c r="H11" s="312">
        <f t="shared" ref="H11:H13" si="0">(E11-I11)/I11</f>
        <v>-0.30210740761561217</v>
      </c>
      <c r="I11" s="318">
        <v>5710.1909999999998</v>
      </c>
      <c r="J11" s="130">
        <v>61082.586740999999</v>
      </c>
      <c r="K11" s="312">
        <f>I11/$I$14</f>
        <v>0.14256160402654403</v>
      </c>
      <c r="L11" s="94"/>
      <c r="N11" s="94"/>
      <c r="O11" s="94"/>
      <c r="P11" s="94"/>
    </row>
    <row r="12" spans="1:16" ht="11.1" customHeight="1">
      <c r="A12" s="420"/>
      <c r="B12" s="420"/>
      <c r="C12" s="155" t="s">
        <v>7</v>
      </c>
      <c r="D12" s="318">
        <v>171284</v>
      </c>
      <c r="E12" s="130">
        <v>7256.8</v>
      </c>
      <c r="F12" s="130">
        <v>79532</v>
      </c>
      <c r="G12" s="312">
        <f>E12/$E$14</f>
        <v>0.24834704521498682</v>
      </c>
      <c r="H12" s="312">
        <f t="shared" si="0"/>
        <v>-0.42193934855859233</v>
      </c>
      <c r="I12" s="318">
        <v>12553.7</v>
      </c>
      <c r="J12" s="130">
        <v>134288.20000000001</v>
      </c>
      <c r="K12" s="312">
        <f>I12/$I$14</f>
        <v>0.31341781885545084</v>
      </c>
      <c r="L12" s="94"/>
      <c r="N12" s="94"/>
      <c r="O12" s="94"/>
      <c r="P12" s="94"/>
    </row>
    <row r="13" spans="1:16" ht="11.1" customHeight="1">
      <c r="A13" s="420"/>
      <c r="B13" s="420"/>
      <c r="C13" s="155" t="s">
        <v>93</v>
      </c>
      <c r="D13" s="318">
        <v>15</v>
      </c>
      <c r="E13" s="130">
        <v>348.435</v>
      </c>
      <c r="F13" s="130">
        <v>3818.7519900000002</v>
      </c>
      <c r="G13" s="312">
        <f>E13/$E$14</f>
        <v>1.192437475188567E-2</v>
      </c>
      <c r="H13" s="312">
        <f t="shared" si="0"/>
        <v>-0.18562744094405378</v>
      </c>
      <c r="I13" s="318">
        <v>427.85700000000003</v>
      </c>
      <c r="J13" s="130">
        <v>4576.8326989999987</v>
      </c>
      <c r="K13" s="312">
        <f>I13/$I$14</f>
        <v>1.0681950956454004E-2</v>
      </c>
      <c r="L13" s="94"/>
      <c r="N13" s="94"/>
      <c r="O13" s="94"/>
      <c r="P13" s="94"/>
    </row>
    <row r="14" spans="1:16" ht="11.1" customHeight="1">
      <c r="A14" s="421"/>
      <c r="B14" s="421"/>
      <c r="C14" s="323" t="s">
        <v>0</v>
      </c>
      <c r="D14" s="326">
        <v>184947</v>
      </c>
      <c r="E14" s="324">
        <v>29220.399999999998</v>
      </c>
      <c r="F14" s="324">
        <v>320247.2458700001</v>
      </c>
      <c r="G14" s="325">
        <f>SUM(G9:G13)</f>
        <v>1.0000000000000002</v>
      </c>
      <c r="H14" s="325">
        <f>(E14-I14)/I14</f>
        <v>-0.27047850163029108</v>
      </c>
      <c r="I14" s="326">
        <v>40054.200000000004</v>
      </c>
      <c r="J14" s="324">
        <v>428463.73852000007</v>
      </c>
      <c r="K14" s="325">
        <f>SUM(K9:K13)</f>
        <v>0.99999999999999989</v>
      </c>
      <c r="L14" s="94"/>
    </row>
    <row r="15" spans="1:16" ht="11.1" customHeight="1">
      <c r="A15" s="419" t="str">
        <f>'3.1'!E5</f>
        <v>Listopad</v>
      </c>
      <c r="B15" s="419"/>
      <c r="C15" s="165" t="s">
        <v>4</v>
      </c>
      <c r="D15" s="317">
        <v>116</v>
      </c>
      <c r="E15" s="313">
        <v>19232.921999999999</v>
      </c>
      <c r="F15" s="313">
        <v>210181.02086000002</v>
      </c>
      <c r="G15" s="314">
        <f>E15/$E$20</f>
        <v>0.42229784711319945</v>
      </c>
      <c r="H15" s="314">
        <f>(E15-I15)/I15</f>
        <v>-8.3778555815157196E-2</v>
      </c>
      <c r="I15" s="317">
        <v>20991.564999999999</v>
      </c>
      <c r="J15" s="313">
        <v>224153.96691999992</v>
      </c>
      <c r="K15" s="314">
        <f>I15/$I$20</f>
        <v>0.38208302542055117</v>
      </c>
      <c r="L15" s="94"/>
      <c r="M15" s="94"/>
    </row>
    <row r="16" spans="1:16" ht="11.1" customHeight="1">
      <c r="A16" s="420"/>
      <c r="B16" s="420"/>
      <c r="C16" s="155" t="s">
        <v>5</v>
      </c>
      <c r="D16" s="318">
        <v>355</v>
      </c>
      <c r="E16" s="130">
        <v>4348.5149999999994</v>
      </c>
      <c r="F16" s="130">
        <v>47521.292499999996</v>
      </c>
      <c r="G16" s="312">
        <f>E16/$E$20</f>
        <v>9.5480474710990582E-2</v>
      </c>
      <c r="H16" s="312">
        <f>(E16-I16)/I16</f>
        <v>-0.23585895851897914</v>
      </c>
      <c r="I16" s="318">
        <v>5690.723</v>
      </c>
      <c r="J16" s="130">
        <v>60767.299640000027</v>
      </c>
      <c r="K16" s="312">
        <f>I16/$I$20</f>
        <v>0.1035810650930655</v>
      </c>
      <c r="L16" s="98"/>
      <c r="M16" s="94"/>
    </row>
    <row r="17" spans="1:20" ht="11.1" customHeight="1">
      <c r="A17" s="420"/>
      <c r="B17" s="420"/>
      <c r="C17" s="155" t="s">
        <v>6</v>
      </c>
      <c r="D17" s="318">
        <v>13145</v>
      </c>
      <c r="E17" s="130">
        <v>7545</v>
      </c>
      <c r="F17" s="130">
        <v>82452.600000000006</v>
      </c>
      <c r="G17" s="312">
        <f>E17/$E$20</f>
        <v>0.16566579204496801</v>
      </c>
      <c r="H17" s="312">
        <f t="shared" ref="H17:H20" si="1">(E17-I17)/I17</f>
        <v>-0.15843468181580905</v>
      </c>
      <c r="I17" s="318">
        <v>8965.4359999999997</v>
      </c>
      <c r="J17" s="130">
        <v>95735.714543000009</v>
      </c>
      <c r="K17" s="312">
        <f>I17/$I$20</f>
        <v>0.16318654236091137</v>
      </c>
      <c r="L17" s="94"/>
      <c r="M17" s="94"/>
      <c r="N17" s="94"/>
      <c r="O17" s="94"/>
    </row>
    <row r="18" spans="1:20" ht="11.1" customHeight="1">
      <c r="A18" s="420"/>
      <c r="B18" s="420"/>
      <c r="C18" s="155" t="s">
        <v>7</v>
      </c>
      <c r="D18" s="318">
        <v>171156</v>
      </c>
      <c r="E18" s="130">
        <v>14024.7</v>
      </c>
      <c r="F18" s="130">
        <v>153264</v>
      </c>
      <c r="G18" s="312">
        <f>E18/$E$20</f>
        <v>0.3079407599328115</v>
      </c>
      <c r="H18" s="312">
        <f t="shared" si="1"/>
        <v>-0.25593671745681418</v>
      </c>
      <c r="I18" s="318">
        <v>18848.8</v>
      </c>
      <c r="J18" s="130">
        <v>201272.6</v>
      </c>
      <c r="K18" s="312">
        <f>I18/$I$20</f>
        <v>0.34308097226418732</v>
      </c>
      <c r="L18" s="94"/>
      <c r="M18" s="94"/>
      <c r="N18" s="94"/>
      <c r="O18" s="94"/>
    </row>
    <row r="19" spans="1:20" ht="11.1" customHeight="1">
      <c r="A19" s="420"/>
      <c r="B19" s="420"/>
      <c r="C19" s="155" t="s">
        <v>93</v>
      </c>
      <c r="D19" s="318">
        <v>15</v>
      </c>
      <c r="E19" s="130">
        <v>392.363</v>
      </c>
      <c r="F19" s="130">
        <v>4287.8131899999998</v>
      </c>
      <c r="G19" s="312">
        <f>E19/$E$20</f>
        <v>8.6151261980304539E-3</v>
      </c>
      <c r="H19" s="312">
        <f t="shared" si="1"/>
        <v>-0.11485620696811921</v>
      </c>
      <c r="I19" s="318">
        <v>443.27600000000001</v>
      </c>
      <c r="J19" s="130">
        <v>4733.4239370000005</v>
      </c>
      <c r="K19" s="312">
        <f>I19/$I$20</f>
        <v>8.0683948612845328E-3</v>
      </c>
      <c r="L19" s="94"/>
      <c r="M19" s="94"/>
      <c r="N19" s="94"/>
      <c r="O19" s="94"/>
    </row>
    <row r="20" spans="1:20" ht="11.1" customHeight="1">
      <c r="A20" s="421"/>
      <c r="B20" s="421"/>
      <c r="C20" s="323" t="s">
        <v>0</v>
      </c>
      <c r="D20" s="326">
        <v>184787</v>
      </c>
      <c r="E20" s="324">
        <v>45543.5</v>
      </c>
      <c r="F20" s="324">
        <v>497706.72655000002</v>
      </c>
      <c r="G20" s="325">
        <f>SUM(G15:G19)</f>
        <v>1</v>
      </c>
      <c r="H20" s="325">
        <f t="shared" si="1"/>
        <v>-0.1710290172152065</v>
      </c>
      <c r="I20" s="326">
        <v>54939.8</v>
      </c>
      <c r="J20" s="324">
        <v>586663.00503999996</v>
      </c>
      <c r="K20" s="325">
        <f>SUM(K15:K19)</f>
        <v>0.99999999999999989</v>
      </c>
      <c r="L20" s="94"/>
      <c r="M20" s="94"/>
      <c r="N20" s="94"/>
      <c r="O20" s="94"/>
    </row>
    <row r="21" spans="1:20" ht="11.1" customHeight="1">
      <c r="A21" s="419" t="str">
        <f>'3.1'!F5</f>
        <v>Prosinec</v>
      </c>
      <c r="B21" s="419"/>
      <c r="C21" s="165" t="s">
        <v>4</v>
      </c>
      <c r="D21" s="317">
        <v>116</v>
      </c>
      <c r="E21" s="313">
        <v>19470.355</v>
      </c>
      <c r="F21" s="313">
        <v>211971.67856000006</v>
      </c>
      <c r="G21" s="314">
        <f>E21/$E$26</f>
        <v>0.33548580802015293</v>
      </c>
      <c r="H21" s="314">
        <f>(E21-I21)/I21</f>
        <v>-0.15077851080495785</v>
      </c>
      <c r="I21" s="317">
        <v>22927.298999999999</v>
      </c>
      <c r="J21" s="313">
        <v>244864.16019999995</v>
      </c>
      <c r="K21" s="314">
        <f>I21/$I$26</f>
        <v>0.33627601936051627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0"/>
      <c r="B22" s="420"/>
      <c r="C22" s="155" t="s">
        <v>5</v>
      </c>
      <c r="D22" s="318">
        <v>354</v>
      </c>
      <c r="E22" s="130">
        <v>5439.7089999999998</v>
      </c>
      <c r="F22" s="130">
        <v>59221.392500000082</v>
      </c>
      <c r="G22" s="312">
        <f>E22/$E$26</f>
        <v>9.3729424515346438E-2</v>
      </c>
      <c r="H22" s="312">
        <f t="shared" ref="H22:H26" si="2">(E22-I22)/I22</f>
        <v>-0.19226118087635441</v>
      </c>
      <c r="I22" s="318">
        <v>6734.49</v>
      </c>
      <c r="J22" s="130">
        <v>71924.727830000003</v>
      </c>
      <c r="K22" s="312">
        <f>I22/$I$26</f>
        <v>9.8775154004106774E-2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0"/>
      <c r="B23" s="420"/>
      <c r="C23" s="155" t="s">
        <v>6</v>
      </c>
      <c r="D23" s="318">
        <v>13133</v>
      </c>
      <c r="E23" s="130">
        <v>11007.7</v>
      </c>
      <c r="F23" s="130">
        <v>119839.4</v>
      </c>
      <c r="G23" s="312">
        <f>E23/$E$26</f>
        <v>0.18966922426136748</v>
      </c>
      <c r="H23" s="312">
        <f t="shared" si="2"/>
        <v>-0.11157696480980546</v>
      </c>
      <c r="I23" s="318">
        <v>12390.156000000001</v>
      </c>
      <c r="J23" s="130">
        <v>132327.492539</v>
      </c>
      <c r="K23" s="312">
        <f>I23/$I$26</f>
        <v>0.18172713405690819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0"/>
      <c r="B24" s="420"/>
      <c r="C24" s="155" t="s">
        <v>7</v>
      </c>
      <c r="D24" s="318">
        <v>170955</v>
      </c>
      <c r="E24" s="130">
        <v>21747.8</v>
      </c>
      <c r="F24" s="130">
        <v>236765.5</v>
      </c>
      <c r="G24" s="312">
        <f>E24/$E$26</f>
        <v>0.37472754121127638</v>
      </c>
      <c r="H24" s="312">
        <f t="shared" si="2"/>
        <v>-0.15295813047711784</v>
      </c>
      <c r="I24" s="318">
        <v>25675</v>
      </c>
      <c r="J24" s="130">
        <v>274210.5</v>
      </c>
      <c r="K24" s="312">
        <f>I24/$I$26</f>
        <v>0.37657670871223231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0"/>
      <c r="B25" s="420"/>
      <c r="C25" s="155" t="s">
        <v>93</v>
      </c>
      <c r="D25" s="318">
        <v>15</v>
      </c>
      <c r="E25" s="130">
        <v>370.73599999999999</v>
      </c>
      <c r="F25" s="130">
        <v>4036.1607299999996</v>
      </c>
      <c r="G25" s="312">
        <f>E25/$E$26</f>
        <v>6.3880019918568206E-3</v>
      </c>
      <c r="H25" s="312">
        <f t="shared" si="2"/>
        <v>-0.18169758638575895</v>
      </c>
      <c r="I25" s="318">
        <v>453.05500000000001</v>
      </c>
      <c r="J25" s="130">
        <v>4838.6363310000006</v>
      </c>
      <c r="K25" s="312">
        <f>I25/$I$26</f>
        <v>6.6449838662364334E-3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21"/>
      <c r="B26" s="421"/>
      <c r="C26" s="323" t="s">
        <v>0</v>
      </c>
      <c r="D26" s="326">
        <v>184573</v>
      </c>
      <c r="E26" s="324">
        <v>58036.299999999996</v>
      </c>
      <c r="F26" s="324">
        <v>631834.13179000013</v>
      </c>
      <c r="G26" s="325">
        <f>SUM(G21:G25)</f>
        <v>1</v>
      </c>
      <c r="H26" s="325">
        <f t="shared" si="2"/>
        <v>-0.14877823408624236</v>
      </c>
      <c r="I26" s="326">
        <v>68180</v>
      </c>
      <c r="J26" s="324">
        <v>728165.51690000005</v>
      </c>
      <c r="K26" s="325">
        <f>SUM(K21:K25)</f>
        <v>1</v>
      </c>
    </row>
    <row r="27" spans="1:20" ht="11.1" customHeight="1">
      <c r="A27" s="488" t="str">
        <f>'3.1'!G5</f>
        <v>IV. čtvrtletí</v>
      </c>
      <c r="B27" s="419"/>
      <c r="C27" s="165" t="s">
        <v>4</v>
      </c>
      <c r="D27" s="317">
        <f>D21</f>
        <v>116</v>
      </c>
      <c r="E27" s="313">
        <f>E9+E15+E21</f>
        <v>53666.777999999991</v>
      </c>
      <c r="F27" s="313">
        <f>F9+F15+F21</f>
        <v>586148.79077000008</v>
      </c>
      <c r="G27" s="314">
        <f>E27/$E$32</f>
        <v>0.40411669560738606</v>
      </c>
      <c r="H27" s="314">
        <f>(E27-I27)/I27</f>
        <v>-0.12319812482856465</v>
      </c>
      <c r="I27" s="317">
        <f>I9+I15+I21</f>
        <v>61207.417000000001</v>
      </c>
      <c r="J27" s="313">
        <f>J9+J15+J21</f>
        <v>653955.69289999991</v>
      </c>
      <c r="K27" s="314">
        <f>I27/$I$32</f>
        <v>0.3751052067118536</v>
      </c>
    </row>
    <row r="28" spans="1:20" ht="11.1" customHeight="1">
      <c r="A28" s="420"/>
      <c r="B28" s="420"/>
      <c r="C28" s="155" t="s">
        <v>5</v>
      </c>
      <c r="D28" s="318">
        <f>D22</f>
        <v>354</v>
      </c>
      <c r="E28" s="130">
        <f t="shared" ref="E28:F31" si="3">E10+E16+E22</f>
        <v>12454.788</v>
      </c>
      <c r="F28" s="130">
        <f t="shared" si="3"/>
        <v>135967.78753000009</v>
      </c>
      <c r="G28" s="312">
        <f>E28/$E$32</f>
        <v>9.378591297302262E-2</v>
      </c>
      <c r="H28" s="312">
        <f t="shared" ref="H28:H31" si="4">(E28-I28)/I28</f>
        <v>-0.24512373756842187</v>
      </c>
      <c r="I28" s="318">
        <f t="shared" ref="I28:J28" si="5">I10+I16+I22</f>
        <v>16499.112000000001</v>
      </c>
      <c r="J28" s="130">
        <f t="shared" si="5"/>
        <v>176270.58077000006</v>
      </c>
      <c r="K28" s="312">
        <f>I28/$I$32</f>
        <v>0.10111360878571342</v>
      </c>
    </row>
    <row r="29" spans="1:20" ht="11.1" customHeight="1">
      <c r="A29" s="420"/>
      <c r="B29" s="420"/>
      <c r="C29" s="155" t="s">
        <v>6</v>
      </c>
      <c r="D29" s="318">
        <f>D23</f>
        <v>13133</v>
      </c>
      <c r="E29" s="130">
        <f t="shared" si="3"/>
        <v>22537.800000000003</v>
      </c>
      <c r="F29" s="130">
        <f t="shared" si="3"/>
        <v>245967.3</v>
      </c>
      <c r="G29" s="312">
        <f>E29/$E$32</f>
        <v>0.16971209380708766</v>
      </c>
      <c r="H29" s="312">
        <f t="shared" si="4"/>
        <v>-0.16729547414164961</v>
      </c>
      <c r="I29" s="318">
        <f t="shared" ref="I29:J29" si="6">I11+I17+I23</f>
        <v>27065.783000000003</v>
      </c>
      <c r="J29" s="130">
        <f t="shared" si="6"/>
        <v>289145.79382300004</v>
      </c>
      <c r="K29" s="312">
        <f>I29/$I$32</f>
        <v>0.16587068405505781</v>
      </c>
    </row>
    <row r="30" spans="1:20" ht="11.1" customHeight="1">
      <c r="A30" s="420"/>
      <c r="B30" s="420"/>
      <c r="C30" s="155" t="s">
        <v>7</v>
      </c>
      <c r="D30" s="318">
        <f>D24</f>
        <v>170955</v>
      </c>
      <c r="E30" s="130">
        <f t="shared" si="3"/>
        <v>43029.3</v>
      </c>
      <c r="F30" s="130">
        <f t="shared" si="3"/>
        <v>469561.5</v>
      </c>
      <c r="G30" s="312">
        <f>E30/$E$32</f>
        <v>0.3240153252781246</v>
      </c>
      <c r="H30" s="312">
        <f t="shared" si="4"/>
        <v>-0.24612500547501198</v>
      </c>
      <c r="I30" s="318">
        <f t="shared" ref="I30:J30" si="7">I12+I18+I24</f>
        <v>57077.5</v>
      </c>
      <c r="J30" s="130">
        <f t="shared" si="7"/>
        <v>609771.30000000005</v>
      </c>
      <c r="K30" s="312">
        <f>I30/$I$32</f>
        <v>0.34979531052741247</v>
      </c>
    </row>
    <row r="31" spans="1:20" ht="11.1" customHeight="1">
      <c r="A31" s="420"/>
      <c r="B31" s="420"/>
      <c r="C31" s="155" t="s">
        <v>93</v>
      </c>
      <c r="D31" s="318">
        <f>D25</f>
        <v>15</v>
      </c>
      <c r="E31" s="130">
        <f>E13+E19+E25</f>
        <v>1111.5340000000001</v>
      </c>
      <c r="F31" s="130">
        <f t="shared" si="3"/>
        <v>12142.725909999999</v>
      </c>
      <c r="G31" s="312">
        <f>E31/$E$32</f>
        <v>8.3699723343790139E-3</v>
      </c>
      <c r="H31" s="312">
        <f t="shared" si="4"/>
        <v>-0.16059200053164654</v>
      </c>
      <c r="I31" s="318">
        <f>I13+I19+I25</f>
        <v>1324.1880000000001</v>
      </c>
      <c r="J31" s="130">
        <f t="shared" ref="J31" si="8">J13+J19+J25</f>
        <v>14148.892967</v>
      </c>
      <c r="K31" s="312">
        <f>I31/$I$32</f>
        <v>8.1151899199627398E-3</v>
      </c>
    </row>
    <row r="32" spans="1:20" ht="11.1" customHeight="1">
      <c r="A32" s="421"/>
      <c r="B32" s="421"/>
      <c r="C32" s="323" t="s">
        <v>0</v>
      </c>
      <c r="D32" s="326">
        <f>SUM(D27:D31)</f>
        <v>184573</v>
      </c>
      <c r="E32" s="324">
        <f>SUM(E27:E31)</f>
        <v>132800.20000000001</v>
      </c>
      <c r="F32" s="324">
        <f>SUM(F27:F31)</f>
        <v>1449788.1042100003</v>
      </c>
      <c r="G32" s="325">
        <f>SUM(G27:G31)</f>
        <v>0.99999999999999989</v>
      </c>
      <c r="H32" s="325">
        <f>(E32-I32)/I32</f>
        <v>-0.1861436258227413</v>
      </c>
      <c r="I32" s="326">
        <f>SUM(I27:I31)</f>
        <v>163174</v>
      </c>
      <c r="J32" s="324">
        <f>SUM(J27:J31)</f>
        <v>1743292.26046</v>
      </c>
      <c r="K32" s="325">
        <f>SUM(K27:K31)</f>
        <v>1</v>
      </c>
    </row>
    <row r="33" spans="1:11" ht="9.9499999999999993" customHeight="1">
      <c r="A33" s="363"/>
      <c r="B33" s="364"/>
      <c r="C33" s="365"/>
      <c r="D33" s="366"/>
      <c r="E33" s="366"/>
      <c r="F33" s="366"/>
      <c r="G33" s="367"/>
      <c r="H33" s="368"/>
      <c r="I33" s="366"/>
      <c r="J33" s="366"/>
      <c r="K33" s="367"/>
    </row>
    <row r="34" spans="1:11" ht="12.95" customHeight="1">
      <c r="A34" s="513" t="s">
        <v>42</v>
      </c>
      <c r="B34" s="513"/>
      <c r="C34" s="513"/>
      <c r="D34" s="478">
        <f>D4</f>
        <v>2022</v>
      </c>
      <c r="E34" s="358"/>
      <c r="F34" s="347"/>
      <c r="G34" s="347"/>
      <c r="H34" s="347"/>
      <c r="I34" s="478">
        <f>D34-1</f>
        <v>2021</v>
      </c>
      <c r="J34" s="479"/>
      <c r="K34" s="479"/>
    </row>
    <row r="35" spans="1:11" ht="24.95" customHeight="1">
      <c r="A35" s="309"/>
      <c r="B35" s="277"/>
      <c r="C35" s="151"/>
      <c r="D35" s="480"/>
      <c r="E35" s="360"/>
      <c r="F35" s="361"/>
      <c r="G35" s="361"/>
      <c r="H35" s="362"/>
      <c r="I35" s="480"/>
      <c r="J35" s="481"/>
      <c r="K35" s="481"/>
    </row>
    <row r="36" spans="1:11" ht="24.95" customHeight="1">
      <c r="A36" s="131"/>
      <c r="B36" s="132"/>
      <c r="C36" s="357"/>
      <c r="D36" s="369" t="s">
        <v>160</v>
      </c>
      <c r="E36" s="476" t="s">
        <v>60</v>
      </c>
      <c r="F36" s="476"/>
      <c r="G36" s="477" t="s">
        <v>33</v>
      </c>
      <c r="H36" s="477" t="s">
        <v>272</v>
      </c>
      <c r="I36" s="475" t="s">
        <v>60</v>
      </c>
      <c r="J36" s="476"/>
      <c r="K36" s="477" t="s">
        <v>33</v>
      </c>
    </row>
    <row r="37" spans="1:11" ht="24.95" customHeight="1">
      <c r="A37" s="131"/>
      <c r="B37" s="311"/>
      <c r="C37" s="311"/>
      <c r="D37" s="370"/>
      <c r="E37" s="476"/>
      <c r="F37" s="476"/>
      <c r="G37" s="477"/>
      <c r="H37" s="477"/>
      <c r="I37" s="475"/>
      <c r="J37" s="476"/>
      <c r="K37" s="477"/>
    </row>
    <row r="38" spans="1:11" ht="15" customHeight="1">
      <c r="A38" s="514" t="s">
        <v>159</v>
      </c>
      <c r="B38" s="514"/>
      <c r="C38" s="371" t="s">
        <v>185</v>
      </c>
      <c r="D38" s="348"/>
      <c r="E38" s="222" t="s">
        <v>263</v>
      </c>
      <c r="F38" s="222" t="s">
        <v>264</v>
      </c>
      <c r="G38" s="464"/>
      <c r="H38" s="464"/>
      <c r="I38" s="224" t="s">
        <v>263</v>
      </c>
      <c r="J38" s="222" t="s">
        <v>264</v>
      </c>
      <c r="K38" s="464"/>
    </row>
    <row r="39" spans="1:11" ht="11.1" customHeight="1">
      <c r="A39" s="419" t="str">
        <f>'3.1'!D5</f>
        <v>Říjen</v>
      </c>
      <c r="B39" s="419"/>
      <c r="C39" s="165" t="s">
        <v>4</v>
      </c>
      <c r="D39" s="317">
        <v>79</v>
      </c>
      <c r="E39" s="313">
        <v>9370.9650000000001</v>
      </c>
      <c r="F39" s="313">
        <v>102703.24521000005</v>
      </c>
      <c r="G39" s="314">
        <f>E39/$E$44</f>
        <v>0.44584578274273967</v>
      </c>
      <c r="H39" s="314">
        <f>(E39-I39)/I39</f>
        <v>-0.18188370692312664</v>
      </c>
      <c r="I39" s="317">
        <v>11454.319000000001</v>
      </c>
      <c r="J39" s="313">
        <v>122527.87575999995</v>
      </c>
      <c r="K39" s="314">
        <f>I39/$I$44</f>
        <v>0.37855380873220729</v>
      </c>
    </row>
    <row r="40" spans="1:11" ht="11.1" customHeight="1">
      <c r="A40" s="420"/>
      <c r="B40" s="420"/>
      <c r="C40" s="155" t="s">
        <v>5</v>
      </c>
      <c r="D40" s="318">
        <v>279</v>
      </c>
      <c r="E40" s="130">
        <v>2410.4390000000003</v>
      </c>
      <c r="F40" s="130">
        <v>26418.054860000015</v>
      </c>
      <c r="G40" s="312">
        <f t="shared" ref="G40" si="9">E40/$E$44</f>
        <v>0.11468232596201425</v>
      </c>
      <c r="H40" s="312">
        <f>(E40-I40)/I40</f>
        <v>-0.37126866352932092</v>
      </c>
      <c r="I40" s="318">
        <v>3833.8140000000003</v>
      </c>
      <c r="J40" s="130">
        <v>41010.673580000002</v>
      </c>
      <c r="K40" s="312">
        <f t="shared" ref="K40:K43" si="10">I40/$I$44</f>
        <v>0.12670372561396784</v>
      </c>
    </row>
    <row r="41" spans="1:11" ht="11.1" customHeight="1">
      <c r="A41" s="420"/>
      <c r="B41" s="420"/>
      <c r="C41" s="155" t="s">
        <v>6</v>
      </c>
      <c r="D41" s="318">
        <v>11288</v>
      </c>
      <c r="E41" s="130">
        <v>3260.9049999999997</v>
      </c>
      <c r="F41" s="130">
        <v>35738.924489999998</v>
      </c>
      <c r="G41" s="312">
        <f>E41/$E$44</f>
        <v>0.15514525368248772</v>
      </c>
      <c r="H41" s="312">
        <f t="shared" ref="H41:H43" si="11">(E41-I41)/I41</f>
        <v>-0.3024572360244594</v>
      </c>
      <c r="I41" s="318">
        <v>4674.8459999999995</v>
      </c>
      <c r="J41" s="130">
        <v>50007.629589999997</v>
      </c>
      <c r="K41" s="312">
        <f t="shared" si="10"/>
        <v>0.15449899365789654</v>
      </c>
    </row>
    <row r="42" spans="1:11" ht="11.1" customHeight="1">
      <c r="A42" s="420"/>
      <c r="B42" s="420"/>
      <c r="C42" s="155" t="s">
        <v>7</v>
      </c>
      <c r="D42" s="318">
        <v>123545</v>
      </c>
      <c r="E42" s="130">
        <v>5785.1</v>
      </c>
      <c r="F42" s="130">
        <v>63403</v>
      </c>
      <c r="G42" s="312">
        <f>E42/$E$44</f>
        <v>0.27523978989837478</v>
      </c>
      <c r="H42" s="312">
        <f t="shared" si="11"/>
        <v>-0.42194088610883501</v>
      </c>
      <c r="I42" s="318">
        <v>10007.799999999999</v>
      </c>
      <c r="J42" s="130">
        <v>107054.7</v>
      </c>
      <c r="K42" s="312">
        <f t="shared" si="10"/>
        <v>0.33074779976270818</v>
      </c>
    </row>
    <row r="43" spans="1:11" ht="11.1" customHeight="1">
      <c r="A43" s="420"/>
      <c r="B43" s="420"/>
      <c r="C43" s="155" t="s">
        <v>93</v>
      </c>
      <c r="D43" s="318">
        <v>15</v>
      </c>
      <c r="E43" s="130">
        <v>190.99100000000001</v>
      </c>
      <c r="F43" s="130">
        <v>2093.2096300000003</v>
      </c>
      <c r="G43" s="312">
        <f>E43/$E$44</f>
        <v>9.0868477143835873E-3</v>
      </c>
      <c r="H43" s="312">
        <f t="shared" si="11"/>
        <v>-0.33526961134062599</v>
      </c>
      <c r="I43" s="318">
        <v>287.32100000000003</v>
      </c>
      <c r="J43" s="130">
        <v>3073.5007900000001</v>
      </c>
      <c r="K43" s="312">
        <f t="shared" si="10"/>
        <v>9.4956722332201968E-3</v>
      </c>
    </row>
    <row r="44" spans="1:11" ht="11.1" customHeight="1">
      <c r="A44" s="421"/>
      <c r="B44" s="421"/>
      <c r="C44" s="323" t="s">
        <v>0</v>
      </c>
      <c r="D44" s="326">
        <v>135206</v>
      </c>
      <c r="E44" s="324">
        <v>21018.400000000001</v>
      </c>
      <c r="F44" s="324">
        <v>230356.43419000006</v>
      </c>
      <c r="G44" s="325">
        <f>SUM(G39:G43)</f>
        <v>0.99999999999999989</v>
      </c>
      <c r="H44" s="325">
        <f>(E44-I44)/I44</f>
        <v>-0.30536286151476788</v>
      </c>
      <c r="I44" s="326">
        <v>30258.1</v>
      </c>
      <c r="J44" s="324">
        <v>323674.37971999997</v>
      </c>
      <c r="K44" s="325">
        <f>SUM(K39:K43)</f>
        <v>1</v>
      </c>
    </row>
    <row r="45" spans="1:11" ht="11.1" customHeight="1">
      <c r="A45" s="419" t="str">
        <f>'3.1'!E5</f>
        <v>Listopad</v>
      </c>
      <c r="B45" s="419"/>
      <c r="C45" s="165" t="s">
        <v>4</v>
      </c>
      <c r="D45" s="317">
        <v>79</v>
      </c>
      <c r="E45" s="313">
        <v>10415.214</v>
      </c>
      <c r="F45" s="313">
        <v>113819.61304</v>
      </c>
      <c r="G45" s="314">
        <f>E45/$E$50</f>
        <v>0.32952655458037244</v>
      </c>
      <c r="H45" s="314">
        <f>(E45-I45)/I45</f>
        <v>-0.19227588093824982</v>
      </c>
      <c r="I45" s="317">
        <v>12894.519</v>
      </c>
      <c r="J45" s="313">
        <v>137691.19696</v>
      </c>
      <c r="K45" s="314">
        <f>I45/$I$50</f>
        <v>0.31663349196293078</v>
      </c>
    </row>
    <row r="46" spans="1:11" ht="11.1" customHeight="1">
      <c r="A46" s="420"/>
      <c r="B46" s="420"/>
      <c r="C46" s="155" t="s">
        <v>5</v>
      </c>
      <c r="D46" s="318">
        <v>277</v>
      </c>
      <c r="E46" s="130">
        <v>3597.058</v>
      </c>
      <c r="F46" s="130">
        <v>39308.875749999963</v>
      </c>
      <c r="G46" s="312">
        <f t="shared" ref="G46:G49" si="12">E46/$E$50</f>
        <v>0.11380717951313965</v>
      </c>
      <c r="H46" s="312">
        <f>(E46-I46)/I46</f>
        <v>-0.30214581366992244</v>
      </c>
      <c r="I46" s="318">
        <v>5154.4549999999999</v>
      </c>
      <c r="J46" s="130">
        <v>55041.260520000011</v>
      </c>
      <c r="K46" s="312">
        <f t="shared" ref="K46:K49" si="13">I46/$I$50</f>
        <v>0.12657107146189697</v>
      </c>
    </row>
    <row r="47" spans="1:11" ht="11.1" customHeight="1">
      <c r="A47" s="420"/>
      <c r="B47" s="420"/>
      <c r="C47" s="155" t="s">
        <v>6</v>
      </c>
      <c r="D47" s="318">
        <v>11261</v>
      </c>
      <c r="E47" s="130">
        <v>6175.3280000000004</v>
      </c>
      <c r="F47" s="130">
        <v>67484.689029999994</v>
      </c>
      <c r="G47" s="312">
        <f t="shared" si="12"/>
        <v>0.19538096473521352</v>
      </c>
      <c r="H47" s="312">
        <f t="shared" ref="H47:H49" si="14">(E47-I47)/I47</f>
        <v>-0.15887691856113617</v>
      </c>
      <c r="I47" s="318">
        <v>7341.7650000000003</v>
      </c>
      <c r="J47" s="130">
        <v>78397.637549999999</v>
      </c>
      <c r="K47" s="312">
        <f t="shared" si="13"/>
        <v>0.18028192359259207</v>
      </c>
    </row>
    <row r="48" spans="1:11" ht="11.1" customHeight="1">
      <c r="A48" s="420"/>
      <c r="B48" s="420"/>
      <c r="C48" s="155" t="s">
        <v>7</v>
      </c>
      <c r="D48" s="318">
        <v>123452</v>
      </c>
      <c r="E48" s="130">
        <v>11180.5</v>
      </c>
      <c r="F48" s="130">
        <v>122182.2</v>
      </c>
      <c r="G48" s="312">
        <f t="shared" si="12"/>
        <v>0.35373940885764366</v>
      </c>
      <c r="H48" s="312">
        <f t="shared" si="14"/>
        <v>-0.25593297041168095</v>
      </c>
      <c r="I48" s="318">
        <v>15026.2</v>
      </c>
      <c r="J48" s="130">
        <v>160454.70000000001</v>
      </c>
      <c r="K48" s="312">
        <f t="shared" si="13"/>
        <v>0.36897833699212751</v>
      </c>
    </row>
    <row r="49" spans="1:11" ht="11.1" customHeight="1">
      <c r="A49" s="420"/>
      <c r="B49" s="420"/>
      <c r="C49" s="155" t="s">
        <v>93</v>
      </c>
      <c r="D49" s="318">
        <v>15</v>
      </c>
      <c r="E49" s="130">
        <v>238.5</v>
      </c>
      <c r="F49" s="130">
        <v>2606.3721399999999</v>
      </c>
      <c r="G49" s="312">
        <f t="shared" si="12"/>
        <v>7.5458923136306972E-3</v>
      </c>
      <c r="H49" s="312">
        <f t="shared" si="14"/>
        <v>-0.22277513271481222</v>
      </c>
      <c r="I49" s="318">
        <v>306.86099999999999</v>
      </c>
      <c r="J49" s="130">
        <v>3276.7549700000009</v>
      </c>
      <c r="K49" s="312">
        <f t="shared" si="13"/>
        <v>7.5351759904527579E-3</v>
      </c>
    </row>
    <row r="50" spans="1:11" ht="11.1" customHeight="1">
      <c r="A50" s="421"/>
      <c r="B50" s="421"/>
      <c r="C50" s="323" t="s">
        <v>0</v>
      </c>
      <c r="D50" s="326">
        <v>135084</v>
      </c>
      <c r="E50" s="324">
        <v>31606.600000000002</v>
      </c>
      <c r="F50" s="324">
        <v>345401.74995999999</v>
      </c>
      <c r="G50" s="325">
        <f>SUM(G45:G49)</f>
        <v>0.99999999999999989</v>
      </c>
      <c r="H50" s="325">
        <f t="shared" ref="H50" si="15">(E50-I50)/I50</f>
        <v>-0.22387891110358057</v>
      </c>
      <c r="I50" s="326">
        <v>40723.799999999996</v>
      </c>
      <c r="J50" s="324">
        <v>434861.55000000005</v>
      </c>
      <c r="K50" s="325">
        <f>SUM(K45:K49)</f>
        <v>1</v>
      </c>
    </row>
    <row r="51" spans="1:11" ht="11.1" customHeight="1">
      <c r="A51" s="419" t="str">
        <f>'3.1'!F5</f>
        <v>Prosinec</v>
      </c>
      <c r="B51" s="419"/>
      <c r="C51" s="165" t="s">
        <v>4</v>
      </c>
      <c r="D51" s="317">
        <v>79</v>
      </c>
      <c r="E51" s="313">
        <v>9845.523000000001</v>
      </c>
      <c r="F51" s="313">
        <v>107187.29554000001</v>
      </c>
      <c r="G51" s="314">
        <f>E51/$E$56</f>
        <v>0.24264459938042041</v>
      </c>
      <c r="H51" s="314">
        <f>(E51-I51)/I51</f>
        <v>-0.25681938613296368</v>
      </c>
      <c r="I51" s="317">
        <v>13247.82</v>
      </c>
      <c r="J51" s="313">
        <v>141486.77485999998</v>
      </c>
      <c r="K51" s="314">
        <f>I51/$I$56</f>
        <v>0.26628944496147711</v>
      </c>
    </row>
    <row r="52" spans="1:11" ht="11.1" customHeight="1">
      <c r="A52" s="420"/>
      <c r="B52" s="420"/>
      <c r="C52" s="155" t="s">
        <v>5</v>
      </c>
      <c r="D52" s="318">
        <v>278</v>
      </c>
      <c r="E52" s="130">
        <v>4138.5290000000005</v>
      </c>
      <c r="F52" s="130">
        <v>45055.689679999989</v>
      </c>
      <c r="G52" s="312">
        <f t="shared" ref="G52:G55" si="16">E52/$E$56</f>
        <v>0.10199475550757962</v>
      </c>
      <c r="H52" s="312">
        <f t="shared" ref="H52:H55" si="17">(E52-I52)/I52</f>
        <v>-0.25801804625158758</v>
      </c>
      <c r="I52" s="318">
        <v>5577.6680000000006</v>
      </c>
      <c r="J52" s="130">
        <v>59569.821879999952</v>
      </c>
      <c r="K52" s="312">
        <f t="shared" ref="K52:K55" si="18">I52/$I$56</f>
        <v>0.11211460571621537</v>
      </c>
    </row>
    <row r="53" spans="1:11" ht="11.1" customHeight="1">
      <c r="A53" s="420"/>
      <c r="B53" s="420"/>
      <c r="C53" s="155" t="s">
        <v>6</v>
      </c>
      <c r="D53" s="318">
        <v>11250</v>
      </c>
      <c r="E53" s="130">
        <v>9013.1589999999997</v>
      </c>
      <c r="F53" s="130">
        <v>98125.241210000007</v>
      </c>
      <c r="G53" s="312">
        <f t="shared" si="16"/>
        <v>0.22213084614266101</v>
      </c>
      <c r="H53" s="312">
        <f t="shared" si="17"/>
        <v>-0.11191671851084478</v>
      </c>
      <c r="I53" s="318">
        <v>10149.002</v>
      </c>
      <c r="J53" s="130">
        <v>108391.65612</v>
      </c>
      <c r="K53" s="312">
        <f t="shared" si="18"/>
        <v>0.20400127035941926</v>
      </c>
    </row>
    <row r="54" spans="1:11" ht="11.1" customHeight="1">
      <c r="A54" s="420"/>
      <c r="B54" s="420"/>
      <c r="C54" s="155" t="s">
        <v>7</v>
      </c>
      <c r="D54" s="318">
        <v>123307</v>
      </c>
      <c r="E54" s="130">
        <v>17337.3</v>
      </c>
      <c r="F54" s="130">
        <v>188749.7</v>
      </c>
      <c r="G54" s="312">
        <f t="shared" si="16"/>
        <v>0.42728072575099996</v>
      </c>
      <c r="H54" s="312">
        <f t="shared" si="17"/>
        <v>-0.15296411018067058</v>
      </c>
      <c r="I54" s="318">
        <v>20468.2</v>
      </c>
      <c r="J54" s="130">
        <v>218600.9</v>
      </c>
      <c r="K54" s="312">
        <f t="shared" si="18"/>
        <v>0.41142358647388827</v>
      </c>
    </row>
    <row r="55" spans="1:11" ht="11.1" customHeight="1">
      <c r="A55" s="420"/>
      <c r="B55" s="420"/>
      <c r="C55" s="155" t="s">
        <v>93</v>
      </c>
      <c r="D55" s="318">
        <v>15</v>
      </c>
      <c r="E55" s="130">
        <v>241.38900000000001</v>
      </c>
      <c r="F55" s="130">
        <v>2627.9811400000003</v>
      </c>
      <c r="G55" s="312">
        <f t="shared" si="16"/>
        <v>5.949073218338965E-3</v>
      </c>
      <c r="H55" s="312">
        <f t="shared" si="17"/>
        <v>-0.21374222338034587</v>
      </c>
      <c r="I55" s="318">
        <v>307.01</v>
      </c>
      <c r="J55" s="130">
        <v>3278.8807299999994</v>
      </c>
      <c r="K55" s="312">
        <f t="shared" si="18"/>
        <v>6.171092488999933E-3</v>
      </c>
    </row>
    <row r="56" spans="1:11" ht="11.1" customHeight="1">
      <c r="A56" s="421"/>
      <c r="B56" s="421"/>
      <c r="C56" s="323" t="s">
        <v>0</v>
      </c>
      <c r="D56" s="326">
        <v>134929</v>
      </c>
      <c r="E56" s="324">
        <v>40575.9</v>
      </c>
      <c r="F56" s="324">
        <v>441745.90756999998</v>
      </c>
      <c r="G56" s="325">
        <f>SUM(G51:G55)</f>
        <v>0.99999999999999989</v>
      </c>
      <c r="H56" s="325">
        <f t="shared" ref="H56" si="19">(E56-I56)/I56</f>
        <v>-0.18439910190413214</v>
      </c>
      <c r="I56" s="326">
        <v>49749.700000000004</v>
      </c>
      <c r="J56" s="324">
        <v>531328.03358999989</v>
      </c>
      <c r="K56" s="325">
        <f>SUM(K51:K55)</f>
        <v>1</v>
      </c>
    </row>
    <row r="57" spans="1:11" ht="11.1" customHeight="1">
      <c r="A57" s="488" t="str">
        <f>'3.1'!G5</f>
        <v>IV. čtvrtletí</v>
      </c>
      <c r="B57" s="419"/>
      <c r="C57" s="165" t="s">
        <v>4</v>
      </c>
      <c r="D57" s="317">
        <f>D51</f>
        <v>79</v>
      </c>
      <c r="E57" s="313">
        <f>E39+E45+E51</f>
        <v>29631.702000000001</v>
      </c>
      <c r="F57" s="313">
        <f>F39+F45+F51</f>
        <v>323710.15379000007</v>
      </c>
      <c r="G57" s="314">
        <f>E57/$E$62</f>
        <v>0.31793364656349887</v>
      </c>
      <c r="H57" s="314">
        <f>(E57-I57)/I57</f>
        <v>-0.21185276627513014</v>
      </c>
      <c r="I57" s="317">
        <f>I39+I45+I51</f>
        <v>37596.658000000003</v>
      </c>
      <c r="J57" s="313">
        <f>J39+J45+J51</f>
        <v>401705.84757999994</v>
      </c>
      <c r="K57" s="314">
        <f>I57/$I$62</f>
        <v>0.31140693902839028</v>
      </c>
    </row>
    <row r="58" spans="1:11" ht="11.1" customHeight="1">
      <c r="A58" s="420"/>
      <c r="B58" s="420"/>
      <c r="C58" s="155" t="s">
        <v>5</v>
      </c>
      <c r="D58" s="318">
        <f>D52</f>
        <v>278</v>
      </c>
      <c r="E58" s="130">
        <f t="shared" ref="E58:F59" si="20">E40+E46+E52</f>
        <v>10146.026000000002</v>
      </c>
      <c r="F58" s="130">
        <f t="shared" si="20"/>
        <v>110782.62028999996</v>
      </c>
      <c r="G58" s="312">
        <f t="shared" ref="G58:G61" si="21">E58/$E$62</f>
        <v>0.10886188867274889</v>
      </c>
      <c r="H58" s="312">
        <f t="shared" ref="H58:H61" si="22">(E58-I58)/I58</f>
        <v>-0.30344158429354728</v>
      </c>
      <c r="I58" s="318">
        <f t="shared" ref="I58:J58" si="23">I40+I46+I52</f>
        <v>14565.937000000002</v>
      </c>
      <c r="J58" s="130">
        <f t="shared" si="23"/>
        <v>155621.75597999996</v>
      </c>
      <c r="K58" s="312">
        <f t="shared" ref="K58:K61" si="24">I58/$I$62</f>
        <v>0.1206472621915058</v>
      </c>
    </row>
    <row r="59" spans="1:11" ht="11.1" customHeight="1">
      <c r="A59" s="420"/>
      <c r="B59" s="420"/>
      <c r="C59" s="155" t="s">
        <v>6</v>
      </c>
      <c r="D59" s="318">
        <f>D53</f>
        <v>11250</v>
      </c>
      <c r="E59" s="130">
        <f>E41+E47+E53</f>
        <v>18449.392</v>
      </c>
      <c r="F59" s="130">
        <f t="shared" si="20"/>
        <v>201348.85472999999</v>
      </c>
      <c r="G59" s="312">
        <f t="shared" si="21"/>
        <v>0.19795293822269958</v>
      </c>
      <c r="H59" s="312">
        <f t="shared" si="22"/>
        <v>-0.16765703705103943</v>
      </c>
      <c r="I59" s="318">
        <f>I41+I47+I53</f>
        <v>22165.613000000001</v>
      </c>
      <c r="J59" s="130">
        <f t="shared" ref="J59" si="25">J41+J47+J53</f>
        <v>236796.92326000001</v>
      </c>
      <c r="K59" s="312">
        <f t="shared" si="24"/>
        <v>0.18359412945740802</v>
      </c>
    </row>
    <row r="60" spans="1:11" ht="11.1" customHeight="1">
      <c r="A60" s="420"/>
      <c r="B60" s="420"/>
      <c r="C60" s="155" t="s">
        <v>7</v>
      </c>
      <c r="D60" s="318">
        <f>D54</f>
        <v>123307</v>
      </c>
      <c r="E60" s="130">
        <f t="shared" ref="E60:F61" si="26">E42+E48+E54</f>
        <v>34302.899999999994</v>
      </c>
      <c r="F60" s="130">
        <f t="shared" si="26"/>
        <v>374334.9</v>
      </c>
      <c r="G60" s="312">
        <f t="shared" si="21"/>
        <v>0.36805331278989789</v>
      </c>
      <c r="H60" s="312">
        <f t="shared" si="22"/>
        <v>-0.24612656091353832</v>
      </c>
      <c r="I60" s="318">
        <f t="shared" ref="I60:J60" si="27">I42+I48+I54</f>
        <v>45502.2</v>
      </c>
      <c r="J60" s="130">
        <f t="shared" si="27"/>
        <v>486110.30000000005</v>
      </c>
      <c r="K60" s="312">
        <f t="shared" si="24"/>
        <v>0.37688724410179275</v>
      </c>
    </row>
    <row r="61" spans="1:11" ht="11.1" customHeight="1">
      <c r="A61" s="420"/>
      <c r="B61" s="420"/>
      <c r="C61" s="155" t="s">
        <v>93</v>
      </c>
      <c r="D61" s="318">
        <f>D55</f>
        <v>15</v>
      </c>
      <c r="E61" s="130">
        <f>E43+E49+E55</f>
        <v>670.88</v>
      </c>
      <c r="F61" s="130">
        <f t="shared" si="26"/>
        <v>7327.5629100000006</v>
      </c>
      <c r="G61" s="312">
        <f t="shared" si="21"/>
        <v>7.1982137511547636E-3</v>
      </c>
      <c r="H61" s="312">
        <f t="shared" si="22"/>
        <v>-0.25556374224360628</v>
      </c>
      <c r="I61" s="318">
        <f>I43+I49+I55</f>
        <v>901.19200000000001</v>
      </c>
      <c r="J61" s="130">
        <f t="shared" ref="J61" si="28">J43+J49+J55</f>
        <v>9629.1364900000008</v>
      </c>
      <c r="K61" s="312">
        <f t="shared" si="24"/>
        <v>7.4644252209032274E-3</v>
      </c>
    </row>
    <row r="62" spans="1:11" ht="11.1" customHeight="1">
      <c r="A62" s="421"/>
      <c r="B62" s="421"/>
      <c r="C62" s="323" t="s">
        <v>0</v>
      </c>
      <c r="D62" s="326">
        <f>SUM(D57:D61)</f>
        <v>134929</v>
      </c>
      <c r="E62" s="324">
        <f>SUM(E57:E61)</f>
        <v>93200.9</v>
      </c>
      <c r="F62" s="324">
        <f>SUM(F57:F61)</f>
        <v>1017504.09172</v>
      </c>
      <c r="G62" s="325">
        <f>SUM(G57:G61)</f>
        <v>1</v>
      </c>
      <c r="H62" s="325">
        <f>(E62-I62)/I62</f>
        <v>-0.22803226330140575</v>
      </c>
      <c r="I62" s="326">
        <f>SUM(I57:I61)</f>
        <v>120731.59999999999</v>
      </c>
      <c r="J62" s="324">
        <f>SUM(J57:J61)</f>
        <v>1289863.96331</v>
      </c>
      <c r="K62" s="325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20"/>
  <sheetViews>
    <sheetView showGridLines="0" topLeftCell="A13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492" t="s">
        <v>309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12"/>
      <c r="B3" s="512"/>
      <c r="C3" s="512"/>
      <c r="D3" s="305"/>
      <c r="E3" s="305"/>
      <c r="F3" s="306"/>
      <c r="G3" s="307"/>
      <c r="H3" s="307"/>
      <c r="I3" s="307"/>
      <c r="J3" s="76"/>
      <c r="K3" s="76"/>
    </row>
    <row r="4" spans="1:16" ht="12.95" customHeight="1">
      <c r="A4" s="484" t="s">
        <v>43</v>
      </c>
      <c r="B4" s="484"/>
      <c r="C4" s="484"/>
      <c r="D4" s="478">
        <f>'3.1'!A4</f>
        <v>2022</v>
      </c>
      <c r="E4" s="358"/>
      <c r="F4" s="347"/>
      <c r="G4" s="347"/>
      <c r="H4" s="347"/>
      <c r="I4" s="478">
        <f>D4-1</f>
        <v>2021</v>
      </c>
      <c r="J4" s="479"/>
      <c r="K4" s="479"/>
    </row>
    <row r="5" spans="1:16" ht="24.95" customHeight="1">
      <c r="A5" s="359"/>
      <c r="B5" s="359"/>
      <c r="C5" s="359"/>
      <c r="D5" s="480"/>
      <c r="E5" s="360"/>
      <c r="F5" s="361"/>
      <c r="G5" s="361"/>
      <c r="H5" s="362"/>
      <c r="I5" s="480"/>
      <c r="J5" s="481"/>
      <c r="K5" s="481"/>
    </row>
    <row r="6" spans="1:16" ht="24.95" customHeight="1">
      <c r="A6" s="309"/>
      <c r="B6" s="277"/>
      <c r="C6" s="310"/>
      <c r="D6" s="369" t="s">
        <v>160</v>
      </c>
      <c r="E6" s="476" t="s">
        <v>60</v>
      </c>
      <c r="F6" s="476"/>
      <c r="G6" s="477" t="s">
        <v>33</v>
      </c>
      <c r="H6" s="477" t="s">
        <v>272</v>
      </c>
      <c r="I6" s="475" t="s">
        <v>60</v>
      </c>
      <c r="J6" s="476"/>
      <c r="K6" s="477" t="s">
        <v>33</v>
      </c>
    </row>
    <row r="7" spans="1:16" ht="24.95" customHeight="1">
      <c r="A7" s="309"/>
      <c r="B7" s="311"/>
      <c r="D7" s="370"/>
      <c r="E7" s="476"/>
      <c r="F7" s="476"/>
      <c r="G7" s="477"/>
      <c r="H7" s="477"/>
      <c r="I7" s="475"/>
      <c r="J7" s="476"/>
      <c r="K7" s="477"/>
    </row>
    <row r="8" spans="1:16" ht="15" customHeight="1">
      <c r="A8" s="485" t="s">
        <v>159</v>
      </c>
      <c r="B8" s="485"/>
      <c r="C8" s="328" t="s">
        <v>185</v>
      </c>
      <c r="D8" s="348"/>
      <c r="E8" s="222" t="s">
        <v>263</v>
      </c>
      <c r="F8" s="222" t="s">
        <v>264</v>
      </c>
      <c r="G8" s="464"/>
      <c r="H8" s="464"/>
      <c r="I8" s="224" t="s">
        <v>263</v>
      </c>
      <c r="J8" s="222" t="s">
        <v>264</v>
      </c>
      <c r="K8" s="464"/>
    </row>
    <row r="9" spans="1:16" ht="11.1" customHeight="1">
      <c r="A9" s="419" t="str">
        <f>'3.1'!D5</f>
        <v>Říjen</v>
      </c>
      <c r="B9" s="419"/>
      <c r="C9" s="165" t="s">
        <v>4</v>
      </c>
      <c r="D9" s="317">
        <v>84</v>
      </c>
      <c r="E9" s="313">
        <v>11931.101999999999</v>
      </c>
      <c r="F9" s="313">
        <v>130761.58541999997</v>
      </c>
      <c r="G9" s="314">
        <f>E9/$E$14</f>
        <v>0.51559395864393587</v>
      </c>
      <c r="H9" s="314">
        <f>(E9-I9)/I9</f>
        <v>-0.13389293829335761</v>
      </c>
      <c r="I9" s="317">
        <v>13775.550999999999</v>
      </c>
      <c r="J9" s="313">
        <v>147359.02321999994</v>
      </c>
      <c r="K9" s="314">
        <f>I9/$I$14</f>
        <v>0.43165142760453223</v>
      </c>
    </row>
    <row r="10" spans="1:16" ht="11.1" customHeight="1">
      <c r="A10" s="420"/>
      <c r="B10" s="420"/>
      <c r="C10" s="155" t="s">
        <v>5</v>
      </c>
      <c r="D10" s="318">
        <v>332</v>
      </c>
      <c r="E10" s="130">
        <v>2175.114</v>
      </c>
      <c r="F10" s="130">
        <v>23838.769460000007</v>
      </c>
      <c r="G10" s="312">
        <f>E10/$E$14</f>
        <v>9.399598107214624E-2</v>
      </c>
      <c r="H10" s="312">
        <f>(E10-I10)/I10</f>
        <v>-0.39241166128571808</v>
      </c>
      <c r="I10" s="318">
        <v>3579.9140000000002</v>
      </c>
      <c r="J10" s="130">
        <v>38294.465220000013</v>
      </c>
      <c r="K10" s="312">
        <f>I10/$I$14</f>
        <v>0.11217518550085231</v>
      </c>
      <c r="L10" s="94"/>
      <c r="N10" s="94"/>
      <c r="O10" s="94"/>
      <c r="P10" s="94"/>
    </row>
    <row r="11" spans="1:16" ht="11.1" customHeight="1">
      <c r="A11" s="420"/>
      <c r="B11" s="420"/>
      <c r="C11" s="155" t="s">
        <v>6</v>
      </c>
      <c r="D11" s="318">
        <v>11838</v>
      </c>
      <c r="E11" s="130">
        <v>3573.3429999999998</v>
      </c>
      <c r="F11" s="130">
        <v>39163.32531</v>
      </c>
      <c r="G11" s="312">
        <f>E11/$E$14</f>
        <v>0.15441943778224324</v>
      </c>
      <c r="H11" s="312">
        <f t="shared" ref="H11:H13" si="0">(E11-I11)/I11</f>
        <v>-0.30293534950935108</v>
      </c>
      <c r="I11" s="318">
        <v>5126.2719999999999</v>
      </c>
      <c r="J11" s="130">
        <v>54835.833960000004</v>
      </c>
      <c r="K11" s="312">
        <f>I11/$I$14</f>
        <v>0.1606297001905144</v>
      </c>
      <c r="L11" s="94"/>
      <c r="N11" s="94"/>
      <c r="O11" s="94"/>
      <c r="P11" s="94"/>
    </row>
    <row r="12" spans="1:16" ht="11.1" customHeight="1">
      <c r="A12" s="420"/>
      <c r="B12" s="420"/>
      <c r="C12" s="155" t="s">
        <v>7</v>
      </c>
      <c r="D12" s="318">
        <v>146069</v>
      </c>
      <c r="E12" s="130">
        <v>5347.7</v>
      </c>
      <c r="F12" s="130">
        <v>58609.1</v>
      </c>
      <c r="G12" s="312">
        <f>E12/$E$14</f>
        <v>0.23109699444696527</v>
      </c>
      <c r="H12" s="312">
        <f t="shared" si="0"/>
        <v>-0.42193901265795425</v>
      </c>
      <c r="I12" s="318">
        <v>9251.1</v>
      </c>
      <c r="J12" s="130">
        <v>98960.4</v>
      </c>
      <c r="K12" s="312">
        <f>I12/$I$14</f>
        <v>0.28987954978441793</v>
      </c>
      <c r="L12" s="94"/>
      <c r="N12" s="94"/>
      <c r="O12" s="94"/>
      <c r="P12" s="94"/>
    </row>
    <row r="13" spans="1:16" ht="11.1" customHeight="1">
      <c r="A13" s="420"/>
      <c r="B13" s="420"/>
      <c r="C13" s="155" t="s">
        <v>93</v>
      </c>
      <c r="D13" s="318">
        <v>14</v>
      </c>
      <c r="E13" s="130">
        <v>113.241</v>
      </c>
      <c r="F13" s="130">
        <v>1241.08386</v>
      </c>
      <c r="G13" s="312">
        <f>E13/$E$14</f>
        <v>4.8936280547092759E-3</v>
      </c>
      <c r="H13" s="312">
        <f t="shared" si="0"/>
        <v>-0.37353883261508164</v>
      </c>
      <c r="I13" s="318">
        <v>180.76300000000001</v>
      </c>
      <c r="J13" s="130">
        <v>1933.6337400000004</v>
      </c>
      <c r="K13" s="312">
        <f>I13/$I$14</f>
        <v>5.6641369196831449E-3</v>
      </c>
      <c r="L13" s="94"/>
      <c r="N13" s="94"/>
      <c r="O13" s="94"/>
      <c r="P13" s="94"/>
    </row>
    <row r="14" spans="1:16" ht="11.1" customHeight="1">
      <c r="A14" s="421"/>
      <c r="B14" s="421"/>
      <c r="C14" s="323" t="s">
        <v>0</v>
      </c>
      <c r="D14" s="326">
        <v>158337</v>
      </c>
      <c r="E14" s="324">
        <v>23140.5</v>
      </c>
      <c r="F14" s="324">
        <v>253613.86405</v>
      </c>
      <c r="G14" s="325">
        <f>SUM(G9:G13)</f>
        <v>0.99999999999999989</v>
      </c>
      <c r="H14" s="325">
        <f>(E14-I14)/I14</f>
        <v>-0.27490160934523211</v>
      </c>
      <c r="I14" s="326">
        <v>31913.599999999999</v>
      </c>
      <c r="J14" s="324">
        <v>341383.35613999999</v>
      </c>
      <c r="K14" s="325">
        <f>SUM(K9:K13)</f>
        <v>1</v>
      </c>
      <c r="L14" s="94"/>
    </row>
    <row r="15" spans="1:16" ht="11.1" customHeight="1">
      <c r="A15" s="419" t="str">
        <f>'3.1'!E5</f>
        <v>Listopad</v>
      </c>
      <c r="B15" s="419"/>
      <c r="C15" s="165" t="s">
        <v>4</v>
      </c>
      <c r="D15" s="317">
        <v>84</v>
      </c>
      <c r="E15" s="313">
        <v>12844.651</v>
      </c>
      <c r="F15" s="313">
        <v>140368.17843999999</v>
      </c>
      <c r="G15" s="314">
        <f>E15/$E$20</f>
        <v>0.38060931740331166</v>
      </c>
      <c r="H15" s="314">
        <f>(E15-I15)/I15</f>
        <v>-0.16193035161647115</v>
      </c>
      <c r="I15" s="317">
        <v>15326.472</v>
      </c>
      <c r="J15" s="313">
        <v>163660.52593999993</v>
      </c>
      <c r="K15" s="314">
        <f>I15/$I$20</f>
        <v>0.36003580044774047</v>
      </c>
      <c r="L15" s="94"/>
      <c r="M15" s="94"/>
    </row>
    <row r="16" spans="1:16" ht="11.1" customHeight="1">
      <c r="A16" s="420"/>
      <c r="B16" s="420"/>
      <c r="C16" s="155" t="s">
        <v>5</v>
      </c>
      <c r="D16" s="318">
        <v>332</v>
      </c>
      <c r="E16" s="130">
        <v>3634.1409999999996</v>
      </c>
      <c r="F16" s="130">
        <v>39714.788409999986</v>
      </c>
      <c r="G16" s="312">
        <f>E16/$E$20</f>
        <v>0.10768590951652858</v>
      </c>
      <c r="H16" s="312">
        <f>(E16-I16)/I16</f>
        <v>-0.28902887342446498</v>
      </c>
      <c r="I16" s="318">
        <v>5111.5170000000007</v>
      </c>
      <c r="J16" s="130">
        <v>54582.823380000016</v>
      </c>
      <c r="K16" s="312">
        <f>I16/$I$20</f>
        <v>0.12007519503491954</v>
      </c>
      <c r="L16" s="98"/>
      <c r="M16" s="94"/>
    </row>
    <row r="17" spans="1:20" ht="11.1" customHeight="1">
      <c r="A17" s="420"/>
      <c r="B17" s="420"/>
      <c r="C17" s="155" t="s">
        <v>6</v>
      </c>
      <c r="D17" s="318">
        <v>11810</v>
      </c>
      <c r="E17" s="130">
        <v>6772.4830000000002</v>
      </c>
      <c r="F17" s="130">
        <v>74010.547380000004</v>
      </c>
      <c r="G17" s="312">
        <f>E17/$E$20</f>
        <v>0.2006804335715725</v>
      </c>
      <c r="H17" s="312">
        <f t="shared" ref="H17:H20" si="1">(E17-I17)/I17</f>
        <v>-0.15889158461000594</v>
      </c>
      <c r="I17" s="318">
        <v>8051.8549999999996</v>
      </c>
      <c r="J17" s="130">
        <v>85980.097600000008</v>
      </c>
      <c r="K17" s="312">
        <f>I17/$I$20</f>
        <v>0.18914699090659229</v>
      </c>
      <c r="L17" s="94"/>
      <c r="M17" s="94"/>
      <c r="N17" s="94"/>
      <c r="O17" s="94"/>
    </row>
    <row r="18" spans="1:20" ht="11.1" customHeight="1">
      <c r="A18" s="420"/>
      <c r="B18" s="420"/>
      <c r="C18" s="155" t="s">
        <v>7</v>
      </c>
      <c r="D18" s="318">
        <v>145959</v>
      </c>
      <c r="E18" s="130">
        <v>10335.1</v>
      </c>
      <c r="F18" s="130">
        <v>112944.1</v>
      </c>
      <c r="G18" s="312">
        <f>E18/$E$20</f>
        <v>0.30624696274698054</v>
      </c>
      <c r="H18" s="312">
        <f t="shared" si="1"/>
        <v>-0.25593768223410918</v>
      </c>
      <c r="I18" s="318">
        <v>13890.1</v>
      </c>
      <c r="J18" s="130">
        <v>148322.9</v>
      </c>
      <c r="K18" s="312">
        <f>I18/$I$20</f>
        <v>0.326293831470097</v>
      </c>
      <c r="L18" s="94"/>
      <c r="M18" s="94"/>
      <c r="N18" s="94"/>
      <c r="O18" s="94"/>
    </row>
    <row r="19" spans="1:20" ht="11.1" customHeight="1">
      <c r="A19" s="420"/>
      <c r="B19" s="420"/>
      <c r="C19" s="155" t="s">
        <v>93</v>
      </c>
      <c r="D19" s="318">
        <v>14</v>
      </c>
      <c r="E19" s="130">
        <v>161.22499999999999</v>
      </c>
      <c r="F19" s="130">
        <v>1761.8946900000001</v>
      </c>
      <c r="G19" s="312">
        <f>E19/$E$20</f>
        <v>4.7773767616067515E-3</v>
      </c>
      <c r="H19" s="312">
        <f t="shared" si="1"/>
        <v>-0.14856143982762626</v>
      </c>
      <c r="I19" s="318">
        <v>189.35599999999999</v>
      </c>
      <c r="J19" s="130">
        <v>2021.9942700000001</v>
      </c>
      <c r="K19" s="312">
        <f>I19/$I$20</f>
        <v>4.4481821406506562E-3</v>
      </c>
      <c r="L19" s="94"/>
      <c r="M19" s="94"/>
      <c r="N19" s="94"/>
      <c r="O19" s="94"/>
    </row>
    <row r="20" spans="1:20" ht="11.1" customHeight="1">
      <c r="A20" s="421"/>
      <c r="B20" s="421"/>
      <c r="C20" s="323" t="s">
        <v>0</v>
      </c>
      <c r="D20" s="326">
        <v>158199</v>
      </c>
      <c r="E20" s="324">
        <v>33747.599999999999</v>
      </c>
      <c r="F20" s="324">
        <v>368799.50891999993</v>
      </c>
      <c r="G20" s="325">
        <f>SUM(G15:G19)</f>
        <v>1.0000000000000002</v>
      </c>
      <c r="H20" s="325">
        <f t="shared" si="1"/>
        <v>-0.20723150251472314</v>
      </c>
      <c r="I20" s="326">
        <v>42569.3</v>
      </c>
      <c r="J20" s="324">
        <v>454568.34118999995</v>
      </c>
      <c r="K20" s="325">
        <f>SUM(K15:K19)</f>
        <v>0.99999999999999989</v>
      </c>
      <c r="L20" s="94"/>
      <c r="M20" s="94"/>
      <c r="N20" s="94"/>
      <c r="O20" s="94"/>
    </row>
    <row r="21" spans="1:20" ht="11.1" customHeight="1">
      <c r="A21" s="419" t="str">
        <f>'3.1'!F5</f>
        <v>Prosinec</v>
      </c>
      <c r="B21" s="419"/>
      <c r="C21" s="165" t="s">
        <v>4</v>
      </c>
      <c r="D21" s="317">
        <v>84</v>
      </c>
      <c r="E21" s="313">
        <v>12194.776</v>
      </c>
      <c r="F21" s="313">
        <v>132762.82668</v>
      </c>
      <c r="G21" s="314">
        <f>E21/$E$26</f>
        <v>0.281728242186778</v>
      </c>
      <c r="H21" s="314">
        <f>(E21-I21)/I21</f>
        <v>-0.17729672345571137</v>
      </c>
      <c r="I21" s="317">
        <v>14822.812</v>
      </c>
      <c r="J21" s="313">
        <v>158308.62035000001</v>
      </c>
      <c r="K21" s="314">
        <f>I21/$I$26</f>
        <v>0.29187611992611934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0"/>
      <c r="B22" s="420"/>
      <c r="C22" s="155" t="s">
        <v>5</v>
      </c>
      <c r="D22" s="318">
        <v>332</v>
      </c>
      <c r="E22" s="130">
        <v>5037.7510000000002</v>
      </c>
      <c r="F22" s="130">
        <v>54845.535669999961</v>
      </c>
      <c r="G22" s="312">
        <f>E22/$E$26</f>
        <v>0.11638399375311881</v>
      </c>
      <c r="H22" s="312">
        <f t="shared" ref="H22:H26" si="2">(E22-I22)/I22</f>
        <v>-0.12153527232880694</v>
      </c>
      <c r="I22" s="318">
        <v>5734.7220000000007</v>
      </c>
      <c r="J22" s="130">
        <v>61246.596889999964</v>
      </c>
      <c r="K22" s="312">
        <f>I22/$I$26</f>
        <v>0.11292246074597419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0"/>
      <c r="B23" s="420"/>
      <c r="C23" s="155" t="s">
        <v>6</v>
      </c>
      <c r="D23" s="318">
        <v>11799</v>
      </c>
      <c r="E23" s="130">
        <v>9884.6460000000006</v>
      </c>
      <c r="F23" s="130">
        <v>107613.23395000001</v>
      </c>
      <c r="G23" s="312">
        <f>E23/$E$26</f>
        <v>0.22835876134326424</v>
      </c>
      <c r="H23" s="312">
        <f t="shared" si="2"/>
        <v>-0.11184089225583771</v>
      </c>
      <c r="I23" s="318">
        <v>11129.364</v>
      </c>
      <c r="J23" s="130">
        <v>118861.98247999999</v>
      </c>
      <c r="K23" s="312">
        <f>I23/$I$26</f>
        <v>0.21914840325610518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0"/>
      <c r="B24" s="420"/>
      <c r="C24" s="155" t="s">
        <v>7</v>
      </c>
      <c r="D24" s="318">
        <v>145788</v>
      </c>
      <c r="E24" s="130">
        <v>16026.5</v>
      </c>
      <c r="F24" s="130">
        <v>174478.5</v>
      </c>
      <c r="G24" s="312">
        <f>E24/$E$26</f>
        <v>0.37025015247565007</v>
      </c>
      <c r="H24" s="312">
        <f t="shared" si="2"/>
        <v>-0.15296026553069136</v>
      </c>
      <c r="I24" s="318">
        <v>18920.599999999999</v>
      </c>
      <c r="J24" s="130">
        <v>202072.7</v>
      </c>
      <c r="K24" s="312">
        <f>I24/$I$26</f>
        <v>0.37256569905049952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0"/>
      <c r="B25" s="420"/>
      <c r="C25" s="155" t="s">
        <v>93</v>
      </c>
      <c r="D25" s="318">
        <v>14</v>
      </c>
      <c r="E25" s="130">
        <v>141.92699999999999</v>
      </c>
      <c r="F25" s="130">
        <v>1545.1349700000003</v>
      </c>
      <c r="G25" s="312">
        <f>E25/$E$26</f>
        <v>3.278850241188755E-3</v>
      </c>
      <c r="H25" s="312">
        <f t="shared" si="2"/>
        <v>-0.19861435782769257</v>
      </c>
      <c r="I25" s="318">
        <v>177.102</v>
      </c>
      <c r="J25" s="130">
        <v>1891.4594199999999</v>
      </c>
      <c r="K25" s="312">
        <f>I25/$I$26</f>
        <v>3.4873170213017336E-3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21"/>
      <c r="B26" s="421"/>
      <c r="C26" s="323" t="s">
        <v>0</v>
      </c>
      <c r="D26" s="326">
        <v>158017</v>
      </c>
      <c r="E26" s="324">
        <v>43285.600000000006</v>
      </c>
      <c r="F26" s="324">
        <v>471245.23126999999</v>
      </c>
      <c r="G26" s="325">
        <f>SUM(G21:G25)</f>
        <v>0.99999999999999989</v>
      </c>
      <c r="H26" s="325">
        <f t="shared" si="2"/>
        <v>-0.14766287417839252</v>
      </c>
      <c r="I26" s="326">
        <v>50784.6</v>
      </c>
      <c r="J26" s="324">
        <v>542381.35913999996</v>
      </c>
      <c r="K26" s="325">
        <f>SUM(K21:K25)</f>
        <v>1</v>
      </c>
    </row>
    <row r="27" spans="1:20" ht="11.1" customHeight="1">
      <c r="A27" s="488" t="str">
        <f>'3.1'!G5</f>
        <v>IV. čtvrtletí</v>
      </c>
      <c r="B27" s="419"/>
      <c r="C27" s="165" t="s">
        <v>4</v>
      </c>
      <c r="D27" s="317">
        <f>D21</f>
        <v>84</v>
      </c>
      <c r="E27" s="313">
        <f>E9+E15+E21</f>
        <v>36970.528999999995</v>
      </c>
      <c r="F27" s="313">
        <f>F9+F15+F21</f>
        <v>403892.59053999995</v>
      </c>
      <c r="G27" s="314">
        <f>E27/$E$32</f>
        <v>0.36906422544040995</v>
      </c>
      <c r="H27" s="314">
        <f>(E27-I27)/I27</f>
        <v>-0.15832287133235684</v>
      </c>
      <c r="I27" s="317">
        <f>I9+I15+I21</f>
        <v>43924.834999999999</v>
      </c>
      <c r="J27" s="313">
        <f>J9+J15+J21</f>
        <v>469328.16950999992</v>
      </c>
      <c r="K27" s="314">
        <f>I27/$I$32</f>
        <v>0.35064829265372105</v>
      </c>
    </row>
    <row r="28" spans="1:20" ht="11.1" customHeight="1">
      <c r="A28" s="420"/>
      <c r="B28" s="420"/>
      <c r="C28" s="155" t="s">
        <v>5</v>
      </c>
      <c r="D28" s="318">
        <f>D22</f>
        <v>332</v>
      </c>
      <c r="E28" s="130">
        <f t="shared" ref="E28:F31" si="3">E10+E16+E22</f>
        <v>10847.005999999999</v>
      </c>
      <c r="F28" s="130">
        <f t="shared" si="3"/>
        <v>118399.09353999994</v>
      </c>
      <c r="G28" s="312">
        <f>E28/$E$32</f>
        <v>0.10828197421079584</v>
      </c>
      <c r="H28" s="312">
        <f t="shared" ref="H28:H31" si="4">(E28-I28)/I28</f>
        <v>-0.24810127828257486</v>
      </c>
      <c r="I28" s="318">
        <f t="shared" ref="I28:J28" si="5">I10+I16+I22</f>
        <v>14426.153000000002</v>
      </c>
      <c r="J28" s="130">
        <f t="shared" si="5"/>
        <v>154123.88548999999</v>
      </c>
      <c r="K28" s="312">
        <f>I28/$I$32</f>
        <v>0.11516277566008742</v>
      </c>
    </row>
    <row r="29" spans="1:20" ht="11.1" customHeight="1">
      <c r="A29" s="420"/>
      <c r="B29" s="420"/>
      <c r="C29" s="155" t="s">
        <v>6</v>
      </c>
      <c r="D29" s="318">
        <f>D23</f>
        <v>11799</v>
      </c>
      <c r="E29" s="130">
        <f t="shared" si="3"/>
        <v>20230.472000000002</v>
      </c>
      <c r="F29" s="130">
        <f t="shared" si="3"/>
        <v>220787.10664000001</v>
      </c>
      <c r="G29" s="312">
        <f>E29/$E$32</f>
        <v>0.20195392603048506</v>
      </c>
      <c r="H29" s="312">
        <f t="shared" si="4"/>
        <v>-0.16772685424423278</v>
      </c>
      <c r="I29" s="318">
        <f t="shared" ref="I29:J29" si="6">I11+I17+I23</f>
        <v>24307.491000000002</v>
      </c>
      <c r="J29" s="130">
        <f t="shared" si="6"/>
        <v>259677.91404</v>
      </c>
      <c r="K29" s="312">
        <f>I29/$I$32</f>
        <v>0.19404467240106174</v>
      </c>
    </row>
    <row r="30" spans="1:20" ht="11.1" customHeight="1">
      <c r="A30" s="420"/>
      <c r="B30" s="420"/>
      <c r="C30" s="155" t="s">
        <v>7</v>
      </c>
      <c r="D30" s="318">
        <f>D24</f>
        <v>145788</v>
      </c>
      <c r="E30" s="130">
        <f t="shared" si="3"/>
        <v>31709.3</v>
      </c>
      <c r="F30" s="130">
        <f t="shared" si="3"/>
        <v>346031.7</v>
      </c>
      <c r="G30" s="312">
        <f>E30/$E$32</f>
        <v>0.31654316452322317</v>
      </c>
      <c r="H30" s="312">
        <f t="shared" si="4"/>
        <v>-0.24612593850001671</v>
      </c>
      <c r="I30" s="318">
        <f t="shared" ref="I30:J30" si="7">I12+I18+I24</f>
        <v>42061.8</v>
      </c>
      <c r="J30" s="130">
        <f t="shared" si="7"/>
        <v>449356</v>
      </c>
      <c r="K30" s="312">
        <f>I30/$I$32</f>
        <v>0.33577583970303554</v>
      </c>
    </row>
    <row r="31" spans="1:20" ht="11.1" customHeight="1">
      <c r="A31" s="420"/>
      <c r="B31" s="420"/>
      <c r="C31" s="155" t="s">
        <v>93</v>
      </c>
      <c r="D31" s="318">
        <f>D25</f>
        <v>14</v>
      </c>
      <c r="E31" s="130">
        <f>E13+E19+E25</f>
        <v>416.39300000000003</v>
      </c>
      <c r="F31" s="130">
        <f t="shared" si="3"/>
        <v>4548.1135199999999</v>
      </c>
      <c r="G31" s="312">
        <f>E31/$E$32</f>
        <v>4.1567097950859361E-3</v>
      </c>
      <c r="H31" s="312">
        <f t="shared" si="4"/>
        <v>-0.23907708220262011</v>
      </c>
      <c r="I31" s="318">
        <f>I13+I19+I25</f>
        <v>547.221</v>
      </c>
      <c r="J31" s="130">
        <f t="shared" ref="J31" si="8">J13+J19+J25</f>
        <v>5847.0874300000005</v>
      </c>
      <c r="K31" s="312">
        <f>I31/$I$32</f>
        <v>4.3684195820943182E-3</v>
      </c>
    </row>
    <row r="32" spans="1:20" ht="11.1" customHeight="1">
      <c r="A32" s="421"/>
      <c r="B32" s="421"/>
      <c r="C32" s="323" t="s">
        <v>0</v>
      </c>
      <c r="D32" s="326">
        <f>SUM(D27:D31)</f>
        <v>158017</v>
      </c>
      <c r="E32" s="324">
        <f>SUM(E27:E31)</f>
        <v>100173.7</v>
      </c>
      <c r="F32" s="324">
        <f>SUM(F27:F31)</f>
        <v>1093658.6042399998</v>
      </c>
      <c r="G32" s="325">
        <f>SUM(G27:G31)</f>
        <v>1</v>
      </c>
      <c r="H32" s="325">
        <f>(E32-I32)/I32</f>
        <v>-0.20032171153731018</v>
      </c>
      <c r="I32" s="326">
        <f>SUM(I27:I31)</f>
        <v>125267.5</v>
      </c>
      <c r="J32" s="324">
        <f>SUM(J27:J31)</f>
        <v>1338333.05647</v>
      </c>
      <c r="K32" s="325">
        <f>SUM(K27:K31)</f>
        <v>1</v>
      </c>
    </row>
    <row r="33" spans="1:11" ht="9.9499999999999993" customHeight="1">
      <c r="A33" s="363"/>
      <c r="B33" s="364"/>
      <c r="C33" s="365"/>
      <c r="D33" s="366"/>
      <c r="E33" s="366"/>
      <c r="F33" s="366"/>
      <c r="G33" s="367"/>
      <c r="H33" s="368"/>
      <c r="I33" s="366"/>
      <c r="J33" s="366"/>
      <c r="K33" s="367"/>
    </row>
    <row r="34" spans="1:11" ht="12.95" customHeight="1">
      <c r="A34" s="513" t="s">
        <v>90</v>
      </c>
      <c r="B34" s="513"/>
      <c r="C34" s="513"/>
      <c r="D34" s="478">
        <f>D4</f>
        <v>2022</v>
      </c>
      <c r="E34" s="358"/>
      <c r="F34" s="347"/>
      <c r="G34" s="347"/>
      <c r="H34" s="347"/>
      <c r="I34" s="478">
        <f>D34-1</f>
        <v>2021</v>
      </c>
      <c r="J34" s="479"/>
      <c r="K34" s="479"/>
    </row>
    <row r="35" spans="1:11" ht="24.95" customHeight="1">
      <c r="A35" s="309"/>
      <c r="B35" s="277"/>
      <c r="C35" s="151"/>
      <c r="D35" s="480"/>
      <c r="E35" s="360"/>
      <c r="F35" s="361"/>
      <c r="G35" s="361"/>
      <c r="H35" s="362"/>
      <c r="I35" s="480"/>
      <c r="J35" s="481"/>
      <c r="K35" s="481"/>
    </row>
    <row r="36" spans="1:11" ht="24.95" customHeight="1">
      <c r="A36" s="131"/>
      <c r="B36" s="132"/>
      <c r="C36" s="357"/>
      <c r="D36" s="369" t="s">
        <v>160</v>
      </c>
      <c r="E36" s="476" t="s">
        <v>60</v>
      </c>
      <c r="F36" s="476"/>
      <c r="G36" s="477" t="s">
        <v>33</v>
      </c>
      <c r="H36" s="477" t="s">
        <v>272</v>
      </c>
      <c r="I36" s="475" t="s">
        <v>60</v>
      </c>
      <c r="J36" s="476"/>
      <c r="K36" s="477" t="s">
        <v>33</v>
      </c>
    </row>
    <row r="37" spans="1:11" ht="24.95" customHeight="1">
      <c r="A37" s="131"/>
      <c r="B37" s="311"/>
      <c r="C37" s="311"/>
      <c r="D37" s="370"/>
      <c r="E37" s="476"/>
      <c r="F37" s="476"/>
      <c r="G37" s="477"/>
      <c r="H37" s="477"/>
      <c r="I37" s="475"/>
      <c r="J37" s="476"/>
      <c r="K37" s="477"/>
    </row>
    <row r="38" spans="1:11" ht="15" customHeight="1">
      <c r="A38" s="514" t="s">
        <v>159</v>
      </c>
      <c r="B38" s="514"/>
      <c r="C38" s="371" t="s">
        <v>185</v>
      </c>
      <c r="D38" s="348"/>
      <c r="E38" s="222" t="s">
        <v>263</v>
      </c>
      <c r="F38" s="222" t="s">
        <v>264</v>
      </c>
      <c r="G38" s="464"/>
      <c r="H38" s="464"/>
      <c r="I38" s="224" t="s">
        <v>263</v>
      </c>
      <c r="J38" s="222" t="s">
        <v>264</v>
      </c>
      <c r="K38" s="464"/>
    </row>
    <row r="39" spans="1:11" ht="11.1" customHeight="1">
      <c r="A39" s="419" t="str">
        <f>'3.1'!D5</f>
        <v>Říjen</v>
      </c>
      <c r="B39" s="419"/>
      <c r="C39" s="165" t="s">
        <v>4</v>
      </c>
      <c r="D39" s="317">
        <v>133</v>
      </c>
      <c r="E39" s="313">
        <v>11219.028312855455</v>
      </c>
      <c r="F39" s="313">
        <v>123028.35811</v>
      </c>
      <c r="G39" s="314">
        <f>E39/$E$44</f>
        <v>0.24619878430877495</v>
      </c>
      <c r="H39" s="314">
        <f>(E39-I39)/I39</f>
        <v>-0.25707598195756748</v>
      </c>
      <c r="I39" s="317">
        <v>15101.178640605847</v>
      </c>
      <c r="J39" s="313">
        <v>161607.51273000002</v>
      </c>
      <c r="K39" s="314">
        <f>I39/$I$44</f>
        <v>0.22435320854783908</v>
      </c>
    </row>
    <row r="40" spans="1:11" ht="11.1" customHeight="1">
      <c r="A40" s="420"/>
      <c r="B40" s="420"/>
      <c r="C40" s="155" t="s">
        <v>5</v>
      </c>
      <c r="D40" s="318">
        <v>1516</v>
      </c>
      <c r="E40" s="130">
        <v>8812.7033728931146</v>
      </c>
      <c r="F40" s="130">
        <v>96640.473370000007</v>
      </c>
      <c r="G40" s="312">
        <f t="shared" ref="G40" si="9">E40/$E$44</f>
        <v>0.19339258234993273</v>
      </c>
      <c r="H40" s="312">
        <f>(E40-I40)/I40</f>
        <v>-0.32938665027139974</v>
      </c>
      <c r="I40" s="318">
        <v>13141.258485921357</v>
      </c>
      <c r="J40" s="130">
        <v>140633.04525999998</v>
      </c>
      <c r="K40" s="312">
        <f t="shared" ref="K40:K43" si="10">I40/$I$44</f>
        <v>0.19523532406571753</v>
      </c>
    </row>
    <row r="41" spans="1:11" ht="11.1" customHeight="1">
      <c r="A41" s="420"/>
      <c r="B41" s="420"/>
      <c r="C41" s="155" t="s">
        <v>6</v>
      </c>
      <c r="D41" s="318">
        <v>37776</v>
      </c>
      <c r="E41" s="130">
        <v>10324.142694394011</v>
      </c>
      <c r="F41" s="130">
        <v>113214.980115474</v>
      </c>
      <c r="G41" s="312">
        <f>E41/$E$44</f>
        <v>0.22656074211681812</v>
      </c>
      <c r="H41" s="312">
        <f t="shared" ref="H41:H43" si="11">(E41-I41)/I41</f>
        <v>-0.32706666028268172</v>
      </c>
      <c r="I41" s="318">
        <v>15341.999103107173</v>
      </c>
      <c r="J41" s="130">
        <v>164184.58373356299</v>
      </c>
      <c r="K41" s="312">
        <f t="shared" si="10"/>
        <v>0.22793099838345282</v>
      </c>
    </row>
    <row r="42" spans="1:11" ht="11.1" customHeight="1">
      <c r="A42" s="420"/>
      <c r="B42" s="420"/>
      <c r="C42" s="155" t="s">
        <v>7</v>
      </c>
      <c r="D42" s="318">
        <v>369259</v>
      </c>
      <c r="E42" s="130">
        <v>14267.922891934621</v>
      </c>
      <c r="F42" s="130">
        <v>156462.63852751881</v>
      </c>
      <c r="G42" s="312">
        <f>E42/$E$44</f>
        <v>0.31310601708532315</v>
      </c>
      <c r="H42" s="312">
        <f t="shared" si="11"/>
        <v>-0.36576483393400105</v>
      </c>
      <c r="I42" s="318">
        <v>22496.265825868588</v>
      </c>
      <c r="J42" s="130">
        <v>240746.98579742259</v>
      </c>
      <c r="K42" s="312">
        <f t="shared" si="10"/>
        <v>0.33421956911412543</v>
      </c>
    </row>
    <row r="43" spans="1:11" ht="11.1" customHeight="1">
      <c r="A43" s="420"/>
      <c r="B43" s="420"/>
      <c r="C43" s="155" t="s">
        <v>93</v>
      </c>
      <c r="D43" s="318">
        <v>39</v>
      </c>
      <c r="E43" s="130">
        <v>945.18611812871791</v>
      </c>
      <c r="F43" s="130">
        <v>10364.95046</v>
      </c>
      <c r="G43" s="312">
        <f>E43/$E$44</f>
        <v>2.0741874139151094E-2</v>
      </c>
      <c r="H43" s="312">
        <f t="shared" si="11"/>
        <v>-0.23101724811283184</v>
      </c>
      <c r="I43" s="318">
        <v>1229.1382554538802</v>
      </c>
      <c r="J43" s="130">
        <v>13153.797719999999</v>
      </c>
      <c r="K43" s="312">
        <f t="shared" si="10"/>
        <v>1.8260899888865111E-2</v>
      </c>
    </row>
    <row r="44" spans="1:11" ht="11.1" customHeight="1">
      <c r="A44" s="421"/>
      <c r="B44" s="421"/>
      <c r="C44" s="323" t="s">
        <v>0</v>
      </c>
      <c r="D44" s="326">
        <v>408723</v>
      </c>
      <c r="E44" s="324">
        <v>45568.983390205918</v>
      </c>
      <c r="F44" s="324">
        <v>499711.40058299288</v>
      </c>
      <c r="G44" s="325">
        <f>SUM(G39:G43)</f>
        <v>1</v>
      </c>
      <c r="H44" s="325">
        <f>(E44-I44)/I44</f>
        <v>-0.32299670925250884</v>
      </c>
      <c r="I44" s="326">
        <v>67309.840310956846</v>
      </c>
      <c r="J44" s="324">
        <v>720325.92524098558</v>
      </c>
      <c r="K44" s="325">
        <f>SUM(K39:K43)</f>
        <v>1</v>
      </c>
    </row>
    <row r="45" spans="1:11" ht="11.1" customHeight="1">
      <c r="A45" s="419" t="str">
        <f>'3.1'!E5</f>
        <v>Listopad</v>
      </c>
      <c r="B45" s="419"/>
      <c r="C45" s="165" t="s">
        <v>4</v>
      </c>
      <c r="D45" s="317">
        <v>140</v>
      </c>
      <c r="E45" s="313">
        <v>17409.813049331824</v>
      </c>
      <c r="F45" s="313">
        <v>190703.86418999999</v>
      </c>
      <c r="G45" s="314">
        <f>E45/$E$50</f>
        <v>0.21216598639471781</v>
      </c>
      <c r="H45" s="314">
        <f>(E45-I45)/I45</f>
        <v>-0.16504720869838499</v>
      </c>
      <c r="I45" s="317">
        <v>20851.254383126881</v>
      </c>
      <c r="J45" s="313">
        <v>222599.11205</v>
      </c>
      <c r="K45" s="314">
        <f>I45/$I$50</f>
        <v>0.20515056130290329</v>
      </c>
    </row>
    <row r="46" spans="1:11" ht="11.1" customHeight="1">
      <c r="A46" s="420"/>
      <c r="B46" s="420"/>
      <c r="C46" s="155" t="s">
        <v>5</v>
      </c>
      <c r="D46" s="318">
        <v>1512</v>
      </c>
      <c r="E46" s="130">
        <v>15525.524391868294</v>
      </c>
      <c r="F46" s="130">
        <v>170063.53687000001</v>
      </c>
      <c r="G46" s="312">
        <f t="shared" ref="G46:G49" si="12">E46/$E$50</f>
        <v>0.18920296200552303</v>
      </c>
      <c r="H46" s="312">
        <f>(E46-I46)/I46</f>
        <v>-0.23030914933443555</v>
      </c>
      <c r="I46" s="318">
        <v>20171.117245895693</v>
      </c>
      <c r="J46" s="130">
        <v>215338.28631999998</v>
      </c>
      <c r="K46" s="312">
        <f t="shared" ref="K46:K49" si="13">I46/$I$50</f>
        <v>0.19845885283768799</v>
      </c>
    </row>
    <row r="47" spans="1:11" ht="11.1" customHeight="1">
      <c r="A47" s="420"/>
      <c r="B47" s="420"/>
      <c r="C47" s="155" t="s">
        <v>6</v>
      </c>
      <c r="D47" s="318">
        <v>37730</v>
      </c>
      <c r="E47" s="130">
        <v>20471.698317870636</v>
      </c>
      <c r="F47" s="130">
        <v>224242.95204458199</v>
      </c>
      <c r="G47" s="312">
        <f t="shared" si="12"/>
        <v>0.24947987979416042</v>
      </c>
      <c r="H47" s="312">
        <f t="shared" ref="H47:H49" si="14">(E47-I47)/I47</f>
        <v>-0.15868981285189881</v>
      </c>
      <c r="I47" s="318">
        <v>24333.115931076765</v>
      </c>
      <c r="J47" s="130">
        <v>259770.017770837</v>
      </c>
      <c r="K47" s="312">
        <f t="shared" si="13"/>
        <v>0.23940777373799499</v>
      </c>
    </row>
    <row r="48" spans="1:11" ht="11.1" customHeight="1">
      <c r="A48" s="420"/>
      <c r="B48" s="420"/>
      <c r="C48" s="155" t="s">
        <v>7</v>
      </c>
      <c r="D48" s="318">
        <v>368673</v>
      </c>
      <c r="E48" s="130">
        <v>27617.899102191972</v>
      </c>
      <c r="F48" s="130">
        <v>302521.02819132968</v>
      </c>
      <c r="G48" s="312">
        <f t="shared" si="12"/>
        <v>0.33656758912705487</v>
      </c>
      <c r="H48" s="312">
        <f t="shared" si="14"/>
        <v>-0.21353895501443895</v>
      </c>
      <c r="I48" s="318">
        <v>35116.677778616511</v>
      </c>
      <c r="J48" s="130">
        <v>374890.74709719262</v>
      </c>
      <c r="K48" s="312">
        <f t="shared" si="13"/>
        <v>0.3455046888309084</v>
      </c>
    </row>
    <row r="49" spans="1:11" ht="11.1" customHeight="1">
      <c r="A49" s="420"/>
      <c r="B49" s="420"/>
      <c r="C49" s="155" t="s">
        <v>93</v>
      </c>
      <c r="D49" s="318">
        <v>37</v>
      </c>
      <c r="E49" s="130">
        <v>1032.577491081362</v>
      </c>
      <c r="F49" s="130">
        <v>11310.6505</v>
      </c>
      <c r="G49" s="312">
        <f t="shared" si="12"/>
        <v>1.2583582678543936E-2</v>
      </c>
      <c r="H49" s="312">
        <f t="shared" si="14"/>
        <v>-0.11490010081465576</v>
      </c>
      <c r="I49" s="318">
        <v>1166.622538350482</v>
      </c>
      <c r="J49" s="130">
        <v>12454.36706</v>
      </c>
      <c r="K49" s="312">
        <f t="shared" si="13"/>
        <v>1.1478123290505291E-2</v>
      </c>
    </row>
    <row r="50" spans="1:11" ht="11.1" customHeight="1">
      <c r="A50" s="421"/>
      <c r="B50" s="421"/>
      <c r="C50" s="323" t="s">
        <v>0</v>
      </c>
      <c r="D50" s="326">
        <v>408092</v>
      </c>
      <c r="E50" s="324">
        <v>82057.512352344085</v>
      </c>
      <c r="F50" s="324">
        <v>898842.03179591172</v>
      </c>
      <c r="G50" s="325">
        <f>SUM(G45:G49)</f>
        <v>1</v>
      </c>
      <c r="H50" s="325">
        <f t="shared" ref="H50" si="15">(E50-I50)/I50</f>
        <v>-0.19265553961944237</v>
      </c>
      <c r="I50" s="326">
        <v>101638.78787706634</v>
      </c>
      <c r="J50" s="324">
        <v>1085052.5302980295</v>
      </c>
      <c r="K50" s="325">
        <f>SUM(K45:K49)</f>
        <v>0.99999999999999978</v>
      </c>
    </row>
    <row r="51" spans="1:11" ht="11.1" customHeight="1">
      <c r="A51" s="419" t="str">
        <f>'3.1'!F5</f>
        <v>Prosinec</v>
      </c>
      <c r="B51" s="419"/>
      <c r="C51" s="165" t="s">
        <v>4</v>
      </c>
      <c r="D51" s="317">
        <v>138</v>
      </c>
      <c r="E51" s="313">
        <v>22022.410963676339</v>
      </c>
      <c r="F51" s="313">
        <v>240785.43715000001</v>
      </c>
      <c r="G51" s="314">
        <f>E51/$E$56</f>
        <v>0.19382235940228099</v>
      </c>
      <c r="H51" s="314">
        <f>(E51-I51)/I51</f>
        <v>-0.10508760764916338</v>
      </c>
      <c r="I51" s="317">
        <v>24608.454583834606</v>
      </c>
      <c r="J51" s="313">
        <v>262664.9430699998</v>
      </c>
      <c r="K51" s="314">
        <f>I51/$I$56</f>
        <v>0.19504049532529302</v>
      </c>
    </row>
    <row r="52" spans="1:11" ht="11.1" customHeight="1">
      <c r="A52" s="420"/>
      <c r="B52" s="420"/>
      <c r="C52" s="155" t="s">
        <v>5</v>
      </c>
      <c r="D52" s="318">
        <v>1514</v>
      </c>
      <c r="E52" s="130">
        <v>21861.03183611776</v>
      </c>
      <c r="F52" s="130">
        <v>239021.27098</v>
      </c>
      <c r="G52" s="312">
        <f t="shared" ref="G52:G55" si="16">E52/$E$56</f>
        <v>0.19240203883368945</v>
      </c>
      <c r="H52" s="312">
        <f t="shared" ref="H52:H55" si="17">(E52-I52)/I52</f>
        <v>-0.11082679249119914</v>
      </c>
      <c r="I52" s="318">
        <v>24585.796840826857</v>
      </c>
      <c r="J52" s="130">
        <v>262369.48921000015</v>
      </c>
      <c r="K52" s="312">
        <f t="shared" ref="K52:K55" si="18">I52/$I$56</f>
        <v>0.19486091568512789</v>
      </c>
    </row>
    <row r="53" spans="1:11" ht="11.1" customHeight="1">
      <c r="A53" s="420"/>
      <c r="B53" s="420"/>
      <c r="C53" s="155" t="s">
        <v>6</v>
      </c>
      <c r="D53" s="318">
        <v>37724</v>
      </c>
      <c r="E53" s="130">
        <v>29469.613937649425</v>
      </c>
      <c r="F53" s="130">
        <v>322210.98397694796</v>
      </c>
      <c r="G53" s="312">
        <f t="shared" si="16"/>
        <v>0.25936624802301106</v>
      </c>
      <c r="H53" s="312">
        <f t="shared" si="17"/>
        <v>-5.568977900268765E-2</v>
      </c>
      <c r="I53" s="318">
        <v>31207.555824743424</v>
      </c>
      <c r="J53" s="130">
        <v>332994.41947196401</v>
      </c>
      <c r="K53" s="312">
        <f t="shared" si="18"/>
        <v>0.24734333174859721</v>
      </c>
    </row>
    <row r="54" spans="1:11" ht="11.1" customHeight="1">
      <c r="A54" s="420"/>
      <c r="B54" s="420"/>
      <c r="C54" s="155" t="s">
        <v>7</v>
      </c>
      <c r="D54" s="318">
        <v>368169</v>
      </c>
      <c r="E54" s="130">
        <v>39357.866472623362</v>
      </c>
      <c r="F54" s="130">
        <v>430325.85734609101</v>
      </c>
      <c r="G54" s="312">
        <f t="shared" si="16"/>
        <v>0.34639415971966442</v>
      </c>
      <c r="H54" s="312">
        <f t="shared" si="17"/>
        <v>-0.11955329855928828</v>
      </c>
      <c r="I54" s="318">
        <v>44702.156766809894</v>
      </c>
      <c r="J54" s="130">
        <v>476961.21056599973</v>
      </c>
      <c r="K54" s="312">
        <f t="shared" si="18"/>
        <v>0.35429818513003536</v>
      </c>
    </row>
    <row r="55" spans="1:11" ht="11.1" customHeight="1">
      <c r="A55" s="420"/>
      <c r="B55" s="420"/>
      <c r="C55" s="155" t="s">
        <v>93</v>
      </c>
      <c r="D55" s="318">
        <v>38</v>
      </c>
      <c r="E55" s="130">
        <v>910.69934983869985</v>
      </c>
      <c r="F55" s="130">
        <v>9957.2846199999985</v>
      </c>
      <c r="G55" s="312">
        <f t="shared" si="16"/>
        <v>8.0151940213540329E-3</v>
      </c>
      <c r="H55" s="312">
        <f t="shared" si="17"/>
        <v>-0.14651588343517391</v>
      </c>
      <c r="I55" s="318">
        <v>1067.0372560700466</v>
      </c>
      <c r="J55" s="130">
        <v>11420.83295</v>
      </c>
      <c r="K55" s="312">
        <f t="shared" si="18"/>
        <v>8.45707211094659E-3</v>
      </c>
    </row>
    <row r="56" spans="1:11" ht="11.1" customHeight="1">
      <c r="A56" s="421"/>
      <c r="B56" s="421"/>
      <c r="C56" s="323" t="s">
        <v>0</v>
      </c>
      <c r="D56" s="326">
        <v>407583</v>
      </c>
      <c r="E56" s="324">
        <v>113621.62255990559</v>
      </c>
      <c r="F56" s="324">
        <v>1242300.834073039</v>
      </c>
      <c r="G56" s="325">
        <f>SUM(G51:G55)</f>
        <v>1</v>
      </c>
      <c r="H56" s="325">
        <f t="shared" ref="H56" si="19">(E56-I56)/I56</f>
        <v>-9.9463256896066735E-2</v>
      </c>
      <c r="I56" s="326">
        <v>126171.00127228482</v>
      </c>
      <c r="J56" s="324">
        <v>1346410.8952679636</v>
      </c>
      <c r="K56" s="325">
        <f>SUM(K51:K55)</f>
        <v>1</v>
      </c>
    </row>
    <row r="57" spans="1:11" ht="11.1" customHeight="1">
      <c r="A57" s="488" t="str">
        <f>'3.1'!G5</f>
        <v>IV. čtvrtletí</v>
      </c>
      <c r="B57" s="419"/>
      <c r="C57" s="165" t="s">
        <v>4</v>
      </c>
      <c r="D57" s="317">
        <f>D51</f>
        <v>138</v>
      </c>
      <c r="E57" s="313">
        <f>E39+E45+E51</f>
        <v>50651.252325863621</v>
      </c>
      <c r="F57" s="313">
        <f>F39+F45+F51</f>
        <v>554517.65945000004</v>
      </c>
      <c r="G57" s="314">
        <f>E57/$E$62</f>
        <v>0.20995501512000003</v>
      </c>
      <c r="H57" s="314">
        <f>(E57-I57)/I57</f>
        <v>-0.16363094520539131</v>
      </c>
      <c r="I57" s="317">
        <f>I39+I45+I51</f>
        <v>60560.887607567332</v>
      </c>
      <c r="J57" s="313">
        <f>J39+J45+J51</f>
        <v>646871.56784999976</v>
      </c>
      <c r="K57" s="314">
        <f>I57/$I$62</f>
        <v>0.20520792777598831</v>
      </c>
    </row>
    <row r="58" spans="1:11" ht="11.1" customHeight="1">
      <c r="A58" s="420"/>
      <c r="B58" s="420"/>
      <c r="C58" s="155" t="s">
        <v>5</v>
      </c>
      <c r="D58" s="318">
        <f>D52</f>
        <v>1514</v>
      </c>
      <c r="E58" s="130">
        <f t="shared" ref="E58:F59" si="20">E40+E46+E52</f>
        <v>46199.259600879173</v>
      </c>
      <c r="F58" s="130">
        <f t="shared" si="20"/>
        <v>505725.28122</v>
      </c>
      <c r="G58" s="312">
        <f t="shared" ref="G58:G61" si="21">E58/$E$62</f>
        <v>0.19150101532795633</v>
      </c>
      <c r="H58" s="312">
        <f t="shared" ref="H58:H61" si="22">(E58-I58)/I58</f>
        <v>-0.20206014200338185</v>
      </c>
      <c r="I58" s="318">
        <f t="shared" ref="I58:J58" si="23">I40+I46+I52</f>
        <v>57898.172572643911</v>
      </c>
      <c r="J58" s="130">
        <f t="shared" si="23"/>
        <v>618340.82079000014</v>
      </c>
      <c r="K58" s="312">
        <f t="shared" ref="K58:K61" si="24">I58/$I$62</f>
        <v>0.19618543394935678</v>
      </c>
    </row>
    <row r="59" spans="1:11" ht="11.1" customHeight="1">
      <c r="A59" s="420"/>
      <c r="B59" s="420"/>
      <c r="C59" s="155" t="s">
        <v>6</v>
      </c>
      <c r="D59" s="318">
        <f>D53</f>
        <v>37724</v>
      </c>
      <c r="E59" s="130">
        <f>E41+E47+E53</f>
        <v>60265.45494991407</v>
      </c>
      <c r="F59" s="130">
        <f t="shared" si="20"/>
        <v>659668.91613700392</v>
      </c>
      <c r="G59" s="312">
        <f t="shared" si="21"/>
        <v>0.24980694305088241</v>
      </c>
      <c r="H59" s="312">
        <f t="shared" si="22"/>
        <v>-0.1497857766977202</v>
      </c>
      <c r="I59" s="318">
        <f>I41+I47+I53</f>
        <v>70882.670858927362</v>
      </c>
      <c r="J59" s="130">
        <f t="shared" ref="J59" si="25">J41+J47+J53</f>
        <v>756949.02097636403</v>
      </c>
      <c r="K59" s="312">
        <f t="shared" si="24"/>
        <v>0.24018284039103771</v>
      </c>
    </row>
    <row r="60" spans="1:11" ht="11.1" customHeight="1">
      <c r="A60" s="420"/>
      <c r="B60" s="420"/>
      <c r="C60" s="155" t="s">
        <v>7</v>
      </c>
      <c r="D60" s="318">
        <f>D54</f>
        <v>368169</v>
      </c>
      <c r="E60" s="130">
        <f t="shared" ref="E60:F61" si="26">E42+E48+E54</f>
        <v>81243.688466749954</v>
      </c>
      <c r="F60" s="130">
        <f t="shared" si="26"/>
        <v>889309.52406493947</v>
      </c>
      <c r="G60" s="312">
        <f t="shared" si="21"/>
        <v>0.3367640296571921</v>
      </c>
      <c r="H60" s="312">
        <f t="shared" si="22"/>
        <v>-0.20594625649662887</v>
      </c>
      <c r="I60" s="318">
        <f t="shared" ref="I60:J60" si="27">I42+I48+I54</f>
        <v>102315.100371295</v>
      </c>
      <c r="J60" s="130">
        <f t="shared" si="27"/>
        <v>1092598.9434606149</v>
      </c>
      <c r="K60" s="312">
        <f t="shared" si="24"/>
        <v>0.34669025763688083</v>
      </c>
    </row>
    <row r="61" spans="1:11" ht="11.1" customHeight="1">
      <c r="A61" s="420"/>
      <c r="B61" s="420"/>
      <c r="C61" s="155" t="s">
        <v>93</v>
      </c>
      <c r="D61" s="318">
        <f>D55</f>
        <v>38</v>
      </c>
      <c r="E61" s="130">
        <f>E43+E49+E55</f>
        <v>2888.4629590487798</v>
      </c>
      <c r="F61" s="130">
        <f t="shared" si="26"/>
        <v>31632.885579999998</v>
      </c>
      <c r="G61" s="312">
        <f t="shared" si="21"/>
        <v>1.1972996843969078E-2</v>
      </c>
      <c r="H61" s="312">
        <f t="shared" si="22"/>
        <v>-0.16585867340616622</v>
      </c>
      <c r="I61" s="318">
        <f>I43+I49+I55</f>
        <v>3462.7980498744087</v>
      </c>
      <c r="J61" s="130">
        <f t="shared" ref="J61" si="28">J43+J49+J55</f>
        <v>37028.997730000003</v>
      </c>
      <c r="K61" s="312">
        <f t="shared" si="24"/>
        <v>1.1733540246736233E-2</v>
      </c>
    </row>
    <row r="62" spans="1:11" ht="11.1" customHeight="1">
      <c r="A62" s="421"/>
      <c r="B62" s="421"/>
      <c r="C62" s="323" t="s">
        <v>0</v>
      </c>
      <c r="D62" s="326">
        <f>SUM(D57:D61)</f>
        <v>407583</v>
      </c>
      <c r="E62" s="324">
        <f>SUM(E57:E61)</f>
        <v>241248.11830245561</v>
      </c>
      <c r="F62" s="324">
        <f>SUM(F57:F61)</f>
        <v>2640854.2664519432</v>
      </c>
      <c r="G62" s="325">
        <f>SUM(G57:G61)</f>
        <v>1</v>
      </c>
      <c r="H62" s="325">
        <f>(E62-I62)/I62</f>
        <v>-0.18254126726971195</v>
      </c>
      <c r="I62" s="326">
        <f>SUM(I57:I61)</f>
        <v>295119.62946030806</v>
      </c>
      <c r="J62" s="324">
        <f>SUM(J57:J61)</f>
        <v>3151789.350806979</v>
      </c>
      <c r="K62" s="325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20"/>
  <sheetViews>
    <sheetView showGridLines="0" topLeftCell="A7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492" t="s">
        <v>310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12"/>
      <c r="B3" s="512"/>
      <c r="C3" s="512"/>
      <c r="D3" s="305"/>
      <c r="E3" s="305"/>
      <c r="F3" s="306"/>
      <c r="G3" s="307"/>
      <c r="H3" s="307"/>
      <c r="I3" s="307"/>
      <c r="J3" s="76"/>
      <c r="K3" s="76"/>
    </row>
    <row r="4" spans="1:16" ht="12.95" customHeight="1">
      <c r="A4" s="484" t="s">
        <v>44</v>
      </c>
      <c r="B4" s="484"/>
      <c r="C4" s="484"/>
      <c r="D4" s="478">
        <f>'3.1'!A4</f>
        <v>2022</v>
      </c>
      <c r="E4" s="358"/>
      <c r="F4" s="347"/>
      <c r="G4" s="347"/>
      <c r="H4" s="347"/>
      <c r="I4" s="478">
        <f>D4-1</f>
        <v>2021</v>
      </c>
      <c r="J4" s="479"/>
      <c r="K4" s="479"/>
    </row>
    <row r="5" spans="1:16" ht="24.95" customHeight="1">
      <c r="A5" s="359"/>
      <c r="B5" s="359"/>
      <c r="C5" s="359"/>
      <c r="D5" s="480"/>
      <c r="E5" s="360"/>
      <c r="F5" s="361"/>
      <c r="G5" s="361"/>
      <c r="H5" s="362"/>
      <c r="I5" s="480"/>
      <c r="J5" s="481"/>
      <c r="K5" s="481"/>
    </row>
    <row r="6" spans="1:16" ht="24.95" customHeight="1">
      <c r="A6" s="309"/>
      <c r="B6" s="277"/>
      <c r="C6" s="310"/>
      <c r="D6" s="369" t="s">
        <v>160</v>
      </c>
      <c r="E6" s="476" t="s">
        <v>60</v>
      </c>
      <c r="F6" s="476"/>
      <c r="G6" s="477" t="s">
        <v>33</v>
      </c>
      <c r="H6" s="477" t="s">
        <v>272</v>
      </c>
      <c r="I6" s="475" t="s">
        <v>60</v>
      </c>
      <c r="J6" s="476"/>
      <c r="K6" s="477" t="s">
        <v>33</v>
      </c>
    </row>
    <row r="7" spans="1:16" ht="24.95" customHeight="1">
      <c r="A7" s="309"/>
      <c r="B7" s="311"/>
      <c r="D7" s="370"/>
      <c r="E7" s="476"/>
      <c r="F7" s="476"/>
      <c r="G7" s="477"/>
      <c r="H7" s="477"/>
      <c r="I7" s="475"/>
      <c r="J7" s="476"/>
      <c r="K7" s="477"/>
    </row>
    <row r="8" spans="1:16" ht="15" customHeight="1">
      <c r="A8" s="485" t="s">
        <v>159</v>
      </c>
      <c r="B8" s="485"/>
      <c r="C8" s="328" t="s">
        <v>185</v>
      </c>
      <c r="D8" s="348"/>
      <c r="E8" s="222" t="s">
        <v>263</v>
      </c>
      <c r="F8" s="222" t="s">
        <v>264</v>
      </c>
      <c r="G8" s="464"/>
      <c r="H8" s="464"/>
      <c r="I8" s="224" t="s">
        <v>263</v>
      </c>
      <c r="J8" s="222" t="s">
        <v>264</v>
      </c>
      <c r="K8" s="464"/>
    </row>
    <row r="9" spans="1:16" ht="11.1" customHeight="1">
      <c r="A9" s="419" t="str">
        <f>'3.1'!D5</f>
        <v>Říjen</v>
      </c>
      <c r="B9" s="419"/>
      <c r="C9" s="165" t="s">
        <v>4</v>
      </c>
      <c r="D9" s="317">
        <v>188</v>
      </c>
      <c r="E9" s="313">
        <v>47467.930999999997</v>
      </c>
      <c r="F9" s="313">
        <v>520238.76698099996</v>
      </c>
      <c r="G9" s="314">
        <f>E9/$E$14</f>
        <v>0.64830448218495806</v>
      </c>
      <c r="H9" s="314">
        <f>(E9-I9)/I9</f>
        <v>-0.1654093459660736</v>
      </c>
      <c r="I9" s="317">
        <v>56875.703999999991</v>
      </c>
      <c r="J9" s="313">
        <v>608407.61468900007</v>
      </c>
      <c r="K9" s="314">
        <f>I9/$I$14</f>
        <v>0.57778323322560599</v>
      </c>
    </row>
    <row r="10" spans="1:16" ht="11.1" customHeight="1">
      <c r="A10" s="420"/>
      <c r="B10" s="420"/>
      <c r="C10" s="155" t="s">
        <v>5</v>
      </c>
      <c r="D10" s="318">
        <v>637</v>
      </c>
      <c r="E10" s="130">
        <v>5554.6720000000005</v>
      </c>
      <c r="F10" s="130">
        <v>60877.896620000058</v>
      </c>
      <c r="G10" s="312">
        <f>E10/$E$14</f>
        <v>7.5864245160954788E-2</v>
      </c>
      <c r="H10" s="312">
        <f>(E10-I10)/I10</f>
        <v>-0.37353050111045583</v>
      </c>
      <c r="I10" s="318">
        <v>8866.6279999999988</v>
      </c>
      <c r="J10" s="130">
        <v>94846.784770000013</v>
      </c>
      <c r="K10" s="312">
        <f>I10/$I$14</f>
        <v>9.0073416825727365E-2</v>
      </c>
      <c r="L10" s="94"/>
      <c r="N10" s="94"/>
      <c r="O10" s="94"/>
      <c r="P10" s="94"/>
    </row>
    <row r="11" spans="1:16" ht="11.1" customHeight="1">
      <c r="A11" s="420"/>
      <c r="B11" s="420"/>
      <c r="C11" s="155" t="s">
        <v>6</v>
      </c>
      <c r="D11" s="318">
        <v>19224</v>
      </c>
      <c r="E11" s="130">
        <v>6113.5860000000002</v>
      </c>
      <c r="F11" s="130">
        <v>67002.783179999999</v>
      </c>
      <c r="G11" s="312">
        <f>E11/$E$14</f>
        <v>8.3497745162375195E-2</v>
      </c>
      <c r="H11" s="312">
        <f t="shared" ref="H11:H13" si="0">(E11-I11)/I11</f>
        <v>-0.3021681735634637</v>
      </c>
      <c r="I11" s="318">
        <v>8760.83</v>
      </c>
      <c r="J11" s="130">
        <v>93715.680410000001</v>
      </c>
      <c r="K11" s="312">
        <f>I11/$I$14</f>
        <v>8.89986466477828E-2</v>
      </c>
      <c r="L11" s="94"/>
      <c r="N11" s="94"/>
      <c r="O11" s="94"/>
      <c r="P11" s="94"/>
    </row>
    <row r="12" spans="1:16" ht="11.1" customHeight="1">
      <c r="A12" s="420"/>
      <c r="B12" s="420"/>
      <c r="C12" s="155" t="s">
        <v>7</v>
      </c>
      <c r="D12" s="318">
        <v>238143</v>
      </c>
      <c r="E12" s="130">
        <v>13161.3</v>
      </c>
      <c r="F12" s="130">
        <v>144244.20000000001</v>
      </c>
      <c r="G12" s="312">
        <f>E12/$E$14</f>
        <v>0.17975356417748412</v>
      </c>
      <c r="H12" s="312">
        <f t="shared" si="0"/>
        <v>-0.42194376367038244</v>
      </c>
      <c r="I12" s="318">
        <v>22768.2</v>
      </c>
      <c r="J12" s="130">
        <v>243553.5</v>
      </c>
      <c r="K12" s="312">
        <f>I12/$I$14</f>
        <v>0.23129532094630856</v>
      </c>
      <c r="L12" s="94"/>
      <c r="N12" s="94"/>
      <c r="O12" s="94"/>
      <c r="P12" s="94"/>
    </row>
    <row r="13" spans="1:16" ht="11.1" customHeight="1">
      <c r="A13" s="420"/>
      <c r="B13" s="420"/>
      <c r="C13" s="155" t="s">
        <v>93</v>
      </c>
      <c r="D13" s="318">
        <v>35</v>
      </c>
      <c r="E13" s="130">
        <v>921.08699999999999</v>
      </c>
      <c r="F13" s="130">
        <v>10094.84679</v>
      </c>
      <c r="G13" s="312">
        <f>E13/$E$14</f>
        <v>1.25799633142278E-2</v>
      </c>
      <c r="H13" s="312">
        <f t="shared" si="0"/>
        <v>-0.21033463731549418</v>
      </c>
      <c r="I13" s="318">
        <v>1166.4269999999999</v>
      </c>
      <c r="J13" s="130">
        <v>12477.38695</v>
      </c>
      <c r="K13" s="312">
        <f>I13/$I$14</f>
        <v>1.1849382354575234E-2</v>
      </c>
      <c r="L13" s="94"/>
      <c r="N13" s="94"/>
      <c r="O13" s="94"/>
      <c r="P13" s="94"/>
    </row>
    <row r="14" spans="1:16" ht="11.1" customHeight="1">
      <c r="A14" s="421"/>
      <c r="B14" s="421"/>
      <c r="C14" s="323" t="s">
        <v>0</v>
      </c>
      <c r="D14" s="326">
        <v>258227</v>
      </c>
      <c r="E14" s="324">
        <v>73218.576000000001</v>
      </c>
      <c r="F14" s="324">
        <v>802458.49357100006</v>
      </c>
      <c r="G14" s="325">
        <f>SUM(G9:G13)</f>
        <v>1</v>
      </c>
      <c r="H14" s="325">
        <f>(E14-I14)/I14</f>
        <v>-0.25619442752823302</v>
      </c>
      <c r="I14" s="326">
        <v>98437.78899999999</v>
      </c>
      <c r="J14" s="324">
        <v>1053000.9668190002</v>
      </c>
      <c r="K14" s="325">
        <f>SUM(K9:K13)</f>
        <v>0.99999999999999989</v>
      </c>
      <c r="L14" s="94"/>
    </row>
    <row r="15" spans="1:16" ht="11.1" customHeight="1">
      <c r="A15" s="419" t="str">
        <f>'3.1'!E5</f>
        <v>Listopad</v>
      </c>
      <c r="B15" s="419"/>
      <c r="C15" s="165" t="s">
        <v>4</v>
      </c>
      <c r="D15" s="317">
        <v>188</v>
      </c>
      <c r="E15" s="313">
        <v>81634.046000000002</v>
      </c>
      <c r="F15" s="313">
        <v>892842.07457000017</v>
      </c>
      <c r="G15" s="314">
        <f>E15/$E$20</f>
        <v>0.63886311198299728</v>
      </c>
      <c r="H15" s="314">
        <f>(E15-I15)/I15</f>
        <v>0.32298592345002342</v>
      </c>
      <c r="I15" s="317">
        <v>61704.394999999997</v>
      </c>
      <c r="J15" s="313">
        <v>658894.68123500026</v>
      </c>
      <c r="K15" s="314">
        <f>I15/$I$20</f>
        <v>0.49921345905302733</v>
      </c>
      <c r="L15" s="94"/>
      <c r="M15" s="94"/>
    </row>
    <row r="16" spans="1:16" ht="11.1" customHeight="1">
      <c r="A16" s="420"/>
      <c r="B16" s="420"/>
      <c r="C16" s="155" t="s">
        <v>5</v>
      </c>
      <c r="D16" s="318">
        <v>638</v>
      </c>
      <c r="E16" s="130">
        <v>8117.9549999999999</v>
      </c>
      <c r="F16" s="130">
        <v>88714.487970000002</v>
      </c>
      <c r="G16" s="312">
        <f>E16/$E$20</f>
        <v>6.353062537458859E-2</v>
      </c>
      <c r="H16" s="312">
        <f>(E16-I16)/I16</f>
        <v>-0.36282998925799814</v>
      </c>
      <c r="I16" s="318">
        <v>12740.642</v>
      </c>
      <c r="J16" s="130">
        <v>136047.92646000005</v>
      </c>
      <c r="K16" s="312">
        <f>I16/$I$20</f>
        <v>0.10307693582242045</v>
      </c>
      <c r="L16" s="98"/>
      <c r="M16" s="94"/>
    </row>
    <row r="17" spans="1:20" ht="11.1" customHeight="1">
      <c r="A17" s="420"/>
      <c r="B17" s="420"/>
      <c r="C17" s="155" t="s">
        <v>6</v>
      </c>
      <c r="D17" s="318">
        <v>19178</v>
      </c>
      <c r="E17" s="130">
        <v>11574.996999999999</v>
      </c>
      <c r="F17" s="130">
        <v>126493.87863000001</v>
      </c>
      <c r="G17" s="312">
        <f>E17/$E$20</f>
        <v>9.0585227205495333E-2</v>
      </c>
      <c r="H17" s="312">
        <f t="shared" ref="H17:H20" si="1">(E17-I17)/I17</f>
        <v>-0.1584865724229545</v>
      </c>
      <c r="I17" s="318">
        <v>13754.976000000001</v>
      </c>
      <c r="J17" s="130">
        <v>146879.32147</v>
      </c>
      <c r="K17" s="312">
        <f>I17/$I$20</f>
        <v>0.11128330726119873</v>
      </c>
      <c r="L17" s="94"/>
      <c r="M17" s="94"/>
      <c r="N17" s="94"/>
      <c r="O17" s="94"/>
    </row>
    <row r="18" spans="1:20" ht="11.1" customHeight="1">
      <c r="A18" s="420"/>
      <c r="B18" s="420"/>
      <c r="C18" s="155" t="s">
        <v>7</v>
      </c>
      <c r="D18" s="318">
        <v>237964</v>
      </c>
      <c r="E18" s="130">
        <v>25436</v>
      </c>
      <c r="F18" s="130">
        <v>277969.09999999998</v>
      </c>
      <c r="G18" s="312">
        <f>E18/$E$20</f>
        <v>0.19906059925535871</v>
      </c>
      <c r="H18" s="312">
        <f t="shared" si="1"/>
        <v>-0.25593749360105078</v>
      </c>
      <c r="I18" s="318">
        <v>34185.300000000003</v>
      </c>
      <c r="J18" s="130">
        <v>365040.6</v>
      </c>
      <c r="K18" s="312">
        <f>I18/$I$20</f>
        <v>0.27657287397057306</v>
      </c>
      <c r="L18" s="94"/>
      <c r="M18" s="94"/>
      <c r="N18" s="94"/>
      <c r="O18" s="94"/>
    </row>
    <row r="19" spans="1:20" ht="11.1" customHeight="1">
      <c r="A19" s="420"/>
      <c r="B19" s="420"/>
      <c r="C19" s="155" t="s">
        <v>93</v>
      </c>
      <c r="D19" s="318">
        <v>35</v>
      </c>
      <c r="E19" s="130">
        <v>1017.186</v>
      </c>
      <c r="F19" s="130">
        <v>11115.977370000001</v>
      </c>
      <c r="G19" s="312">
        <f>E19/$E$20</f>
        <v>7.9604361815600443E-3</v>
      </c>
      <c r="H19" s="312">
        <f t="shared" si="1"/>
        <v>-0.16481363641961871</v>
      </c>
      <c r="I19" s="318">
        <v>1217.915</v>
      </c>
      <c r="J19" s="130">
        <v>13005.259540000001</v>
      </c>
      <c r="K19" s="312">
        <f>I19/$I$20</f>
        <v>9.8534238927805353E-3</v>
      </c>
      <c r="L19" s="94"/>
      <c r="M19" s="94"/>
      <c r="N19" s="94"/>
      <c r="O19" s="94"/>
    </row>
    <row r="20" spans="1:20" ht="11.1" customHeight="1">
      <c r="A20" s="421"/>
      <c r="B20" s="421"/>
      <c r="C20" s="323" t="s">
        <v>0</v>
      </c>
      <c r="D20" s="326">
        <v>258003</v>
      </c>
      <c r="E20" s="324">
        <v>127780.18400000001</v>
      </c>
      <c r="F20" s="324">
        <v>1397135.5185400001</v>
      </c>
      <c r="G20" s="325">
        <f>SUM(G15:G19)</f>
        <v>1</v>
      </c>
      <c r="H20" s="325">
        <f t="shared" si="1"/>
        <v>3.3793259832987699E-2</v>
      </c>
      <c r="I20" s="326">
        <v>123603.22799999999</v>
      </c>
      <c r="J20" s="324">
        <v>1319867.7887050002</v>
      </c>
      <c r="K20" s="325">
        <f>SUM(K15:K19)</f>
        <v>1</v>
      </c>
      <c r="L20" s="94"/>
      <c r="M20" s="94"/>
      <c r="N20" s="94"/>
      <c r="O20" s="94"/>
    </row>
    <row r="21" spans="1:20" ht="11.1" customHeight="1">
      <c r="A21" s="419" t="str">
        <f>'3.1'!F5</f>
        <v>Prosinec</v>
      </c>
      <c r="B21" s="419"/>
      <c r="C21" s="165" t="s">
        <v>4</v>
      </c>
      <c r="D21" s="317">
        <v>188</v>
      </c>
      <c r="E21" s="313">
        <v>56813.76999999999</v>
      </c>
      <c r="F21" s="313">
        <v>618569.42146999994</v>
      </c>
      <c r="G21" s="314">
        <f>E21/$E$26</f>
        <v>0.45843025949546085</v>
      </c>
      <c r="H21" s="314">
        <f>(E21-I21)/I21</f>
        <v>-9.8596810973840779E-2</v>
      </c>
      <c r="I21" s="317">
        <v>63028.144000000008</v>
      </c>
      <c r="J21" s="313">
        <v>673133.91234799987</v>
      </c>
      <c r="K21" s="314">
        <f>I21/$I$26</f>
        <v>0.44107775733537125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0"/>
      <c r="B22" s="420"/>
      <c r="C22" s="155" t="s">
        <v>5</v>
      </c>
      <c r="D22" s="318">
        <v>635</v>
      </c>
      <c r="E22" s="130">
        <v>9704.8310000000001</v>
      </c>
      <c r="F22" s="130">
        <v>105655.25077000006</v>
      </c>
      <c r="G22" s="312">
        <f>E22/$E$26</f>
        <v>7.8308272689694661E-2</v>
      </c>
      <c r="H22" s="312">
        <f t="shared" ref="H22:H26" si="2">(E22-I22)/I22</f>
        <v>-0.25983014922556902</v>
      </c>
      <c r="I22" s="318">
        <v>13111.627</v>
      </c>
      <c r="J22" s="130">
        <v>140032.57128</v>
      </c>
      <c r="K22" s="312">
        <f>I22/$I$26</f>
        <v>9.1756581507110552E-2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0"/>
      <c r="B23" s="420"/>
      <c r="C23" s="155" t="s">
        <v>6</v>
      </c>
      <c r="D23" s="318">
        <v>19162</v>
      </c>
      <c r="E23" s="130">
        <v>16887.364000000001</v>
      </c>
      <c r="F23" s="130">
        <v>183851.14382</v>
      </c>
      <c r="G23" s="312">
        <f>E23/$E$26</f>
        <v>0.13626412506535487</v>
      </c>
      <c r="H23" s="312">
        <f t="shared" si="2"/>
        <v>-0.11196223194255642</v>
      </c>
      <c r="I23" s="318">
        <v>19016.493000000002</v>
      </c>
      <c r="J23" s="130">
        <v>203097.29016</v>
      </c>
      <c r="K23" s="312">
        <f>I23/$I$26</f>
        <v>0.133079471367962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0"/>
      <c r="B24" s="420"/>
      <c r="C24" s="155" t="s">
        <v>7</v>
      </c>
      <c r="D24" s="318">
        <v>237684</v>
      </c>
      <c r="E24" s="130">
        <v>39443.1</v>
      </c>
      <c r="F24" s="130">
        <v>429412.7</v>
      </c>
      <c r="G24" s="312">
        <f>E24/$E$26</f>
        <v>0.31826633874684634</v>
      </c>
      <c r="H24" s="312">
        <f t="shared" si="2"/>
        <v>-0.15296171662096089</v>
      </c>
      <c r="I24" s="318">
        <v>46565.9</v>
      </c>
      <c r="J24" s="130">
        <v>497325.5</v>
      </c>
      <c r="K24" s="312">
        <f>I24/$I$26</f>
        <v>0.32587319627090972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0"/>
      <c r="B25" s="420"/>
      <c r="C25" s="155" t="s">
        <v>93</v>
      </c>
      <c r="D25" s="318">
        <v>35</v>
      </c>
      <c r="E25" s="130">
        <v>1082.0429999999999</v>
      </c>
      <c r="F25" s="130">
        <v>11780.08755</v>
      </c>
      <c r="G25" s="312">
        <f>E25/$E$26</f>
        <v>8.7310040026431449E-3</v>
      </c>
      <c r="H25" s="312">
        <f t="shared" si="2"/>
        <v>-7.8015374888591019E-2</v>
      </c>
      <c r="I25" s="318">
        <v>1173.6020000000001</v>
      </c>
      <c r="J25" s="130">
        <v>12534.11175</v>
      </c>
      <c r="K25" s="312">
        <f>I25/$I$26</f>
        <v>8.21299351864631E-3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21"/>
      <c r="B26" s="421"/>
      <c r="C26" s="323" t="s">
        <v>0</v>
      </c>
      <c r="D26" s="326">
        <v>257704</v>
      </c>
      <c r="E26" s="324">
        <v>123931.10800000001</v>
      </c>
      <c r="F26" s="324">
        <v>1349268.6036100001</v>
      </c>
      <c r="G26" s="325">
        <f>SUM(G21:G25)</f>
        <v>1</v>
      </c>
      <c r="H26" s="325">
        <f t="shared" si="2"/>
        <v>-0.13271672444094684</v>
      </c>
      <c r="I26" s="326">
        <v>142895.76600000003</v>
      </c>
      <c r="J26" s="324">
        <v>1526123.3855379999</v>
      </c>
      <c r="K26" s="325">
        <f>SUM(K21:K25)</f>
        <v>0.99999999999999989</v>
      </c>
    </row>
    <row r="27" spans="1:20" ht="11.1" customHeight="1">
      <c r="A27" s="488" t="str">
        <f>'3.1'!G5</f>
        <v>IV. čtvrtletí</v>
      </c>
      <c r="B27" s="419"/>
      <c r="C27" s="165" t="s">
        <v>4</v>
      </c>
      <c r="D27" s="317">
        <f>D21</f>
        <v>188</v>
      </c>
      <c r="E27" s="313">
        <f>E9+E15+E21</f>
        <v>185915.74699999997</v>
      </c>
      <c r="F27" s="313">
        <f>F9+F15+F21</f>
        <v>2031650.2630210002</v>
      </c>
      <c r="G27" s="314">
        <f>E27/$E$32</f>
        <v>0.57217192172681408</v>
      </c>
      <c r="H27" s="314">
        <f>(E27-I27)/I27</f>
        <v>2.371865906989688E-2</v>
      </c>
      <c r="I27" s="317">
        <f>I9+I15+I21</f>
        <v>181608.24299999999</v>
      </c>
      <c r="J27" s="313">
        <f>J9+J15+J21</f>
        <v>1940436.2082720003</v>
      </c>
      <c r="K27" s="314">
        <f>I27/$I$32</f>
        <v>0.49764302054473908</v>
      </c>
    </row>
    <row r="28" spans="1:20" ht="11.1" customHeight="1">
      <c r="A28" s="420"/>
      <c r="B28" s="420"/>
      <c r="C28" s="155" t="s">
        <v>5</v>
      </c>
      <c r="D28" s="318">
        <f>D22</f>
        <v>635</v>
      </c>
      <c r="E28" s="130">
        <f t="shared" ref="E28:F31" si="3">E10+E16+E22</f>
        <v>23377.457999999999</v>
      </c>
      <c r="F28" s="130">
        <f t="shared" si="3"/>
        <v>255247.63536000013</v>
      </c>
      <c r="G28" s="312">
        <f>E28/$E$32</f>
        <v>7.1946165318357277E-2</v>
      </c>
      <c r="H28" s="312">
        <f t="shared" ref="H28:H31" si="4">(E28-I28)/I28</f>
        <v>-0.3266647267048835</v>
      </c>
      <c r="I28" s="318">
        <f t="shared" ref="I28:J28" si="5">I10+I16+I22</f>
        <v>34718.896999999997</v>
      </c>
      <c r="J28" s="130">
        <f t="shared" si="5"/>
        <v>370927.28251000005</v>
      </c>
      <c r="K28" s="312">
        <f>I28/$I$32</f>
        <v>9.5136743176694238E-2</v>
      </c>
    </row>
    <row r="29" spans="1:20" ht="11.1" customHeight="1">
      <c r="A29" s="420"/>
      <c r="B29" s="420"/>
      <c r="C29" s="155" t="s">
        <v>6</v>
      </c>
      <c r="D29" s="318">
        <f>D23</f>
        <v>19162</v>
      </c>
      <c r="E29" s="130">
        <f t="shared" si="3"/>
        <v>34575.947</v>
      </c>
      <c r="F29" s="130">
        <f t="shared" si="3"/>
        <v>377347.80563000002</v>
      </c>
      <c r="G29" s="312">
        <f>E29/$E$32</f>
        <v>0.10641049163261289</v>
      </c>
      <c r="H29" s="312">
        <f t="shared" si="4"/>
        <v>-0.16749258209857343</v>
      </c>
      <c r="I29" s="318">
        <f t="shared" ref="I29:J29" si="6">I11+I17+I23</f>
        <v>41532.298999999999</v>
      </c>
      <c r="J29" s="130">
        <f t="shared" si="6"/>
        <v>443692.29203999997</v>
      </c>
      <c r="K29" s="312">
        <f>I29/$I$32</f>
        <v>0.11380683157937521</v>
      </c>
    </row>
    <row r="30" spans="1:20" ht="11.1" customHeight="1">
      <c r="A30" s="420"/>
      <c r="B30" s="420"/>
      <c r="C30" s="155" t="s">
        <v>7</v>
      </c>
      <c r="D30" s="318">
        <f>D24</f>
        <v>237684</v>
      </c>
      <c r="E30" s="130">
        <f t="shared" si="3"/>
        <v>78040.399999999994</v>
      </c>
      <c r="F30" s="130">
        <f t="shared" si="3"/>
        <v>851626</v>
      </c>
      <c r="G30" s="312">
        <f>E30/$E$32</f>
        <v>0.24017613548533501</v>
      </c>
      <c r="H30" s="312">
        <f t="shared" si="4"/>
        <v>-0.24612777894771415</v>
      </c>
      <c r="I30" s="318">
        <f t="shared" ref="I30:J30" si="7">I12+I18+I24</f>
        <v>103519.4</v>
      </c>
      <c r="J30" s="130">
        <f t="shared" si="7"/>
        <v>1105919.6000000001</v>
      </c>
      <c r="K30" s="312">
        <f>I30/$I$32</f>
        <v>0.28366392433508131</v>
      </c>
    </row>
    <row r="31" spans="1:20" ht="11.1" customHeight="1">
      <c r="A31" s="420"/>
      <c r="B31" s="420"/>
      <c r="C31" s="155" t="s">
        <v>93</v>
      </c>
      <c r="D31" s="318">
        <f>D25</f>
        <v>35</v>
      </c>
      <c r="E31" s="130">
        <f>E13+E19+E25</f>
        <v>3020.3159999999998</v>
      </c>
      <c r="F31" s="130">
        <f t="shared" si="3"/>
        <v>32990.91171</v>
      </c>
      <c r="G31" s="312">
        <f>E31/$E$32</f>
        <v>9.2952858368809625E-3</v>
      </c>
      <c r="H31" s="312">
        <f t="shared" si="4"/>
        <v>-0.15110636929642507</v>
      </c>
      <c r="I31" s="318">
        <f>I13+I19+I25</f>
        <v>3557.9439999999995</v>
      </c>
      <c r="J31" s="130">
        <f t="shared" ref="J31" si="8">J13+J19+J25</f>
        <v>38016.758239999996</v>
      </c>
      <c r="K31" s="312">
        <f>I31/$I$32</f>
        <v>9.749480364110075E-3</v>
      </c>
    </row>
    <row r="32" spans="1:20" ht="11.1" customHeight="1">
      <c r="A32" s="421"/>
      <c r="B32" s="421"/>
      <c r="C32" s="323" t="s">
        <v>0</v>
      </c>
      <c r="D32" s="326">
        <f>SUM(D27:D31)</f>
        <v>257704</v>
      </c>
      <c r="E32" s="324">
        <f>SUM(E27:E31)</f>
        <v>324929.8679999999</v>
      </c>
      <c r="F32" s="324">
        <f>SUM(F27:F31)</f>
        <v>3548862.6157210004</v>
      </c>
      <c r="G32" s="325">
        <f>SUM(G27:G31)</f>
        <v>1.0000000000000002</v>
      </c>
      <c r="H32" s="325">
        <f>(E32-I32)/I32</f>
        <v>-0.1096269733928139</v>
      </c>
      <c r="I32" s="326">
        <f>SUM(I27:I31)</f>
        <v>364936.783</v>
      </c>
      <c r="J32" s="324">
        <f>SUM(J27:J31)</f>
        <v>3898992.1410619998</v>
      </c>
      <c r="K32" s="325">
        <f>SUM(K27:K31)</f>
        <v>1</v>
      </c>
    </row>
    <row r="33" spans="1:11" ht="9.9499999999999993" customHeight="1">
      <c r="A33" s="363"/>
      <c r="B33" s="364"/>
      <c r="C33" s="365"/>
      <c r="D33" s="366"/>
      <c r="E33" s="366"/>
      <c r="F33" s="366"/>
      <c r="G33" s="367"/>
      <c r="H33" s="368"/>
      <c r="I33" s="366"/>
      <c r="J33" s="366"/>
      <c r="K33" s="367"/>
    </row>
    <row r="34" spans="1:11" ht="12.95" customHeight="1">
      <c r="A34" s="513" t="s">
        <v>45</v>
      </c>
      <c r="B34" s="513"/>
      <c r="C34" s="513"/>
      <c r="D34" s="478">
        <f>D4</f>
        <v>2022</v>
      </c>
      <c r="E34" s="358"/>
      <c r="F34" s="347"/>
      <c r="G34" s="347"/>
      <c r="H34" s="347"/>
      <c r="I34" s="478">
        <f>D34-1</f>
        <v>2021</v>
      </c>
      <c r="J34" s="479"/>
      <c r="K34" s="479"/>
    </row>
    <row r="35" spans="1:11" ht="24.95" customHeight="1">
      <c r="A35" s="309"/>
      <c r="B35" s="277"/>
      <c r="C35" s="151"/>
      <c r="D35" s="480"/>
      <c r="E35" s="360"/>
      <c r="F35" s="361"/>
      <c r="G35" s="361"/>
      <c r="H35" s="362"/>
      <c r="I35" s="480"/>
      <c r="J35" s="481"/>
      <c r="K35" s="481"/>
    </row>
    <row r="36" spans="1:11" ht="24.95" customHeight="1">
      <c r="A36" s="131"/>
      <c r="B36" s="132"/>
      <c r="C36" s="357"/>
      <c r="D36" s="369" t="s">
        <v>160</v>
      </c>
      <c r="E36" s="476" t="s">
        <v>60</v>
      </c>
      <c r="F36" s="476"/>
      <c r="G36" s="477" t="s">
        <v>33</v>
      </c>
      <c r="H36" s="477" t="s">
        <v>272</v>
      </c>
      <c r="I36" s="475" t="s">
        <v>60</v>
      </c>
      <c r="J36" s="476"/>
      <c r="K36" s="477" t="s">
        <v>33</v>
      </c>
    </row>
    <row r="37" spans="1:11" ht="24.95" customHeight="1">
      <c r="A37" s="131"/>
      <c r="B37" s="311"/>
      <c r="C37" s="311"/>
      <c r="D37" s="370"/>
      <c r="E37" s="476"/>
      <c r="F37" s="476"/>
      <c r="G37" s="477"/>
      <c r="H37" s="477"/>
      <c r="I37" s="475"/>
      <c r="J37" s="476"/>
      <c r="K37" s="477"/>
    </row>
    <row r="38" spans="1:11" ht="15" customHeight="1">
      <c r="A38" s="514" t="s">
        <v>159</v>
      </c>
      <c r="B38" s="514"/>
      <c r="C38" s="371" t="s">
        <v>185</v>
      </c>
      <c r="D38" s="348"/>
      <c r="E38" s="222" t="s">
        <v>263</v>
      </c>
      <c r="F38" s="222" t="s">
        <v>264</v>
      </c>
      <c r="G38" s="464"/>
      <c r="H38" s="464"/>
      <c r="I38" s="224" t="s">
        <v>263</v>
      </c>
      <c r="J38" s="222" t="s">
        <v>264</v>
      </c>
      <c r="K38" s="464"/>
    </row>
    <row r="39" spans="1:11" ht="11.1" customHeight="1">
      <c r="A39" s="419" t="str">
        <f>'3.1'!D5</f>
        <v>Říjen</v>
      </c>
      <c r="B39" s="419"/>
      <c r="C39" s="165" t="s">
        <v>4</v>
      </c>
      <c r="D39" s="317">
        <v>127</v>
      </c>
      <c r="E39" s="313">
        <v>70801.17</v>
      </c>
      <c r="F39" s="313">
        <v>776405.84511000011</v>
      </c>
      <c r="G39" s="314">
        <f>E39/$E$44</f>
        <v>0.84322443265778557</v>
      </c>
      <c r="H39" s="314">
        <f>(E39-I39)/I39</f>
        <v>0.28813836298658885</v>
      </c>
      <c r="I39" s="317">
        <v>54963.948000000004</v>
      </c>
      <c r="J39" s="313">
        <v>588039.46264000016</v>
      </c>
      <c r="K39" s="314">
        <f>I39/$I$44</f>
        <v>0.72326086054570249</v>
      </c>
    </row>
    <row r="40" spans="1:11" ht="11.1" customHeight="1">
      <c r="A40" s="420"/>
      <c r="B40" s="420"/>
      <c r="C40" s="155" t="s">
        <v>5</v>
      </c>
      <c r="D40" s="318">
        <v>314</v>
      </c>
      <c r="E40" s="130">
        <v>2420.9789999999998</v>
      </c>
      <c r="F40" s="130">
        <v>26533.323710000004</v>
      </c>
      <c r="G40" s="312">
        <f t="shared" ref="G40" si="9">E40/$E$44</f>
        <v>2.8833261424230882E-2</v>
      </c>
      <c r="H40" s="312">
        <f>(E40-I40)/I40</f>
        <v>-0.35029722616642262</v>
      </c>
      <c r="I40" s="318">
        <v>3726.2870000000003</v>
      </c>
      <c r="J40" s="130">
        <v>39860.192600000039</v>
      </c>
      <c r="K40" s="312">
        <f t="shared" ref="K40:K43" si="10">I40/$I$44</f>
        <v>4.9033550906136952E-2</v>
      </c>
    </row>
    <row r="41" spans="1:11" ht="11.1" customHeight="1">
      <c r="A41" s="420"/>
      <c r="B41" s="420"/>
      <c r="C41" s="155" t="s">
        <v>6</v>
      </c>
      <c r="D41" s="318">
        <v>12932</v>
      </c>
      <c r="E41" s="130">
        <v>3617.1879999999996</v>
      </c>
      <c r="F41" s="130">
        <v>39626.170929999993</v>
      </c>
      <c r="G41" s="312">
        <f>E41/$E$44</f>
        <v>4.3079814911484507E-2</v>
      </c>
      <c r="H41" s="312">
        <f t="shared" ref="H41:H43" si="11">(E41-I41)/I41</f>
        <v>-0.29609451030904271</v>
      </c>
      <c r="I41" s="318">
        <v>5138.741</v>
      </c>
      <c r="J41" s="130">
        <v>54963.632109999999</v>
      </c>
      <c r="K41" s="312">
        <f t="shared" si="10"/>
        <v>6.7619783021799745E-2</v>
      </c>
    </row>
    <row r="42" spans="1:11" ht="11.1" customHeight="1">
      <c r="A42" s="420"/>
      <c r="B42" s="420"/>
      <c r="C42" s="155" t="s">
        <v>7</v>
      </c>
      <c r="D42" s="318">
        <v>206441</v>
      </c>
      <c r="E42" s="130">
        <v>6763.3</v>
      </c>
      <c r="F42" s="130">
        <v>74124</v>
      </c>
      <c r="G42" s="312">
        <f>E42/$E$44</f>
        <v>8.0549231112909597E-2</v>
      </c>
      <c r="H42" s="312">
        <f t="shared" si="11"/>
        <v>-0.42194511158024289</v>
      </c>
      <c r="I42" s="318">
        <v>11700.1</v>
      </c>
      <c r="J42" s="130">
        <v>125157</v>
      </c>
      <c r="K42" s="312">
        <f t="shared" si="10"/>
        <v>0.15395954443575949</v>
      </c>
    </row>
    <row r="43" spans="1:11" ht="11.1" customHeight="1">
      <c r="A43" s="420"/>
      <c r="B43" s="420"/>
      <c r="C43" s="155" t="s">
        <v>93</v>
      </c>
      <c r="D43" s="318">
        <v>19</v>
      </c>
      <c r="E43" s="130">
        <v>362.16199999999998</v>
      </c>
      <c r="F43" s="130">
        <v>3969.1903200000002</v>
      </c>
      <c r="G43" s="312">
        <f>E43/$E$44</f>
        <v>4.3132598935894549E-3</v>
      </c>
      <c r="H43" s="312">
        <f t="shared" si="11"/>
        <v>-0.22209883517375739</v>
      </c>
      <c r="I43" s="318">
        <v>465.56299999999999</v>
      </c>
      <c r="J43" s="130">
        <v>4980.1780999999992</v>
      </c>
      <c r="K43" s="312">
        <f t="shared" si="10"/>
        <v>6.126261090601404E-3</v>
      </c>
    </row>
    <row r="44" spans="1:11" ht="11.1" customHeight="1">
      <c r="A44" s="421"/>
      <c r="B44" s="421"/>
      <c r="C44" s="323" t="s">
        <v>0</v>
      </c>
      <c r="D44" s="326">
        <v>219833</v>
      </c>
      <c r="E44" s="324">
        <v>83964.798999999999</v>
      </c>
      <c r="F44" s="324">
        <v>920658.53007000021</v>
      </c>
      <c r="G44" s="325">
        <f>SUM(G39:G43)</f>
        <v>1</v>
      </c>
      <c r="H44" s="325">
        <f>(E44-I44)/I44</f>
        <v>0.10487792434937422</v>
      </c>
      <c r="I44" s="326">
        <v>75994.638999999996</v>
      </c>
      <c r="J44" s="324">
        <v>813000.46545000025</v>
      </c>
      <c r="K44" s="325">
        <f>SUM(K39:K43)</f>
        <v>1</v>
      </c>
    </row>
    <row r="45" spans="1:11" ht="11.1" customHeight="1">
      <c r="A45" s="419" t="str">
        <f>'3.1'!E5</f>
        <v>Listopad</v>
      </c>
      <c r="B45" s="419"/>
      <c r="C45" s="165" t="s">
        <v>4</v>
      </c>
      <c r="D45" s="317">
        <v>127</v>
      </c>
      <c r="E45" s="313">
        <v>43178.66</v>
      </c>
      <c r="F45" s="313">
        <v>471856.06929299998</v>
      </c>
      <c r="G45" s="314">
        <f>E45/$E$50</f>
        <v>0.6430065668525099</v>
      </c>
      <c r="H45" s="314">
        <f>(E45-I45)/I45</f>
        <v>-0.5654003319607086</v>
      </c>
      <c r="I45" s="317">
        <v>99352.721999999994</v>
      </c>
      <c r="J45" s="313">
        <v>1060929.5834899999</v>
      </c>
      <c r="K45" s="314">
        <f>I45/$I$50</f>
        <v>0.76236295932491072</v>
      </c>
    </row>
    <row r="46" spans="1:11" ht="11.1" customHeight="1">
      <c r="A46" s="420"/>
      <c r="B46" s="420"/>
      <c r="C46" s="155" t="s">
        <v>5</v>
      </c>
      <c r="D46" s="318">
        <v>312</v>
      </c>
      <c r="E46" s="130">
        <v>3690.5860000000002</v>
      </c>
      <c r="F46" s="130">
        <v>40331.252950000024</v>
      </c>
      <c r="G46" s="312">
        <f t="shared" ref="G46:G49" si="12">E46/$E$50</f>
        <v>5.4959348750839819E-2</v>
      </c>
      <c r="H46" s="312">
        <f>(E46-I46)/I46</f>
        <v>-0.23837603803800497</v>
      </c>
      <c r="I46" s="318">
        <v>4845.68</v>
      </c>
      <c r="J46" s="130">
        <v>51743.315289999955</v>
      </c>
      <c r="K46" s="312">
        <f t="shared" ref="K46:K49" si="13">I46/$I$50</f>
        <v>3.7182342570760502E-2</v>
      </c>
    </row>
    <row r="47" spans="1:11" ht="11.1" customHeight="1">
      <c r="A47" s="420"/>
      <c r="B47" s="420"/>
      <c r="C47" s="155" t="s">
        <v>6</v>
      </c>
      <c r="D47" s="318">
        <v>12901.208000000001</v>
      </c>
      <c r="E47" s="130">
        <v>6821.2479999999996</v>
      </c>
      <c r="F47" s="130">
        <v>74522.381680000006</v>
      </c>
      <c r="G47" s="312">
        <f t="shared" si="12"/>
        <v>0.10158043946082507</v>
      </c>
      <c r="H47" s="312">
        <f t="shared" ref="H47:H49" si="14">(E47-I47)/I47</f>
        <v>-0.15647870300547798</v>
      </c>
      <c r="I47" s="318">
        <v>8086.634</v>
      </c>
      <c r="J47" s="130">
        <v>86339.293470000004</v>
      </c>
      <c r="K47" s="312">
        <f t="shared" si="13"/>
        <v>6.2051145686954003E-2</v>
      </c>
    </row>
    <row r="48" spans="1:11" ht="11.1" customHeight="1">
      <c r="A48" s="420"/>
      <c r="B48" s="420"/>
      <c r="C48" s="155" t="s">
        <v>7</v>
      </c>
      <c r="D48" s="318">
        <v>206286</v>
      </c>
      <c r="E48" s="130">
        <v>13071</v>
      </c>
      <c r="F48" s="130">
        <v>142842.4</v>
      </c>
      <c r="G48" s="312">
        <f t="shared" si="12"/>
        <v>0.19465029334697179</v>
      </c>
      <c r="H48" s="312">
        <f t="shared" si="14"/>
        <v>-0.25593865805966831</v>
      </c>
      <c r="I48" s="318">
        <v>17567.099999999999</v>
      </c>
      <c r="J48" s="130">
        <v>187586.6</v>
      </c>
      <c r="K48" s="312">
        <f t="shared" si="13"/>
        <v>0.13479757849771482</v>
      </c>
    </row>
    <row r="49" spans="1:11" ht="11.1" customHeight="1">
      <c r="A49" s="420"/>
      <c r="B49" s="420"/>
      <c r="C49" s="155" t="s">
        <v>93</v>
      </c>
      <c r="D49" s="318">
        <v>19</v>
      </c>
      <c r="E49" s="130">
        <v>389.702</v>
      </c>
      <c r="F49" s="130">
        <v>4258.7330199999997</v>
      </c>
      <c r="G49" s="312">
        <f t="shared" si="12"/>
        <v>5.8033515888533081E-3</v>
      </c>
      <c r="H49" s="312">
        <f t="shared" si="14"/>
        <v>-0.17073741642514542</v>
      </c>
      <c r="I49" s="318">
        <v>469.93799999999999</v>
      </c>
      <c r="J49" s="130">
        <v>5018.1261399999994</v>
      </c>
      <c r="K49" s="312">
        <f t="shared" si="13"/>
        <v>3.6059739196599959E-3</v>
      </c>
    </row>
    <row r="50" spans="1:11" ht="11.1" customHeight="1">
      <c r="A50" s="421"/>
      <c r="B50" s="421"/>
      <c r="C50" s="323" t="s">
        <v>0</v>
      </c>
      <c r="D50" s="326">
        <v>219645.20800000001</v>
      </c>
      <c r="E50" s="324">
        <v>67151.196000000011</v>
      </c>
      <c r="F50" s="324">
        <v>733810.83694300009</v>
      </c>
      <c r="G50" s="325">
        <f>SUM(G45:G49)</f>
        <v>0.99999999999999989</v>
      </c>
      <c r="H50" s="325">
        <f t="shared" ref="H50" si="15">(E50-I50)/I50</f>
        <v>-0.48472891860207801</v>
      </c>
      <c r="I50" s="326">
        <v>130322.07399999999</v>
      </c>
      <c r="J50" s="324">
        <v>1391616.91839</v>
      </c>
      <c r="K50" s="325">
        <f>SUM(K45:K49)</f>
        <v>1</v>
      </c>
    </row>
    <row r="51" spans="1:11" ht="11.1" customHeight="1">
      <c r="A51" s="419" t="str">
        <f>'3.1'!F5</f>
        <v>Prosinec</v>
      </c>
      <c r="B51" s="419"/>
      <c r="C51" s="165" t="s">
        <v>4</v>
      </c>
      <c r="D51" s="317">
        <v>127</v>
      </c>
      <c r="E51" s="313">
        <v>84480.475000000006</v>
      </c>
      <c r="F51" s="313">
        <v>922973.67133000004</v>
      </c>
      <c r="G51" s="314">
        <f>E51/$E$56</f>
        <v>0.70615875469603806</v>
      </c>
      <c r="H51" s="314">
        <f>(E51-I51)/I51</f>
        <v>-5.4354656650285132E-2</v>
      </c>
      <c r="I51" s="317">
        <v>89336.320000000007</v>
      </c>
      <c r="J51" s="313">
        <v>954045.08527999988</v>
      </c>
      <c r="K51" s="314">
        <f>I51/$I$56</f>
        <v>0.6859658392600656</v>
      </c>
    </row>
    <row r="52" spans="1:11" ht="11.1" customHeight="1">
      <c r="A52" s="420"/>
      <c r="B52" s="420"/>
      <c r="C52" s="155" t="s">
        <v>5</v>
      </c>
      <c r="D52" s="318">
        <v>314</v>
      </c>
      <c r="E52" s="130">
        <v>4551.2709999999997</v>
      </c>
      <c r="F52" s="130">
        <v>49549.299799999993</v>
      </c>
      <c r="G52" s="312">
        <f t="shared" ref="G52:G55" si="16">E52/$E$56</f>
        <v>3.8043345064574879E-2</v>
      </c>
      <c r="H52" s="312">
        <f t="shared" ref="H52:H55" si="17">(E52-I52)/I52</f>
        <v>-0.15577985548390441</v>
      </c>
      <c r="I52" s="318">
        <v>5391.0949999999993</v>
      </c>
      <c r="J52" s="130">
        <v>57577.040440000041</v>
      </c>
      <c r="K52" s="312">
        <f t="shared" ref="K52:K55" si="18">I52/$I$56</f>
        <v>4.1395336255240223E-2</v>
      </c>
    </row>
    <row r="53" spans="1:11" ht="11.1" customHeight="1">
      <c r="A53" s="420"/>
      <c r="B53" s="420"/>
      <c r="C53" s="155" t="s">
        <v>6</v>
      </c>
      <c r="D53" s="318">
        <v>12888.208000000001</v>
      </c>
      <c r="E53" s="130">
        <v>9969.3109999999997</v>
      </c>
      <c r="F53" s="130">
        <v>108504.54897</v>
      </c>
      <c r="G53" s="312">
        <f t="shared" si="16"/>
        <v>8.3331873322652517E-2</v>
      </c>
      <c r="H53" s="312">
        <f t="shared" si="17"/>
        <v>-0.1035166338383003</v>
      </c>
      <c r="I53" s="318">
        <v>11120.464</v>
      </c>
      <c r="J53" s="130">
        <v>118759.63959999999</v>
      </c>
      <c r="K53" s="312">
        <f t="shared" si="18"/>
        <v>8.5388097704509711E-2</v>
      </c>
    </row>
    <row r="54" spans="1:11" ht="11.1" customHeight="1">
      <c r="A54" s="420"/>
      <c r="B54" s="420"/>
      <c r="C54" s="155" t="s">
        <v>7</v>
      </c>
      <c r="D54" s="318">
        <v>206044</v>
      </c>
      <c r="E54" s="130">
        <v>20269</v>
      </c>
      <c r="F54" s="130">
        <v>220666.1</v>
      </c>
      <c r="G54" s="312">
        <f t="shared" si="16"/>
        <v>0.16942532341270566</v>
      </c>
      <c r="H54" s="312">
        <f t="shared" si="17"/>
        <v>-0.15295956404727282</v>
      </c>
      <c r="I54" s="318">
        <v>23929.200000000001</v>
      </c>
      <c r="J54" s="130">
        <v>255565</v>
      </c>
      <c r="K54" s="312">
        <f t="shared" si="18"/>
        <v>0.1837395334934544</v>
      </c>
    </row>
    <row r="55" spans="1:11" ht="11.1" customHeight="1">
      <c r="A55" s="420"/>
      <c r="B55" s="420"/>
      <c r="C55" s="155" t="s">
        <v>93</v>
      </c>
      <c r="D55" s="318">
        <v>19</v>
      </c>
      <c r="E55" s="130">
        <v>363.77100000000002</v>
      </c>
      <c r="F55" s="130">
        <v>3960.3273899999995</v>
      </c>
      <c r="G55" s="312">
        <f t="shared" si="16"/>
        <v>3.0407035040289779E-3</v>
      </c>
      <c r="H55" s="312">
        <f t="shared" si="17"/>
        <v>-0.2044861112933489</v>
      </c>
      <c r="I55" s="318">
        <v>457.27800000000002</v>
      </c>
      <c r="J55" s="130">
        <v>4883.7532199999996</v>
      </c>
      <c r="K55" s="312">
        <f t="shared" si="18"/>
        <v>3.5111932867300136E-3</v>
      </c>
    </row>
    <row r="56" spans="1:11" ht="11.1" customHeight="1">
      <c r="A56" s="421"/>
      <c r="B56" s="421"/>
      <c r="C56" s="323" t="s">
        <v>0</v>
      </c>
      <c r="D56" s="326">
        <v>219392.20800000001</v>
      </c>
      <c r="E56" s="324">
        <v>119633.82799999999</v>
      </c>
      <c r="F56" s="324">
        <v>1305653.9474900002</v>
      </c>
      <c r="G56" s="325">
        <f>SUM(G51:G55)</f>
        <v>1</v>
      </c>
      <c r="H56" s="325">
        <f t="shared" ref="H56" si="19">(E56-I56)/I56</f>
        <v>-8.1395794813192215E-2</v>
      </c>
      <c r="I56" s="326">
        <v>130234.35700000002</v>
      </c>
      <c r="J56" s="324">
        <v>1390830.5185399998</v>
      </c>
      <c r="K56" s="325">
        <f>SUM(K51:K55)</f>
        <v>0.99999999999999989</v>
      </c>
    </row>
    <row r="57" spans="1:11" ht="11.1" customHeight="1">
      <c r="A57" s="488" t="str">
        <f>'3.1'!G5</f>
        <v>IV. čtvrtletí</v>
      </c>
      <c r="B57" s="419"/>
      <c r="C57" s="165" t="s">
        <v>4</v>
      </c>
      <c r="D57" s="317">
        <f>D51</f>
        <v>127</v>
      </c>
      <c r="E57" s="313">
        <f>E39+E45+E51</f>
        <v>198460.30499999999</v>
      </c>
      <c r="F57" s="313">
        <f>F39+F45+F51</f>
        <v>2171235.5857330002</v>
      </c>
      <c r="G57" s="314">
        <f>E57/$E$62</f>
        <v>0.73300252905428476</v>
      </c>
      <c r="H57" s="314">
        <f>(E57-I57)/I57</f>
        <v>-0.18547970620019891</v>
      </c>
      <c r="I57" s="317">
        <f>I39+I45+I51</f>
        <v>243652.99</v>
      </c>
      <c r="J57" s="313">
        <f>J39+J45+J51</f>
        <v>2603014.1314099999</v>
      </c>
      <c r="K57" s="314">
        <f>I57/$I$62</f>
        <v>0.72397033234807429</v>
      </c>
    </row>
    <row r="58" spans="1:11" ht="11.1" customHeight="1">
      <c r="A58" s="420"/>
      <c r="B58" s="420"/>
      <c r="C58" s="155" t="s">
        <v>5</v>
      </c>
      <c r="D58" s="318">
        <f>D52</f>
        <v>314</v>
      </c>
      <c r="E58" s="130">
        <f t="shared" ref="E58:F59" si="20">E40+E46+E52</f>
        <v>10662.835999999999</v>
      </c>
      <c r="F58" s="130">
        <f t="shared" si="20"/>
        <v>116413.87646000001</v>
      </c>
      <c r="G58" s="312">
        <f t="shared" ref="G58:G61" si="21">E58/$E$62</f>
        <v>3.9382614850315148E-2</v>
      </c>
      <c r="H58" s="312">
        <f t="shared" ref="H58:H61" si="22">(E58-I58)/I58</f>
        <v>-0.23635403180190712</v>
      </c>
      <c r="I58" s="318">
        <f t="shared" ref="I58:J58" si="23">I40+I46+I52</f>
        <v>13963.062</v>
      </c>
      <c r="J58" s="130">
        <f t="shared" si="23"/>
        <v>149180.54833000002</v>
      </c>
      <c r="K58" s="312">
        <f t="shared" ref="K58:K61" si="24">I58/$I$62</f>
        <v>4.1488686991843472E-2</v>
      </c>
    </row>
    <row r="59" spans="1:11" ht="11.1" customHeight="1">
      <c r="A59" s="420"/>
      <c r="B59" s="420"/>
      <c r="C59" s="155" t="s">
        <v>6</v>
      </c>
      <c r="D59" s="318">
        <f>D53</f>
        <v>12888.208000000001</v>
      </c>
      <c r="E59" s="130">
        <f>E41+E47+E53</f>
        <v>20407.746999999999</v>
      </c>
      <c r="F59" s="130">
        <f t="shared" si="20"/>
        <v>222653.10158000002</v>
      </c>
      <c r="G59" s="312">
        <f t="shared" si="21"/>
        <v>7.5374922775111097E-2</v>
      </c>
      <c r="H59" s="312">
        <f t="shared" si="22"/>
        <v>-0.16175626561894213</v>
      </c>
      <c r="I59" s="318">
        <f>I41+I47+I53</f>
        <v>24345.839</v>
      </c>
      <c r="J59" s="130">
        <f t="shared" ref="J59" si="25">J41+J47+J53</f>
        <v>260062.56518000001</v>
      </c>
      <c r="K59" s="312">
        <f t="shared" si="24"/>
        <v>7.2339211401110701E-2</v>
      </c>
    </row>
    <row r="60" spans="1:11" ht="11.1" customHeight="1">
      <c r="A60" s="420"/>
      <c r="B60" s="420"/>
      <c r="C60" s="155" t="s">
        <v>7</v>
      </c>
      <c r="D60" s="318">
        <f>D54</f>
        <v>206044</v>
      </c>
      <c r="E60" s="130">
        <f t="shared" ref="E60:F61" si="26">E42+E48+E54</f>
        <v>40103.300000000003</v>
      </c>
      <c r="F60" s="130">
        <f t="shared" si="26"/>
        <v>437632.5</v>
      </c>
      <c r="G60" s="312">
        <f t="shared" si="21"/>
        <v>0.14811939507712993</v>
      </c>
      <c r="H60" s="312">
        <f t="shared" si="22"/>
        <v>-0.24612755750389109</v>
      </c>
      <c r="I60" s="318">
        <f t="shared" ref="I60:J60" si="27">I42+I48+I54</f>
        <v>53196.399999999994</v>
      </c>
      <c r="J60" s="130">
        <f t="shared" si="27"/>
        <v>568308.6</v>
      </c>
      <c r="K60" s="312">
        <f t="shared" si="24"/>
        <v>0.15806338098999359</v>
      </c>
    </row>
    <row r="61" spans="1:11" ht="11.1" customHeight="1">
      <c r="A61" s="420"/>
      <c r="B61" s="420"/>
      <c r="C61" s="155" t="s">
        <v>93</v>
      </c>
      <c r="D61" s="318">
        <f>D55</f>
        <v>19</v>
      </c>
      <c r="E61" s="130">
        <f>E43+E49+E55</f>
        <v>1115.635</v>
      </c>
      <c r="F61" s="130">
        <f t="shared" si="26"/>
        <v>12188.25073</v>
      </c>
      <c r="G61" s="312">
        <f t="shared" si="21"/>
        <v>4.120538243158888E-3</v>
      </c>
      <c r="H61" s="312">
        <f t="shared" si="22"/>
        <v>-0.19898634313125055</v>
      </c>
      <c r="I61" s="318">
        <f>I43+I49+I55</f>
        <v>1392.779</v>
      </c>
      <c r="J61" s="130">
        <f t="shared" ref="J61" si="28">J43+J49+J55</f>
        <v>14882.057459999996</v>
      </c>
      <c r="K61" s="312">
        <f t="shared" si="24"/>
        <v>4.1383882689780193E-3</v>
      </c>
    </row>
    <row r="62" spans="1:11" ht="11.1" customHeight="1">
      <c r="A62" s="421"/>
      <c r="B62" s="421"/>
      <c r="C62" s="323" t="s">
        <v>0</v>
      </c>
      <c r="D62" s="326">
        <f>SUM(D57:D61)</f>
        <v>219392.20800000001</v>
      </c>
      <c r="E62" s="324">
        <f>SUM(E57:E61)</f>
        <v>270749.82300000003</v>
      </c>
      <c r="F62" s="324">
        <f>SUM(F57:F61)</f>
        <v>2960123.3145030001</v>
      </c>
      <c r="G62" s="325">
        <f>SUM(G57:G61)</f>
        <v>0.99999999999999967</v>
      </c>
      <c r="H62" s="325">
        <f>(E62-I62)/I62</f>
        <v>-0.19551638032230867</v>
      </c>
      <c r="I62" s="326">
        <f>SUM(I57:I61)</f>
        <v>336551.06999999995</v>
      </c>
      <c r="J62" s="324">
        <f>SUM(J57:J61)</f>
        <v>3595447.9023799999</v>
      </c>
      <c r="K62" s="325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20"/>
  <sheetViews>
    <sheetView showGridLines="0" topLeftCell="A16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492" t="s">
        <v>311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12"/>
      <c r="B3" s="512"/>
      <c r="C3" s="512"/>
      <c r="D3" s="305"/>
      <c r="E3" s="305"/>
      <c r="F3" s="306"/>
      <c r="G3" s="307"/>
      <c r="H3" s="307"/>
      <c r="I3" s="307"/>
      <c r="J3" s="76"/>
      <c r="K3" s="76"/>
    </row>
    <row r="4" spans="1:16" ht="12.95" customHeight="1">
      <c r="A4" s="484" t="s">
        <v>46</v>
      </c>
      <c r="B4" s="484"/>
      <c r="C4" s="484"/>
      <c r="D4" s="478">
        <f>'3.1'!A4</f>
        <v>2022</v>
      </c>
      <c r="E4" s="358"/>
      <c r="F4" s="347"/>
      <c r="G4" s="347"/>
      <c r="H4" s="347"/>
      <c r="I4" s="478">
        <f>D4-1</f>
        <v>2021</v>
      </c>
      <c r="J4" s="479"/>
      <c r="K4" s="479"/>
    </row>
    <row r="5" spans="1:16" ht="24.95" customHeight="1">
      <c r="A5" s="359"/>
      <c r="B5" s="359"/>
      <c r="C5" s="359"/>
      <c r="D5" s="480"/>
      <c r="E5" s="360"/>
      <c r="F5" s="361"/>
      <c r="G5" s="361"/>
      <c r="H5" s="362"/>
      <c r="I5" s="480"/>
      <c r="J5" s="481"/>
      <c r="K5" s="481"/>
    </row>
    <row r="6" spans="1:16" ht="24.95" customHeight="1">
      <c r="A6" s="309"/>
      <c r="B6" s="277"/>
      <c r="C6" s="310"/>
      <c r="D6" s="369" t="s">
        <v>160</v>
      </c>
      <c r="E6" s="476" t="s">
        <v>60</v>
      </c>
      <c r="F6" s="476"/>
      <c r="G6" s="477" t="s">
        <v>33</v>
      </c>
      <c r="H6" s="477" t="s">
        <v>272</v>
      </c>
      <c r="I6" s="475" t="s">
        <v>60</v>
      </c>
      <c r="J6" s="476"/>
      <c r="K6" s="477" t="s">
        <v>33</v>
      </c>
    </row>
    <row r="7" spans="1:16" ht="24.95" customHeight="1">
      <c r="A7" s="309"/>
      <c r="B7" s="311"/>
      <c r="D7" s="370"/>
      <c r="E7" s="476"/>
      <c r="F7" s="476"/>
      <c r="G7" s="477"/>
      <c r="H7" s="477"/>
      <c r="I7" s="475"/>
      <c r="J7" s="476"/>
      <c r="K7" s="477"/>
    </row>
    <row r="8" spans="1:16" ht="15" customHeight="1">
      <c r="A8" s="485" t="s">
        <v>159</v>
      </c>
      <c r="B8" s="485"/>
      <c r="C8" s="328" t="s">
        <v>185</v>
      </c>
      <c r="D8" s="348"/>
      <c r="E8" s="222" t="s">
        <v>263</v>
      </c>
      <c r="F8" s="222" t="s">
        <v>264</v>
      </c>
      <c r="G8" s="464"/>
      <c r="H8" s="464"/>
      <c r="I8" s="224" t="s">
        <v>263</v>
      </c>
      <c r="J8" s="222" t="s">
        <v>264</v>
      </c>
      <c r="K8" s="464"/>
    </row>
    <row r="9" spans="1:16" ht="11.1" customHeight="1">
      <c r="A9" s="419" t="str">
        <f>'3.1'!D5</f>
        <v>Říjen</v>
      </c>
      <c r="B9" s="419"/>
      <c r="C9" s="165" t="s">
        <v>4</v>
      </c>
      <c r="D9" s="317">
        <v>95</v>
      </c>
      <c r="E9" s="313">
        <v>7708.3981599999997</v>
      </c>
      <c r="F9" s="313">
        <v>84473.673380000022</v>
      </c>
      <c r="G9" s="314">
        <f>E9/$E$14</f>
        <v>0.42026458522092336</v>
      </c>
      <c r="H9" s="314">
        <f>(E9-I9)/I9</f>
        <v>-0.20879848564462056</v>
      </c>
      <c r="I9" s="317">
        <v>9742.6483900000003</v>
      </c>
      <c r="J9" s="313">
        <v>104201.02647000001</v>
      </c>
      <c r="K9" s="314">
        <f>I9/$I$14</f>
        <v>0.36155583076115128</v>
      </c>
    </row>
    <row r="10" spans="1:16" ht="11.1" customHeight="1">
      <c r="A10" s="420"/>
      <c r="B10" s="420"/>
      <c r="C10" s="155" t="s">
        <v>5</v>
      </c>
      <c r="D10" s="318">
        <v>315</v>
      </c>
      <c r="E10" s="130">
        <v>2254.3790899999999</v>
      </c>
      <c r="F10" s="130">
        <v>24704.763419999996</v>
      </c>
      <c r="G10" s="312">
        <f>E10/$E$14</f>
        <v>0.12290954275117162</v>
      </c>
      <c r="H10" s="312">
        <f>(E10-I10)/I10</f>
        <v>-0.36445610379606141</v>
      </c>
      <c r="I10" s="318">
        <v>3547.1650400000003</v>
      </c>
      <c r="J10" s="130">
        <v>37938.276479999986</v>
      </c>
      <c r="K10" s="312">
        <f>I10/$I$14</f>
        <v>0.1316375334042115</v>
      </c>
      <c r="L10" s="94"/>
      <c r="N10" s="94"/>
      <c r="O10" s="94"/>
      <c r="P10" s="94"/>
    </row>
    <row r="11" spans="1:16" ht="11.1" customHeight="1">
      <c r="A11" s="420"/>
      <c r="B11" s="420"/>
      <c r="C11" s="155" t="s">
        <v>6</v>
      </c>
      <c r="D11" s="318">
        <v>10755</v>
      </c>
      <c r="E11" s="130">
        <v>3254.9534000000003</v>
      </c>
      <c r="F11" s="130">
        <v>35670.52691</v>
      </c>
      <c r="G11" s="312">
        <f>E11/$E$14</f>
        <v>0.17746120687730985</v>
      </c>
      <c r="H11" s="312">
        <f t="shared" ref="H11:H13" si="0">(E11-I11)/I11</f>
        <v>-0.32325251510254316</v>
      </c>
      <c r="I11" s="318">
        <v>4809.7015099999999</v>
      </c>
      <c r="J11" s="130">
        <v>51441.641040000002</v>
      </c>
      <c r="K11" s="312">
        <f>I11/$I$14</f>
        <v>0.17849105864747455</v>
      </c>
      <c r="L11" s="94"/>
      <c r="N11" s="94"/>
      <c r="O11" s="94"/>
      <c r="P11" s="94"/>
    </row>
    <row r="12" spans="1:16" ht="11.1" customHeight="1">
      <c r="A12" s="420"/>
      <c r="B12" s="420"/>
      <c r="C12" s="155" t="s">
        <v>7</v>
      </c>
      <c r="D12" s="318">
        <v>107810</v>
      </c>
      <c r="E12" s="130">
        <v>4956.8806299999997</v>
      </c>
      <c r="F12" s="130">
        <v>54322.317069999997</v>
      </c>
      <c r="G12" s="312">
        <f>E12/$E$14</f>
        <v>0.27025087945853843</v>
      </c>
      <c r="H12" s="312">
        <f t="shared" si="0"/>
        <v>-0.42480826533643062</v>
      </c>
      <c r="I12" s="318">
        <v>8617.7883500000007</v>
      </c>
      <c r="J12" s="130">
        <v>92176.022539999991</v>
      </c>
      <c r="K12" s="312">
        <f>I12/$I$14</f>
        <v>0.3198115647287586</v>
      </c>
      <c r="L12" s="94"/>
      <c r="N12" s="94"/>
      <c r="O12" s="94"/>
      <c r="P12" s="94"/>
    </row>
    <row r="13" spans="1:16" ht="11.1" customHeight="1">
      <c r="A13" s="420"/>
      <c r="B13" s="420"/>
      <c r="C13" s="155" t="s">
        <v>93</v>
      </c>
      <c r="D13" s="318">
        <v>15</v>
      </c>
      <c r="E13" s="130">
        <v>167.16300000000001</v>
      </c>
      <c r="F13" s="130">
        <v>1831.6843400000005</v>
      </c>
      <c r="G13" s="312">
        <f>E13/$E$14</f>
        <v>9.113785692056833E-3</v>
      </c>
      <c r="H13" s="312">
        <f t="shared" si="0"/>
        <v>-0.27051795088870745</v>
      </c>
      <c r="I13" s="318">
        <v>229.15299999999999</v>
      </c>
      <c r="J13" s="130">
        <v>2450.4485500000001</v>
      </c>
      <c r="K13" s="312">
        <f>I13/$I$14</f>
        <v>8.5040124584040422E-3</v>
      </c>
      <c r="L13" s="94"/>
      <c r="N13" s="94"/>
      <c r="O13" s="94"/>
      <c r="P13" s="94"/>
    </row>
    <row r="14" spans="1:16" ht="11.1" customHeight="1">
      <c r="A14" s="421"/>
      <c r="B14" s="421"/>
      <c r="C14" s="323" t="s">
        <v>0</v>
      </c>
      <c r="D14" s="326">
        <v>118990</v>
      </c>
      <c r="E14" s="324">
        <v>18341.774279999998</v>
      </c>
      <c r="F14" s="324">
        <v>201002.96512000004</v>
      </c>
      <c r="G14" s="325">
        <f>SUM(G9:G13)</f>
        <v>1</v>
      </c>
      <c r="H14" s="325">
        <f>(E14-I14)/I14</f>
        <v>-0.31932518017937872</v>
      </c>
      <c r="I14" s="326">
        <v>26946.456290000002</v>
      </c>
      <c r="J14" s="324">
        <v>288207.41507999995</v>
      </c>
      <c r="K14" s="325">
        <f>SUM(K9:K13)</f>
        <v>1</v>
      </c>
      <c r="L14" s="94"/>
    </row>
    <row r="15" spans="1:16" ht="11.1" customHeight="1">
      <c r="A15" s="419" t="str">
        <f>'3.1'!E5</f>
        <v>Listopad</v>
      </c>
      <c r="B15" s="419"/>
      <c r="C15" s="165" t="s">
        <v>4</v>
      </c>
      <c r="D15" s="317">
        <v>96</v>
      </c>
      <c r="E15" s="313">
        <v>9169.1966400000001</v>
      </c>
      <c r="F15" s="313">
        <v>100152.14035999999</v>
      </c>
      <c r="G15" s="314">
        <f>E15/$E$20</f>
        <v>0.32060085324005005</v>
      </c>
      <c r="H15" s="314">
        <f>(E15-I15)/I15</f>
        <v>-0.25031311224947278</v>
      </c>
      <c r="I15" s="317">
        <v>12230.70163</v>
      </c>
      <c r="J15" s="313">
        <v>130599.93624000001</v>
      </c>
      <c r="K15" s="314">
        <f>I15/$I$20</f>
        <v>0.32167061170979072</v>
      </c>
      <c r="L15" s="94"/>
      <c r="M15" s="94"/>
    </row>
    <row r="16" spans="1:16" ht="11.1" customHeight="1">
      <c r="A16" s="420"/>
      <c r="B16" s="420"/>
      <c r="C16" s="155" t="s">
        <v>5</v>
      </c>
      <c r="D16" s="318">
        <v>315</v>
      </c>
      <c r="E16" s="130">
        <v>3353.1611700000003</v>
      </c>
      <c r="F16" s="130">
        <v>36622.726630000005</v>
      </c>
      <c r="G16" s="312">
        <f>E16/$E$20</f>
        <v>0.11724324107781427</v>
      </c>
      <c r="H16" s="312">
        <f>(E16-I16)/I16</f>
        <v>-0.33007780179958407</v>
      </c>
      <c r="I16" s="318">
        <v>5005.2993899999992</v>
      </c>
      <c r="J16" s="130">
        <v>53446.362929999988</v>
      </c>
      <c r="K16" s="312">
        <f>I16/$I$20</f>
        <v>0.13164066668282728</v>
      </c>
      <c r="L16" s="98"/>
      <c r="M16" s="94"/>
    </row>
    <row r="17" spans="1:20" ht="11.1" customHeight="1">
      <c r="A17" s="420"/>
      <c r="B17" s="420"/>
      <c r="C17" s="155" t="s">
        <v>6</v>
      </c>
      <c r="D17" s="318">
        <v>10727</v>
      </c>
      <c r="E17" s="130">
        <v>6239.9809000000005</v>
      </c>
      <c r="F17" s="130">
        <v>68162.434040000007</v>
      </c>
      <c r="G17" s="312">
        <f>E17/$E$20</f>
        <v>0.21818085916211907</v>
      </c>
      <c r="H17" s="312">
        <f t="shared" ref="H17:H20" si="1">(E17-I17)/I17</f>
        <v>-0.17459125422152888</v>
      </c>
      <c r="I17" s="318">
        <v>7559.8676800000003</v>
      </c>
      <c r="J17" s="130">
        <v>80725.040430000008</v>
      </c>
      <c r="K17" s="312">
        <f>I17/$I$20</f>
        <v>0.19882647248183069</v>
      </c>
      <c r="L17" s="94"/>
      <c r="M17" s="94"/>
      <c r="N17" s="94"/>
      <c r="O17" s="94"/>
    </row>
    <row r="18" spans="1:20" ht="11.1" customHeight="1">
      <c r="A18" s="420"/>
      <c r="B18" s="420"/>
      <c r="C18" s="155" t="s">
        <v>7</v>
      </c>
      <c r="D18" s="318">
        <v>107730</v>
      </c>
      <c r="E18" s="130">
        <v>9647.4444600000006</v>
      </c>
      <c r="F18" s="130">
        <v>105396.99357000001</v>
      </c>
      <c r="G18" s="312">
        <f>E18/$E$20</f>
        <v>0.3373227826709575</v>
      </c>
      <c r="H18" s="312">
        <f t="shared" si="1"/>
        <v>-0.25767176239302492</v>
      </c>
      <c r="I18" s="318">
        <v>12996.197600000001</v>
      </c>
      <c r="J18" s="130">
        <v>138774.90554000001</v>
      </c>
      <c r="K18" s="312">
        <f>I18/$I$20</f>
        <v>0.34180335342652901</v>
      </c>
      <c r="L18" s="94"/>
      <c r="M18" s="94"/>
      <c r="N18" s="94"/>
      <c r="O18" s="94"/>
    </row>
    <row r="19" spans="1:20" ht="11.1" customHeight="1">
      <c r="A19" s="420"/>
      <c r="B19" s="420"/>
      <c r="C19" s="155" t="s">
        <v>93</v>
      </c>
      <c r="D19" s="318">
        <v>15</v>
      </c>
      <c r="E19" s="130">
        <v>190.255</v>
      </c>
      <c r="F19" s="130">
        <v>2077.3048900000003</v>
      </c>
      <c r="G19" s="312">
        <f>E19/$E$20</f>
        <v>6.6522638490590508E-3</v>
      </c>
      <c r="H19" s="312">
        <f t="shared" si="1"/>
        <v>-0.17414725620078655</v>
      </c>
      <c r="I19" s="318">
        <v>230.374</v>
      </c>
      <c r="J19" s="130">
        <v>2459.9434499999998</v>
      </c>
      <c r="K19" s="312">
        <f>I19/$I$20</f>
        <v>6.0588956990222428E-3</v>
      </c>
      <c r="L19" s="94"/>
      <c r="M19" s="94"/>
      <c r="N19" s="94"/>
      <c r="O19" s="94"/>
    </row>
    <row r="20" spans="1:20" ht="11.1" customHeight="1">
      <c r="A20" s="421"/>
      <c r="B20" s="421"/>
      <c r="C20" s="323" t="s">
        <v>0</v>
      </c>
      <c r="D20" s="326">
        <v>118883</v>
      </c>
      <c r="E20" s="324">
        <v>28600.038170000003</v>
      </c>
      <c r="F20" s="324">
        <v>312411.59949000005</v>
      </c>
      <c r="G20" s="325">
        <f>SUM(G15:G19)</f>
        <v>0.99999999999999989</v>
      </c>
      <c r="H20" s="325">
        <f t="shared" si="1"/>
        <v>-0.24781160955626508</v>
      </c>
      <c r="I20" s="326">
        <v>38022.440300000002</v>
      </c>
      <c r="J20" s="324">
        <v>406006.18859000003</v>
      </c>
      <c r="K20" s="325">
        <f>SUM(K15:K19)</f>
        <v>1</v>
      </c>
      <c r="L20" s="94"/>
      <c r="M20" s="94"/>
      <c r="N20" s="94"/>
      <c r="O20" s="94"/>
    </row>
    <row r="21" spans="1:20" ht="11.1" customHeight="1">
      <c r="A21" s="419" t="str">
        <f>'3.1'!F5</f>
        <v>Prosinec</v>
      </c>
      <c r="B21" s="419"/>
      <c r="C21" s="165" t="s">
        <v>4</v>
      </c>
      <c r="D21" s="317">
        <v>96</v>
      </c>
      <c r="E21" s="313">
        <v>10340.711600000001</v>
      </c>
      <c r="F21" s="313">
        <v>112613.53289999999</v>
      </c>
      <c r="G21" s="314">
        <f>E21/$E$26</f>
        <v>0.26397204816807923</v>
      </c>
      <c r="H21" s="314">
        <f>(E21-I21)/I21</f>
        <v>-0.17749437182978262</v>
      </c>
      <c r="I21" s="317">
        <v>12572.207710000001</v>
      </c>
      <c r="J21" s="313">
        <v>134258.92968</v>
      </c>
      <c r="K21" s="314">
        <f>I21/$I$26</f>
        <v>0.27261108165435954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0"/>
      <c r="B22" s="420"/>
      <c r="C22" s="155" t="s">
        <v>5</v>
      </c>
      <c r="D22" s="318">
        <v>319</v>
      </c>
      <c r="E22" s="130">
        <v>4544.0530500000004</v>
      </c>
      <c r="F22" s="130">
        <v>49487.853430000032</v>
      </c>
      <c r="G22" s="312">
        <f>E22/$E$26</f>
        <v>0.11599810893023139</v>
      </c>
      <c r="H22" s="312">
        <f t="shared" ref="H22:H26" si="2">(E22-I22)/I22</f>
        <v>-0.15896992623913656</v>
      </c>
      <c r="I22" s="318">
        <v>5402.9614300000003</v>
      </c>
      <c r="J22" s="130">
        <v>57697.803639999969</v>
      </c>
      <c r="K22" s="312">
        <f>I22/$I$26</f>
        <v>0.11715580855361839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0"/>
      <c r="B23" s="420"/>
      <c r="C23" s="155" t="s">
        <v>6</v>
      </c>
      <c r="D23" s="318">
        <v>10764</v>
      </c>
      <c r="E23" s="130">
        <v>9159.7299899999998</v>
      </c>
      <c r="F23" s="130">
        <v>99748.748039999991</v>
      </c>
      <c r="G23" s="312">
        <f>E23/$E$26</f>
        <v>0.23382459347641796</v>
      </c>
      <c r="H23" s="312">
        <f t="shared" si="2"/>
        <v>-0.11350320128898508</v>
      </c>
      <c r="I23" s="318">
        <v>10332.502050000001</v>
      </c>
      <c r="J23" s="130">
        <v>110341.70385000002</v>
      </c>
      <c r="K23" s="312">
        <f>I23/$I$26</f>
        <v>0.22404613612976867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0"/>
      <c r="B24" s="420"/>
      <c r="C24" s="155" t="s">
        <v>7</v>
      </c>
      <c r="D24" s="318">
        <v>108125</v>
      </c>
      <c r="E24" s="130">
        <v>14946.874099999999</v>
      </c>
      <c r="F24" s="130">
        <v>162755.14603</v>
      </c>
      <c r="G24" s="312">
        <f>E24/$E$26</f>
        <v>0.38155565327703511</v>
      </c>
      <c r="H24" s="312">
        <f t="shared" si="2"/>
        <v>-0.15055328728994072</v>
      </c>
      <c r="I24" s="318">
        <v>17596.011470000001</v>
      </c>
      <c r="J24" s="130">
        <v>187915.48189000002</v>
      </c>
      <c r="K24" s="312">
        <f>I24/$I$26</f>
        <v>0.38154537614135686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0"/>
      <c r="B25" s="420"/>
      <c r="C25" s="155" t="s">
        <v>93</v>
      </c>
      <c r="D25" s="318">
        <v>15</v>
      </c>
      <c r="E25" s="130">
        <v>182.14100000000002</v>
      </c>
      <c r="F25" s="130">
        <v>1984.1538999999998</v>
      </c>
      <c r="G25" s="312">
        <f>E25/$E$26</f>
        <v>4.6495961482362702E-3</v>
      </c>
      <c r="H25" s="312">
        <f t="shared" si="2"/>
        <v>-0.14911239839297386</v>
      </c>
      <c r="I25" s="318">
        <v>214.06</v>
      </c>
      <c r="J25" s="130">
        <v>2285.71362</v>
      </c>
      <c r="K25" s="312">
        <f>I25/$I$26</f>
        <v>4.6415975208965263E-3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21"/>
      <c r="B26" s="421"/>
      <c r="C26" s="323" t="s">
        <v>0</v>
      </c>
      <c r="D26" s="326">
        <v>119319</v>
      </c>
      <c r="E26" s="324">
        <v>39173.509740000001</v>
      </c>
      <c r="F26" s="324">
        <v>426589.43429999996</v>
      </c>
      <c r="G26" s="325">
        <f>SUM(G21:G25)</f>
        <v>0.99999999999999989</v>
      </c>
      <c r="H26" s="325">
        <f t="shared" si="2"/>
        <v>-0.15057616699056367</v>
      </c>
      <c r="I26" s="326">
        <v>46117.742660000004</v>
      </c>
      <c r="J26" s="324">
        <v>492499.63267999998</v>
      </c>
      <c r="K26" s="325">
        <f>SUM(K21:K25)</f>
        <v>1</v>
      </c>
    </row>
    <row r="27" spans="1:20" ht="11.1" customHeight="1">
      <c r="A27" s="488" t="str">
        <f>'3.1'!G5</f>
        <v>IV. čtvrtletí</v>
      </c>
      <c r="B27" s="419"/>
      <c r="C27" s="165" t="s">
        <v>4</v>
      </c>
      <c r="D27" s="317">
        <f>D21</f>
        <v>96</v>
      </c>
      <c r="E27" s="313">
        <f>E9+E15+E21</f>
        <v>27218.306400000001</v>
      </c>
      <c r="F27" s="313">
        <f>F9+F15+F21</f>
        <v>297239.34664</v>
      </c>
      <c r="G27" s="314">
        <f>E27/$E$32</f>
        <v>0.31606810156207815</v>
      </c>
      <c r="H27" s="314">
        <f>(E27-I27)/I27</f>
        <v>-0.21210401022522438</v>
      </c>
      <c r="I27" s="317">
        <f>I9+I15+I21</f>
        <v>34545.55773</v>
      </c>
      <c r="J27" s="313">
        <f>J9+J15+J21</f>
        <v>369059.89239000005</v>
      </c>
      <c r="K27" s="314">
        <f>I27/$I$32</f>
        <v>0.31097851157649453</v>
      </c>
    </row>
    <row r="28" spans="1:20" ht="11.1" customHeight="1">
      <c r="A28" s="420"/>
      <c r="B28" s="420"/>
      <c r="C28" s="155" t="s">
        <v>5</v>
      </c>
      <c r="D28" s="318">
        <f>D22</f>
        <v>319</v>
      </c>
      <c r="E28" s="130">
        <f t="shared" ref="E28:F31" si="3">E10+E16+E22</f>
        <v>10151.59331</v>
      </c>
      <c r="F28" s="130">
        <f t="shared" si="3"/>
        <v>110815.34348000004</v>
      </c>
      <c r="G28" s="312">
        <f>E28/$E$32</f>
        <v>0.11788370584739957</v>
      </c>
      <c r="H28" s="312">
        <f t="shared" ref="H28:H31" si="4">(E28-I28)/I28</f>
        <v>-0.27257015215155889</v>
      </c>
      <c r="I28" s="318">
        <f t="shared" ref="I28:J28" si="5">I10+I16+I22</f>
        <v>13955.425859999999</v>
      </c>
      <c r="J28" s="130">
        <f t="shared" si="5"/>
        <v>149082.44304999994</v>
      </c>
      <c r="K28" s="312">
        <f>I28/$I$32</f>
        <v>0.12562650156868435</v>
      </c>
    </row>
    <row r="29" spans="1:20" ht="11.1" customHeight="1">
      <c r="A29" s="420"/>
      <c r="B29" s="420"/>
      <c r="C29" s="155" t="s">
        <v>6</v>
      </c>
      <c r="D29" s="318">
        <f>D23</f>
        <v>10764</v>
      </c>
      <c r="E29" s="130">
        <f t="shared" si="3"/>
        <v>18654.664290000001</v>
      </c>
      <c r="F29" s="130">
        <f t="shared" si="3"/>
        <v>203581.70899000001</v>
      </c>
      <c r="G29" s="312">
        <f>E29/$E$32</f>
        <v>0.21662421756770997</v>
      </c>
      <c r="H29" s="312">
        <f t="shared" si="4"/>
        <v>-0.17828359832069668</v>
      </c>
      <c r="I29" s="318">
        <f t="shared" ref="I29:J29" si="6">I11+I17+I23</f>
        <v>22702.071240000001</v>
      </c>
      <c r="J29" s="130">
        <f t="shared" si="6"/>
        <v>242508.38532000003</v>
      </c>
      <c r="K29" s="312">
        <f>I29/$I$32</f>
        <v>0.20436365159008085</v>
      </c>
    </row>
    <row r="30" spans="1:20" ht="11.1" customHeight="1">
      <c r="A30" s="420"/>
      <c r="B30" s="420"/>
      <c r="C30" s="155" t="s">
        <v>7</v>
      </c>
      <c r="D30" s="318">
        <f>D24</f>
        <v>108125</v>
      </c>
      <c r="E30" s="130">
        <f t="shared" si="3"/>
        <v>29551.199189999999</v>
      </c>
      <c r="F30" s="130">
        <f t="shared" si="3"/>
        <v>322474.45666999999</v>
      </c>
      <c r="G30" s="312">
        <f>E30/$E$32</f>
        <v>0.3431584349739748</v>
      </c>
      <c r="H30" s="312">
        <f t="shared" si="4"/>
        <v>-0.24633508965938616</v>
      </c>
      <c r="I30" s="318">
        <f t="shared" ref="I30:J30" si="7">I12+I18+I24</f>
        <v>39209.99742</v>
      </c>
      <c r="J30" s="130">
        <f t="shared" si="7"/>
        <v>418866.40997000004</v>
      </c>
      <c r="K30" s="312">
        <f>I30/$I$32</f>
        <v>0.35296771677247402</v>
      </c>
    </row>
    <row r="31" spans="1:20" ht="11.1" customHeight="1">
      <c r="A31" s="420"/>
      <c r="B31" s="420"/>
      <c r="C31" s="155" t="s">
        <v>93</v>
      </c>
      <c r="D31" s="318">
        <f>D25</f>
        <v>15</v>
      </c>
      <c r="E31" s="130">
        <f>E13+E19+E25</f>
        <v>539.55899999999997</v>
      </c>
      <c r="F31" s="130">
        <f t="shared" si="3"/>
        <v>5893.1431300000004</v>
      </c>
      <c r="G31" s="312">
        <f>E31/$E$32</f>
        <v>6.2655400488376206E-3</v>
      </c>
      <c r="H31" s="312">
        <f t="shared" si="4"/>
        <v>-0.1989765241906391</v>
      </c>
      <c r="I31" s="318">
        <f>I13+I19+I25</f>
        <v>673.58699999999999</v>
      </c>
      <c r="J31" s="130">
        <f t="shared" ref="J31" si="8">J13+J19+J25</f>
        <v>7196.1056200000003</v>
      </c>
      <c r="K31" s="312">
        <f>I31/$I$32</f>
        <v>6.0636184922661608E-3</v>
      </c>
    </row>
    <row r="32" spans="1:20" ht="11.1" customHeight="1">
      <c r="A32" s="421"/>
      <c r="B32" s="421"/>
      <c r="C32" s="323" t="s">
        <v>0</v>
      </c>
      <c r="D32" s="326">
        <f>SUM(D27:D31)</f>
        <v>119319</v>
      </c>
      <c r="E32" s="324">
        <f>SUM(E27:E31)</f>
        <v>86115.322189999992</v>
      </c>
      <c r="F32" s="324">
        <f>SUM(F27:F31)</f>
        <v>940003.99891000008</v>
      </c>
      <c r="G32" s="325">
        <f>SUM(G27:G31)</f>
        <v>1.0000000000000002</v>
      </c>
      <c r="H32" s="325">
        <f>(E32-I32)/I32</f>
        <v>-0.22479136310715256</v>
      </c>
      <c r="I32" s="326">
        <f>SUM(I27:I31)</f>
        <v>111086.63925000001</v>
      </c>
      <c r="J32" s="324">
        <f>SUM(J27:J31)</f>
        <v>1186713.2363500001</v>
      </c>
      <c r="K32" s="325">
        <f>SUM(K27:K31)</f>
        <v>0.99999999999999989</v>
      </c>
    </row>
    <row r="33" spans="1:11" ht="9.9499999999999993" customHeight="1">
      <c r="A33" s="363"/>
      <c r="B33" s="364"/>
      <c r="C33" s="365"/>
      <c r="D33" s="366"/>
      <c r="E33" s="366"/>
      <c r="F33" s="366"/>
      <c r="G33" s="367"/>
      <c r="H33" s="368"/>
      <c r="I33" s="366"/>
      <c r="J33" s="366"/>
      <c r="K33" s="367"/>
    </row>
    <row r="34" spans="1:11" ht="12.95" customHeight="1">
      <c r="A34" s="513" t="s">
        <v>47</v>
      </c>
      <c r="B34" s="513"/>
      <c r="C34" s="513"/>
      <c r="D34" s="478">
        <f>D4</f>
        <v>2022</v>
      </c>
      <c r="E34" s="358"/>
      <c r="F34" s="347"/>
      <c r="G34" s="347"/>
      <c r="H34" s="347"/>
      <c r="I34" s="478">
        <f>D34-1</f>
        <v>2021</v>
      </c>
      <c r="J34" s="479"/>
      <c r="K34" s="479"/>
    </row>
    <row r="35" spans="1:11" ht="24.95" customHeight="1">
      <c r="A35" s="309"/>
      <c r="B35" s="277"/>
      <c r="C35" s="151"/>
      <c r="D35" s="480"/>
      <c r="E35" s="360"/>
      <c r="F35" s="361"/>
      <c r="G35" s="361"/>
      <c r="H35" s="362"/>
      <c r="I35" s="480"/>
      <c r="J35" s="481"/>
      <c r="K35" s="481"/>
    </row>
    <row r="36" spans="1:11" ht="24.95" customHeight="1">
      <c r="A36" s="131"/>
      <c r="B36" s="132"/>
      <c r="C36" s="357"/>
      <c r="D36" s="369" t="s">
        <v>160</v>
      </c>
      <c r="E36" s="476" t="s">
        <v>60</v>
      </c>
      <c r="F36" s="476"/>
      <c r="G36" s="477" t="s">
        <v>33</v>
      </c>
      <c r="H36" s="477" t="s">
        <v>272</v>
      </c>
      <c r="I36" s="475" t="s">
        <v>60</v>
      </c>
      <c r="J36" s="476"/>
      <c r="K36" s="477" t="s">
        <v>33</v>
      </c>
    </row>
    <row r="37" spans="1:11" ht="24.95" customHeight="1">
      <c r="A37" s="131"/>
      <c r="B37" s="311"/>
      <c r="C37" s="311"/>
      <c r="D37" s="370"/>
      <c r="E37" s="476"/>
      <c r="F37" s="476"/>
      <c r="G37" s="477"/>
      <c r="H37" s="477"/>
      <c r="I37" s="475"/>
      <c r="J37" s="476"/>
      <c r="K37" s="477"/>
    </row>
    <row r="38" spans="1:11" ht="15" customHeight="1">
      <c r="A38" s="514" t="s">
        <v>159</v>
      </c>
      <c r="B38" s="514"/>
      <c r="C38" s="371" t="s">
        <v>185</v>
      </c>
      <c r="D38" s="348"/>
      <c r="E38" s="222" t="s">
        <v>263</v>
      </c>
      <c r="F38" s="222" t="s">
        <v>264</v>
      </c>
      <c r="G38" s="464"/>
      <c r="H38" s="464"/>
      <c r="I38" s="224" t="s">
        <v>263</v>
      </c>
      <c r="J38" s="222" t="s">
        <v>264</v>
      </c>
      <c r="K38" s="464"/>
    </row>
    <row r="39" spans="1:11" ht="11.1" customHeight="1">
      <c r="A39" s="419" t="str">
        <f>'3.1'!D5</f>
        <v>Říjen</v>
      </c>
      <c r="B39" s="419"/>
      <c r="C39" s="165" t="s">
        <v>4</v>
      </c>
      <c r="D39" s="317">
        <v>73</v>
      </c>
      <c r="E39" s="313">
        <v>8584.7430000000004</v>
      </c>
      <c r="F39" s="313">
        <v>94086.152619999993</v>
      </c>
      <c r="G39" s="314">
        <f>E39/$E$44</f>
        <v>0.39593505271605278</v>
      </c>
      <c r="H39" s="314">
        <f>(E39-I39)/I39</f>
        <v>-0.31569200674842729</v>
      </c>
      <c r="I39" s="317">
        <v>12545.144999999999</v>
      </c>
      <c r="J39" s="313">
        <v>134196.52498000002</v>
      </c>
      <c r="K39" s="314">
        <f>I39/$I$44</f>
        <v>0.37242636908525772</v>
      </c>
    </row>
    <row r="40" spans="1:11" ht="11.1" customHeight="1">
      <c r="A40" s="420"/>
      <c r="B40" s="420"/>
      <c r="C40" s="155" t="s">
        <v>5</v>
      </c>
      <c r="D40" s="318">
        <v>309</v>
      </c>
      <c r="E40" s="130">
        <v>2074.4900000000002</v>
      </c>
      <c r="F40" s="130">
        <v>22735.314239999996</v>
      </c>
      <c r="G40" s="312">
        <f t="shared" ref="G40" si="9">E40/$E$44</f>
        <v>9.5677099187351844E-2</v>
      </c>
      <c r="H40" s="312">
        <f>(E40-I40)/I40</f>
        <v>-0.3636076945400375</v>
      </c>
      <c r="I40" s="318">
        <v>3259.7660000000001</v>
      </c>
      <c r="J40" s="130">
        <v>34870.30210999999</v>
      </c>
      <c r="K40" s="312">
        <f t="shared" ref="K40:K43" si="10">I40/$I$44</f>
        <v>9.6772322316527576E-2</v>
      </c>
    </row>
    <row r="41" spans="1:11" ht="11.1" customHeight="1">
      <c r="A41" s="420"/>
      <c r="B41" s="420"/>
      <c r="C41" s="155" t="s">
        <v>6</v>
      </c>
      <c r="D41" s="318">
        <v>10788</v>
      </c>
      <c r="E41" s="130">
        <v>3739.4230000000002</v>
      </c>
      <c r="F41" s="130">
        <v>40982.683590000001</v>
      </c>
      <c r="G41" s="312">
        <f>E41/$E$44</f>
        <v>0.1724651096290967</v>
      </c>
      <c r="H41" s="312">
        <f t="shared" ref="H41:H43" si="11">(E41-I41)/I41</f>
        <v>-0.30221444877818299</v>
      </c>
      <c r="I41" s="318">
        <v>5358.9859999999999</v>
      </c>
      <c r="J41" s="130">
        <v>57325.551660000005</v>
      </c>
      <c r="K41" s="312">
        <f t="shared" si="10"/>
        <v>0.15909164046798416</v>
      </c>
    </row>
    <row r="42" spans="1:11" ht="11.1" customHeight="1">
      <c r="A42" s="420"/>
      <c r="B42" s="420"/>
      <c r="C42" s="155" t="s">
        <v>7</v>
      </c>
      <c r="D42" s="318">
        <v>143591</v>
      </c>
      <c r="E42" s="130">
        <v>7097.6</v>
      </c>
      <c r="F42" s="130">
        <v>77787.3</v>
      </c>
      <c r="G42" s="312">
        <f>E42/$E$44</f>
        <v>0.32734685594635232</v>
      </c>
      <c r="H42" s="312">
        <f t="shared" si="11"/>
        <v>-0.42193951931456303</v>
      </c>
      <c r="I42" s="318">
        <v>12278.3</v>
      </c>
      <c r="J42" s="130">
        <v>131342.39999999999</v>
      </c>
      <c r="K42" s="312">
        <f t="shared" si="10"/>
        <v>0.36450457029707667</v>
      </c>
    </row>
    <row r="43" spans="1:11" ht="11.1" customHeight="1">
      <c r="A43" s="420"/>
      <c r="B43" s="420"/>
      <c r="C43" s="155" t="s">
        <v>93</v>
      </c>
      <c r="D43" s="318">
        <v>11</v>
      </c>
      <c r="E43" s="130">
        <v>185.94399999999999</v>
      </c>
      <c r="F43" s="130">
        <v>2037.8941299999999</v>
      </c>
      <c r="G43" s="312">
        <f>E43/$E$44</f>
        <v>8.5758825211463777E-3</v>
      </c>
      <c r="H43" s="312">
        <f t="shared" si="11"/>
        <v>-0.2338619629753238</v>
      </c>
      <c r="I43" s="318">
        <v>242.703</v>
      </c>
      <c r="J43" s="130">
        <v>2596.2246400000008</v>
      </c>
      <c r="K43" s="312">
        <f t="shared" si="10"/>
        <v>7.2050978331537271E-3</v>
      </c>
    </row>
    <row r="44" spans="1:11" ht="11.1" customHeight="1">
      <c r="A44" s="421"/>
      <c r="B44" s="421"/>
      <c r="C44" s="323" t="s">
        <v>0</v>
      </c>
      <c r="D44" s="326">
        <v>154772</v>
      </c>
      <c r="E44" s="324">
        <v>21682.2</v>
      </c>
      <c r="F44" s="324">
        <v>237629.34458</v>
      </c>
      <c r="G44" s="325">
        <f>SUM(G39:G43)</f>
        <v>1</v>
      </c>
      <c r="H44" s="325">
        <f>(E44-I44)/I44</f>
        <v>-0.35632286276640274</v>
      </c>
      <c r="I44" s="326">
        <v>33684.9</v>
      </c>
      <c r="J44" s="324">
        <v>360331.00339000003</v>
      </c>
      <c r="K44" s="325">
        <f>SUM(K39:K43)</f>
        <v>0.99999999999999978</v>
      </c>
    </row>
    <row r="45" spans="1:11" ht="11.1" customHeight="1">
      <c r="A45" s="419" t="str">
        <f>'3.1'!E5</f>
        <v>Listopad</v>
      </c>
      <c r="B45" s="419"/>
      <c r="C45" s="165" t="s">
        <v>4</v>
      </c>
      <c r="D45" s="317">
        <v>73</v>
      </c>
      <c r="E45" s="313">
        <v>11057.97</v>
      </c>
      <c r="F45" s="313">
        <v>120843.29486999998</v>
      </c>
      <c r="G45" s="314">
        <f>E45/$E$50</f>
        <v>0.3143022403119724</v>
      </c>
      <c r="H45" s="314">
        <f>(E45-I45)/I45</f>
        <v>-0.2326649677646245</v>
      </c>
      <c r="I45" s="317">
        <v>14410.876</v>
      </c>
      <c r="J45" s="313">
        <v>153883.11583999998</v>
      </c>
      <c r="K45" s="314">
        <f>I45/$I$50</f>
        <v>0.3132111427708264</v>
      </c>
    </row>
    <row r="46" spans="1:11" ht="11.1" customHeight="1">
      <c r="A46" s="420"/>
      <c r="B46" s="420"/>
      <c r="C46" s="155" t="s">
        <v>5</v>
      </c>
      <c r="D46" s="318">
        <v>308</v>
      </c>
      <c r="E46" s="130">
        <v>3121.2659999999996</v>
      </c>
      <c r="F46" s="130">
        <v>34109.25852000001</v>
      </c>
      <c r="G46" s="312">
        <f t="shared" ref="G46:G49" si="12">E46/$E$50</f>
        <v>8.8716183568013723E-2</v>
      </c>
      <c r="H46" s="312">
        <f>(E46-I46)/I46</f>
        <v>-0.30750409893350089</v>
      </c>
      <c r="I46" s="318">
        <v>4507.2700000000004</v>
      </c>
      <c r="J46" s="130">
        <v>48130.436259999951</v>
      </c>
      <c r="K46" s="312">
        <f t="shared" ref="K46:K49" si="13">I46/$I$50</f>
        <v>9.7962621250551524E-2</v>
      </c>
    </row>
    <row r="47" spans="1:11" ht="11.1" customHeight="1">
      <c r="A47" s="420"/>
      <c r="B47" s="420"/>
      <c r="C47" s="155" t="s">
        <v>6</v>
      </c>
      <c r="D47" s="318">
        <v>10763</v>
      </c>
      <c r="E47" s="130">
        <v>7080.0519999999997</v>
      </c>
      <c r="F47" s="130">
        <v>77371.776440000001</v>
      </c>
      <c r="G47" s="312">
        <f t="shared" si="12"/>
        <v>0.20123731617333568</v>
      </c>
      <c r="H47" s="312">
        <f t="shared" ref="H47:H49" si="14">(E47-I47)/I47</f>
        <v>-0.15852330005721516</v>
      </c>
      <c r="I47" s="318">
        <v>8413.8419999999987</v>
      </c>
      <c r="J47" s="130">
        <v>89845.831099999996</v>
      </c>
      <c r="K47" s="312">
        <f t="shared" si="13"/>
        <v>0.1828694569235885</v>
      </c>
    </row>
    <row r="48" spans="1:11" ht="11.1" customHeight="1">
      <c r="A48" s="420"/>
      <c r="B48" s="420"/>
      <c r="C48" s="155" t="s">
        <v>7</v>
      </c>
      <c r="D48" s="318">
        <v>143483</v>
      </c>
      <c r="E48" s="130">
        <v>13717</v>
      </c>
      <c r="F48" s="130">
        <v>149901.9</v>
      </c>
      <c r="G48" s="312">
        <f t="shared" si="12"/>
        <v>0.38988022488389146</v>
      </c>
      <c r="H48" s="312">
        <f t="shared" si="14"/>
        <v>-0.25593833569293689</v>
      </c>
      <c r="I48" s="318">
        <v>18435.3</v>
      </c>
      <c r="J48" s="130">
        <v>196857.4</v>
      </c>
      <c r="K48" s="312">
        <f t="shared" si="13"/>
        <v>0.40067941604126051</v>
      </c>
    </row>
    <row r="49" spans="1:11" ht="11.1" customHeight="1">
      <c r="A49" s="420"/>
      <c r="B49" s="420"/>
      <c r="C49" s="155" t="s">
        <v>93</v>
      </c>
      <c r="D49" s="318">
        <v>11</v>
      </c>
      <c r="E49" s="130">
        <v>206.31200000000001</v>
      </c>
      <c r="F49" s="130">
        <v>2254.60331</v>
      </c>
      <c r="G49" s="312">
        <f t="shared" si="12"/>
        <v>5.8640350627867186E-3</v>
      </c>
      <c r="H49" s="312">
        <f t="shared" si="14"/>
        <v>-0.15032205986524552</v>
      </c>
      <c r="I49" s="318">
        <v>242.81200000000001</v>
      </c>
      <c r="J49" s="130">
        <v>2592.8163799999998</v>
      </c>
      <c r="K49" s="312">
        <f t="shared" si="13"/>
        <v>5.2773630137730636E-3</v>
      </c>
    </row>
    <row r="50" spans="1:11" ht="11.1" customHeight="1">
      <c r="A50" s="421"/>
      <c r="B50" s="421"/>
      <c r="C50" s="323" t="s">
        <v>0</v>
      </c>
      <c r="D50" s="326">
        <v>154638</v>
      </c>
      <c r="E50" s="324">
        <v>35182.6</v>
      </c>
      <c r="F50" s="324">
        <v>384480.83313999994</v>
      </c>
      <c r="G50" s="325">
        <f>SUM(G45:G49)</f>
        <v>1</v>
      </c>
      <c r="H50" s="325">
        <f t="shared" ref="H50" si="15">(E50-I50)/I50</f>
        <v>-0.23532876477121328</v>
      </c>
      <c r="I50" s="326">
        <v>46010.1</v>
      </c>
      <c r="J50" s="324">
        <v>491309.59957999992</v>
      </c>
      <c r="K50" s="325">
        <f>SUM(K45:K49)</f>
        <v>1</v>
      </c>
    </row>
    <row r="51" spans="1:11" ht="11.1" customHeight="1">
      <c r="A51" s="419" t="str">
        <f>'3.1'!F5</f>
        <v>Prosinec</v>
      </c>
      <c r="B51" s="419"/>
      <c r="C51" s="165" t="s">
        <v>4</v>
      </c>
      <c r="D51" s="317">
        <v>73</v>
      </c>
      <c r="E51" s="313">
        <v>12442.088000000002</v>
      </c>
      <c r="F51" s="313">
        <v>135455.98098999998</v>
      </c>
      <c r="G51" s="314">
        <f>E51/$E$56</f>
        <v>0.25841553888459651</v>
      </c>
      <c r="H51" s="314">
        <f>(E51-I51)/I51</f>
        <v>-0.29227273893347794</v>
      </c>
      <c r="I51" s="317">
        <v>17580.342999999997</v>
      </c>
      <c r="J51" s="313">
        <v>187758.98398000002</v>
      </c>
      <c r="K51" s="314">
        <f>I51/$I$56</f>
        <v>0.29607951550345168</v>
      </c>
    </row>
    <row r="52" spans="1:11" ht="11.1" customHeight="1">
      <c r="A52" s="420"/>
      <c r="B52" s="420"/>
      <c r="C52" s="155" t="s">
        <v>5</v>
      </c>
      <c r="D52" s="318">
        <v>308</v>
      </c>
      <c r="E52" s="130">
        <v>3892.2159999999999</v>
      </c>
      <c r="F52" s="130">
        <v>42373.764129999996</v>
      </c>
      <c r="G52" s="312">
        <f t="shared" ref="G52:G55" si="16">E52/$E$56</f>
        <v>8.0839252631491484E-2</v>
      </c>
      <c r="H52" s="312">
        <f t="shared" ref="H52:H55" si="17">(E52-I52)/I52</f>
        <v>-0.19363813308168731</v>
      </c>
      <c r="I52" s="318">
        <v>4826.8850000000002</v>
      </c>
      <c r="J52" s="130">
        <v>51551.819130000047</v>
      </c>
      <c r="K52" s="312">
        <f t="shared" ref="K52:K55" si="18">I52/$I$56</f>
        <v>8.1292030092409373E-2</v>
      </c>
    </row>
    <row r="53" spans="1:11" ht="11.1" customHeight="1">
      <c r="A53" s="420"/>
      <c r="B53" s="420"/>
      <c r="C53" s="155" t="s">
        <v>6</v>
      </c>
      <c r="D53" s="318">
        <v>10752</v>
      </c>
      <c r="E53" s="130">
        <v>10329.478999999999</v>
      </c>
      <c r="F53" s="130">
        <v>112455.69498</v>
      </c>
      <c r="G53" s="312">
        <f t="shared" si="16"/>
        <v>0.21453777550698266</v>
      </c>
      <c r="H53" s="312">
        <f t="shared" si="17"/>
        <v>-0.1120025824576848</v>
      </c>
      <c r="I53" s="318">
        <v>11632.33</v>
      </c>
      <c r="J53" s="130">
        <v>124234.22783</v>
      </c>
      <c r="K53" s="312">
        <f t="shared" si="18"/>
        <v>0.19590599742998566</v>
      </c>
    </row>
    <row r="54" spans="1:11" ht="10.5" customHeight="1">
      <c r="A54" s="420"/>
      <c r="B54" s="420"/>
      <c r="C54" s="155" t="s">
        <v>7</v>
      </c>
      <c r="D54" s="318">
        <v>143314</v>
      </c>
      <c r="E54" s="130">
        <v>21270.7</v>
      </c>
      <c r="F54" s="130">
        <v>231571.7</v>
      </c>
      <c r="G54" s="312">
        <f t="shared" si="16"/>
        <v>0.44178110643105778</v>
      </c>
      <c r="H54" s="312">
        <f t="shared" si="17"/>
        <v>-0.15295996304526155</v>
      </c>
      <c r="I54" s="318">
        <v>25111.8</v>
      </c>
      <c r="J54" s="130">
        <v>268195.3</v>
      </c>
      <c r="K54" s="312">
        <f t="shared" si="18"/>
        <v>0.42292062091277621</v>
      </c>
    </row>
    <row r="55" spans="1:11" ht="11.1" customHeight="1">
      <c r="A55" s="420"/>
      <c r="B55" s="420"/>
      <c r="C55" s="155" t="s">
        <v>93</v>
      </c>
      <c r="D55" s="318">
        <v>11</v>
      </c>
      <c r="E55" s="130">
        <v>213.11699999999999</v>
      </c>
      <c r="F55" s="130">
        <v>2320.1781900000001</v>
      </c>
      <c r="G55" s="312">
        <f t="shared" si="16"/>
        <v>4.4263265458714448E-3</v>
      </c>
      <c r="H55" s="312">
        <f t="shared" si="17"/>
        <v>-5.592667735733714E-2</v>
      </c>
      <c r="I55" s="318">
        <v>225.74199999999999</v>
      </c>
      <c r="J55" s="130">
        <v>2410.9326900000005</v>
      </c>
      <c r="K55" s="312">
        <f t="shared" si="18"/>
        <v>3.8018360613771979E-3</v>
      </c>
    </row>
    <row r="56" spans="1:11" ht="11.1" customHeight="1">
      <c r="A56" s="421"/>
      <c r="B56" s="421"/>
      <c r="C56" s="323" t="s">
        <v>0</v>
      </c>
      <c r="D56" s="326">
        <v>154458</v>
      </c>
      <c r="E56" s="324">
        <v>48147.600000000006</v>
      </c>
      <c r="F56" s="324">
        <v>524177.31829000002</v>
      </c>
      <c r="G56" s="325">
        <f>SUM(G51:G55)</f>
        <v>1</v>
      </c>
      <c r="H56" s="325">
        <f>(E56-I56)/I56</f>
        <v>-0.1891217321155797</v>
      </c>
      <c r="I56" s="326">
        <v>59377.099999999991</v>
      </c>
      <c r="J56" s="324">
        <v>634151.26363000006</v>
      </c>
      <c r="K56" s="325">
        <f>SUM(K51:K55)</f>
        <v>1.0000000000000002</v>
      </c>
    </row>
    <row r="57" spans="1:11" ht="11.1" customHeight="1">
      <c r="A57" s="488" t="str">
        <f>'3.1'!G5</f>
        <v>IV. čtvrtletí</v>
      </c>
      <c r="B57" s="419"/>
      <c r="C57" s="165" t="s">
        <v>4</v>
      </c>
      <c r="D57" s="317">
        <f>D51</f>
        <v>73</v>
      </c>
      <c r="E57" s="313">
        <f>E39+E45+E51</f>
        <v>32084.800999999999</v>
      </c>
      <c r="F57" s="313">
        <f>F39+F45+F51</f>
        <v>350385.42848</v>
      </c>
      <c r="G57" s="314">
        <f>E57/$E$62</f>
        <v>0.30553345128765741</v>
      </c>
      <c r="H57" s="314">
        <f>(E57-I57)/I57</f>
        <v>-0.27958193892972499</v>
      </c>
      <c r="I57" s="317">
        <f>I39+I45+I51</f>
        <v>44536.364000000001</v>
      </c>
      <c r="J57" s="313">
        <f>J39+J45+J51</f>
        <v>475838.62479999999</v>
      </c>
      <c r="K57" s="314">
        <f>I57/$I$62</f>
        <v>0.32023938662032142</v>
      </c>
    </row>
    <row r="58" spans="1:11" ht="11.1" customHeight="1">
      <c r="A58" s="420"/>
      <c r="B58" s="420"/>
      <c r="C58" s="155" t="s">
        <v>5</v>
      </c>
      <c r="D58" s="318">
        <f>D52</f>
        <v>308</v>
      </c>
      <c r="E58" s="130">
        <f t="shared" ref="E58:F59" si="19">E40+E46+E52</f>
        <v>9087.9719999999998</v>
      </c>
      <c r="F58" s="130">
        <f t="shared" si="19"/>
        <v>99218.336890000006</v>
      </c>
      <c r="G58" s="312">
        <f t="shared" ref="G58:G61" si="20">E58/$E$62</f>
        <v>8.6541894100125305E-2</v>
      </c>
      <c r="H58" s="312">
        <f t="shared" ref="H58:H61" si="21">(E58-I58)/I58</f>
        <v>-0.27838422997889223</v>
      </c>
      <c r="I58" s="318">
        <f t="shared" ref="I58:J58" si="22">I40+I46+I52</f>
        <v>12593.921</v>
      </c>
      <c r="J58" s="130">
        <f t="shared" si="22"/>
        <v>134552.5575</v>
      </c>
      <c r="K58" s="312">
        <f t="shared" ref="K58:K61" si="23">I58/$I$62</f>
        <v>9.0556775945714485E-2</v>
      </c>
    </row>
    <row r="59" spans="1:11" ht="11.1" customHeight="1">
      <c r="A59" s="420"/>
      <c r="B59" s="420"/>
      <c r="C59" s="155" t="s">
        <v>6</v>
      </c>
      <c r="D59" s="318">
        <f>D53</f>
        <v>10752</v>
      </c>
      <c r="E59" s="130">
        <f>E41+E47+E53</f>
        <v>21148.953999999998</v>
      </c>
      <c r="F59" s="130">
        <f t="shared" si="19"/>
        <v>230810.15500999999</v>
      </c>
      <c r="G59" s="312">
        <f t="shared" si="20"/>
        <v>0.20139482575391093</v>
      </c>
      <c r="H59" s="312">
        <f t="shared" si="21"/>
        <v>-0.16753306552944872</v>
      </c>
      <c r="I59" s="318">
        <f>I41+I47+I53</f>
        <v>25405.157999999996</v>
      </c>
      <c r="J59" s="130">
        <f t="shared" ref="J59" si="24">J41+J47+J53</f>
        <v>271405.61059</v>
      </c>
      <c r="K59" s="312">
        <f t="shared" si="23"/>
        <v>0.18267616581614857</v>
      </c>
    </row>
    <row r="60" spans="1:11" ht="11.1" customHeight="1">
      <c r="A60" s="420"/>
      <c r="B60" s="420"/>
      <c r="C60" s="155" t="s">
        <v>7</v>
      </c>
      <c r="D60" s="318">
        <f>D54</f>
        <v>143314</v>
      </c>
      <c r="E60" s="130">
        <f t="shared" ref="E60:F61" si="25">E42+E48+E54</f>
        <v>42085.3</v>
      </c>
      <c r="F60" s="130">
        <f t="shared" si="25"/>
        <v>459260.9</v>
      </c>
      <c r="G60" s="312">
        <f t="shared" si="20"/>
        <v>0.40076505250808475</v>
      </c>
      <c r="H60" s="312">
        <f t="shared" si="21"/>
        <v>-0.24612631526151166</v>
      </c>
      <c r="I60" s="318">
        <f t="shared" ref="I60:J60" si="26">I42+I48+I54</f>
        <v>55825.399999999994</v>
      </c>
      <c r="J60" s="130">
        <f t="shared" si="26"/>
        <v>596395.1</v>
      </c>
      <c r="K60" s="312">
        <f t="shared" si="23"/>
        <v>0.40141336759853335</v>
      </c>
    </row>
    <row r="61" spans="1:11" ht="11.1" customHeight="1">
      <c r="A61" s="420"/>
      <c r="B61" s="420"/>
      <c r="C61" s="155" t="s">
        <v>93</v>
      </c>
      <c r="D61" s="318">
        <f>D55</f>
        <v>11</v>
      </c>
      <c r="E61" s="130">
        <f>E43+E49+E55</f>
        <v>605.37299999999993</v>
      </c>
      <c r="F61" s="130">
        <f t="shared" si="25"/>
        <v>6612.6756299999997</v>
      </c>
      <c r="G61" s="312">
        <f t="shared" si="20"/>
        <v>5.7647763502214969E-3</v>
      </c>
      <c r="H61" s="312">
        <f t="shared" si="21"/>
        <v>-0.14886883362835096</v>
      </c>
      <c r="I61" s="318">
        <f>I43+I49+I55</f>
        <v>711.25699999999995</v>
      </c>
      <c r="J61" s="130">
        <f t="shared" ref="J61" si="27">J43+J49+J55</f>
        <v>7599.9737100000011</v>
      </c>
      <c r="K61" s="312">
        <f t="shared" si="23"/>
        <v>5.1143040192820838E-3</v>
      </c>
    </row>
    <row r="62" spans="1:11" ht="11.1" customHeight="1">
      <c r="A62" s="421"/>
      <c r="B62" s="421"/>
      <c r="C62" s="323" t="s">
        <v>0</v>
      </c>
      <c r="D62" s="326">
        <f>SUM(D57:D61)</f>
        <v>154458</v>
      </c>
      <c r="E62" s="324">
        <f>SUM(E57:E61)</f>
        <v>105012.40000000001</v>
      </c>
      <c r="F62" s="324">
        <f>SUM(F57:F61)</f>
        <v>1146287.4960099999</v>
      </c>
      <c r="G62" s="325">
        <f>SUM(G57:G61)</f>
        <v>1</v>
      </c>
      <c r="H62" s="325">
        <f>(E62-I62)/I62</f>
        <v>-0.24490677857025236</v>
      </c>
      <c r="I62" s="326">
        <f>SUM(I57:I61)</f>
        <v>139072.1</v>
      </c>
      <c r="J62" s="324">
        <f>SUM(J57:J61)</f>
        <v>1485791.8665999998</v>
      </c>
      <c r="K62" s="325">
        <f>SUM(K57:K61)</f>
        <v>0.99999999999999978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7"/>
  <sheetViews>
    <sheetView showGridLines="0" topLeftCell="A4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492" t="str">
        <f>"6.8 Spotřeba zemního plynu a teplota ovzduší podle krajů: "&amp;LOWER(A3)</f>
        <v>6.8 Spotřeba zemního plynu a teplota ovzduší podle krajů: říjen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ht="6" customHeight="1">
      <c r="A2" s="496"/>
      <c r="B2" s="496"/>
      <c r="C2" s="305"/>
      <c r="D2" s="306"/>
      <c r="E2" s="307"/>
      <c r="F2" s="307"/>
      <c r="G2" s="307"/>
      <c r="H2" s="307"/>
      <c r="I2" s="76"/>
      <c r="J2" s="76"/>
      <c r="K2" s="76"/>
    </row>
    <row r="3" spans="1:11" ht="20.100000000000001" customHeight="1">
      <c r="A3" s="460" t="str">
        <f>'3.1'!D5</f>
        <v>Říjen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</row>
    <row r="4" spans="1:11" ht="20.100000000000001" customHeight="1">
      <c r="A4" s="129"/>
      <c r="B4" s="257">
        <f>'3.1'!A4</f>
        <v>2022</v>
      </c>
      <c r="C4" s="515" t="s">
        <v>60</v>
      </c>
      <c r="D4" s="516"/>
      <c r="E4" s="516"/>
      <c r="F4" s="517"/>
      <c r="G4" s="518" t="s">
        <v>187</v>
      </c>
      <c r="H4" s="518"/>
      <c r="I4" s="518"/>
      <c r="J4" s="518"/>
      <c r="K4" s="518"/>
    </row>
    <row r="5" spans="1:11" ht="49.5" customHeight="1">
      <c r="A5" s="277"/>
      <c r="B5" s="477" t="s">
        <v>186</v>
      </c>
      <c r="C5" s="350"/>
      <c r="D5" s="351"/>
      <c r="E5" s="477" t="s">
        <v>281</v>
      </c>
      <c r="F5" s="497" t="s">
        <v>284</v>
      </c>
      <c r="G5" s="374" t="s">
        <v>62</v>
      </c>
      <c r="H5" s="374" t="s">
        <v>174</v>
      </c>
      <c r="I5" s="374" t="s">
        <v>175</v>
      </c>
      <c r="J5" s="374" t="s">
        <v>286</v>
      </c>
      <c r="K5" s="374" t="s">
        <v>287</v>
      </c>
    </row>
    <row r="6" spans="1:11" ht="15" customHeight="1">
      <c r="A6" s="222" t="s">
        <v>188</v>
      </c>
      <c r="B6" s="464"/>
      <c r="C6" s="224" t="s">
        <v>263</v>
      </c>
      <c r="D6" s="222" t="s">
        <v>264</v>
      </c>
      <c r="E6" s="464"/>
      <c r="F6" s="498"/>
      <c r="G6" s="222" t="s">
        <v>232</v>
      </c>
      <c r="H6" s="222" t="s">
        <v>232</v>
      </c>
      <c r="I6" s="222" t="s">
        <v>232</v>
      </c>
      <c r="J6" s="222" t="s">
        <v>232</v>
      </c>
      <c r="K6" s="222" t="s">
        <v>232</v>
      </c>
    </row>
    <row r="7" spans="1:11" ht="14.1" customHeight="1">
      <c r="A7" s="155" t="s">
        <v>8</v>
      </c>
      <c r="B7" s="130">
        <f>'6.1'!D14</f>
        <v>103897</v>
      </c>
      <c r="C7" s="318">
        <f>'6.1'!E14</f>
        <v>16799.163710000001</v>
      </c>
      <c r="D7" s="130">
        <f>'6.1'!F14</f>
        <v>183981.74030999999</v>
      </c>
      <c r="E7" s="312">
        <f>D7/$D$21</f>
        <v>3.3704574108174207E-2</v>
      </c>
      <c r="F7" s="337">
        <f>'6.1'!H14</f>
        <v>-0.31266158770085983</v>
      </c>
      <c r="G7" s="331">
        <v>10.738709677419354</v>
      </c>
      <c r="H7" s="332">
        <v>15</v>
      </c>
      <c r="I7" s="332">
        <v>6.6</v>
      </c>
      <c r="J7" s="332">
        <v>7.5</v>
      </c>
      <c r="K7" s="331">
        <v>3.2387096774193544</v>
      </c>
    </row>
    <row r="8" spans="1:11" ht="14.1" customHeight="1">
      <c r="A8" s="155" t="s">
        <v>9</v>
      </c>
      <c r="B8" s="130">
        <f>'6.1'!D44</f>
        <v>378313</v>
      </c>
      <c r="C8" s="318">
        <f>'6.1'!E44</f>
        <v>65057.399999999994</v>
      </c>
      <c r="D8" s="130">
        <f>'6.1'!F44</f>
        <v>713009.81228999991</v>
      </c>
      <c r="E8" s="312">
        <f t="shared" ref="E8:E20" si="0">D8/$D$21</f>
        <v>0.13061998444895395</v>
      </c>
      <c r="F8" s="337">
        <f>'6.1'!H44</f>
        <v>-0.3102788043789399</v>
      </c>
      <c r="G8" s="331">
        <v>11.225806451612904</v>
      </c>
      <c r="H8" s="332">
        <v>14.4</v>
      </c>
      <c r="I8" s="332">
        <v>6.7</v>
      </c>
      <c r="J8" s="332">
        <v>8.9</v>
      </c>
      <c r="K8" s="331">
        <v>2.3258064516129036</v>
      </c>
    </row>
    <row r="9" spans="1:11" ht="14.1" customHeight="1">
      <c r="A9" s="155" t="s">
        <v>10</v>
      </c>
      <c r="B9" s="130">
        <f>'6.2'!D14</f>
        <v>83183</v>
      </c>
      <c r="C9" s="318">
        <f>'6.2'!E14</f>
        <v>12898.900000000001</v>
      </c>
      <c r="D9" s="130">
        <f>'6.2'!F14</f>
        <v>141367.20634000006</v>
      </c>
      <c r="E9" s="312">
        <f t="shared" si="0"/>
        <v>2.5897795479724078E-2</v>
      </c>
      <c r="F9" s="337">
        <f>'6.2'!H14</f>
        <v>-0.77129123314680448</v>
      </c>
      <c r="G9" s="331">
        <v>9.9032258064516103</v>
      </c>
      <c r="H9" s="332">
        <v>14.3</v>
      </c>
      <c r="I9" s="332">
        <v>6</v>
      </c>
      <c r="J9" s="332">
        <v>7</v>
      </c>
      <c r="K9" s="331">
        <v>2.9032258064516103</v>
      </c>
    </row>
    <row r="10" spans="1:11" ht="14.1" customHeight="1">
      <c r="A10" s="155" t="s">
        <v>92</v>
      </c>
      <c r="B10" s="130">
        <f>'6.2'!D44</f>
        <v>116668</v>
      </c>
      <c r="C10" s="318">
        <f>'6.2'!E44</f>
        <v>19648.5</v>
      </c>
      <c r="D10" s="130">
        <f>'6.2'!F44</f>
        <v>215342.58212000004</v>
      </c>
      <c r="E10" s="312">
        <f t="shared" si="0"/>
        <v>3.9449730204093703E-2</v>
      </c>
      <c r="F10" s="337">
        <f>'6.2'!H44</f>
        <v>-0.30075019395431923</v>
      </c>
      <c r="G10" s="331">
        <v>10.36451612903226</v>
      </c>
      <c r="H10" s="332">
        <v>14.8</v>
      </c>
      <c r="I10" s="332">
        <v>6.2</v>
      </c>
      <c r="J10" s="332">
        <v>7.8000000000000043</v>
      </c>
      <c r="K10" s="331">
        <v>2.5645161290322562</v>
      </c>
    </row>
    <row r="11" spans="1:11" ht="14.1" customHeight="1">
      <c r="A11" s="155" t="s">
        <v>11</v>
      </c>
      <c r="B11" s="130">
        <f>'6.3'!D14</f>
        <v>92135</v>
      </c>
      <c r="C11" s="318">
        <f>'6.3'!E14</f>
        <v>18694.800000000003</v>
      </c>
      <c r="D11" s="130">
        <f>'6.3'!F14</f>
        <v>204889.55538999999</v>
      </c>
      <c r="E11" s="312">
        <f t="shared" si="0"/>
        <v>3.7534785745570919E-2</v>
      </c>
      <c r="F11" s="337">
        <f>'6.3'!H14</f>
        <v>-0.27113516211031913</v>
      </c>
      <c r="G11" s="331">
        <v>10.603225806451613</v>
      </c>
      <c r="H11" s="332">
        <v>15.2</v>
      </c>
      <c r="I11" s="332">
        <v>6.6</v>
      </c>
      <c r="J11" s="332">
        <v>7.8000000000000043</v>
      </c>
      <c r="K11" s="331">
        <v>2.8032258064516089</v>
      </c>
    </row>
    <row r="12" spans="1:11" ht="14.1" customHeight="1">
      <c r="A12" s="155" t="s">
        <v>12</v>
      </c>
      <c r="B12" s="130">
        <f>'6.3'!D44</f>
        <v>373510</v>
      </c>
      <c r="C12" s="318">
        <f>'6.3'!E44</f>
        <v>48795.364999999998</v>
      </c>
      <c r="D12" s="130">
        <f>'6.3'!F44</f>
        <v>534388.74297000002</v>
      </c>
      <c r="E12" s="312">
        <f t="shared" si="0"/>
        <v>9.7897459604731493E-2</v>
      </c>
      <c r="F12" s="337">
        <f>'6.3'!H44</f>
        <v>-0.31779569364881138</v>
      </c>
      <c r="G12" s="331">
        <v>11.109677419354838</v>
      </c>
      <c r="H12" s="332">
        <v>15.4</v>
      </c>
      <c r="I12" s="332">
        <v>5.7</v>
      </c>
      <c r="J12" s="332">
        <v>8.1999999999999957</v>
      </c>
      <c r="K12" s="331">
        <v>2.9096774193548427</v>
      </c>
    </row>
    <row r="13" spans="1:11" ht="14.1" customHeight="1">
      <c r="A13" s="155" t="s">
        <v>13</v>
      </c>
      <c r="B13" s="130">
        <f>'6.4'!D14</f>
        <v>184947</v>
      </c>
      <c r="C13" s="318">
        <f>'6.4'!E14</f>
        <v>29220.399999999998</v>
      </c>
      <c r="D13" s="130">
        <f>'6.4'!F14</f>
        <v>320247.2458700001</v>
      </c>
      <c r="E13" s="312">
        <f t="shared" si="0"/>
        <v>5.8667762426733758E-2</v>
      </c>
      <c r="F13" s="337">
        <f>'6.4'!H14</f>
        <v>-0.27047850163029108</v>
      </c>
      <c r="G13" s="331">
        <v>10.71290322580645</v>
      </c>
      <c r="H13" s="332">
        <v>14.4</v>
      </c>
      <c r="I13" s="332">
        <v>5.4</v>
      </c>
      <c r="J13" s="332">
        <v>7.6999999999999957</v>
      </c>
      <c r="K13" s="331">
        <v>3.0129032258064541</v>
      </c>
    </row>
    <row r="14" spans="1:11" ht="14.1" customHeight="1">
      <c r="A14" s="155" t="s">
        <v>14</v>
      </c>
      <c r="B14" s="130">
        <f>'6.4'!D44</f>
        <v>135206</v>
      </c>
      <c r="C14" s="318">
        <f>'6.4'!E44</f>
        <v>21018.400000000001</v>
      </c>
      <c r="D14" s="130">
        <f>'6.4'!F44</f>
        <v>230356.43419000006</v>
      </c>
      <c r="E14" s="312">
        <f t="shared" si="0"/>
        <v>4.220019603233207E-2</v>
      </c>
      <c r="F14" s="337">
        <f>'6.4'!H44</f>
        <v>-0.30536286151476788</v>
      </c>
      <c r="G14" s="331">
        <v>11.006451612903229</v>
      </c>
      <c r="H14" s="332">
        <v>15</v>
      </c>
      <c r="I14" s="332">
        <v>6.6</v>
      </c>
      <c r="J14" s="332">
        <v>8.4000000000000021</v>
      </c>
      <c r="K14" s="331">
        <v>2.6064516129032267</v>
      </c>
    </row>
    <row r="15" spans="1:11" ht="14.1" customHeight="1">
      <c r="A15" s="155" t="s">
        <v>15</v>
      </c>
      <c r="B15" s="130">
        <f>'6.5'!D14</f>
        <v>158337</v>
      </c>
      <c r="C15" s="318">
        <f>'6.5'!E14</f>
        <v>23140.5</v>
      </c>
      <c r="D15" s="130">
        <f>'6.5'!F14</f>
        <v>253613.86405</v>
      </c>
      <c r="E15" s="312">
        <f t="shared" si="0"/>
        <v>4.6460845849869564E-2</v>
      </c>
      <c r="F15" s="337">
        <f>'6.5'!H14</f>
        <v>-0.27490160934523211</v>
      </c>
      <c r="G15" s="331">
        <v>10.841935483870966</v>
      </c>
      <c r="H15" s="332">
        <v>15.5</v>
      </c>
      <c r="I15" s="332">
        <v>7</v>
      </c>
      <c r="J15" s="332">
        <v>7.6999999999999957</v>
      </c>
      <c r="K15" s="331">
        <v>3.1419354838709701</v>
      </c>
    </row>
    <row r="16" spans="1:11" ht="14.1" customHeight="1">
      <c r="A16" s="155" t="s">
        <v>1</v>
      </c>
      <c r="B16" s="130">
        <f>'6.5'!D44</f>
        <v>408723</v>
      </c>
      <c r="C16" s="318">
        <f>'6.5'!E44</f>
        <v>45568.983390205918</v>
      </c>
      <c r="D16" s="130">
        <f>'6.5'!F44</f>
        <v>499711.40058299288</v>
      </c>
      <c r="E16" s="312">
        <f t="shared" si="0"/>
        <v>9.1544736479120939E-2</v>
      </c>
      <c r="F16" s="337">
        <f>'6.5'!H44</f>
        <v>-0.32299670925250884</v>
      </c>
      <c r="G16" s="331">
        <v>12.161290322580644</v>
      </c>
      <c r="H16" s="332">
        <v>16.7</v>
      </c>
      <c r="I16" s="332">
        <v>8.1</v>
      </c>
      <c r="J16" s="332">
        <v>9</v>
      </c>
      <c r="K16" s="331">
        <v>3.1612903225806441</v>
      </c>
    </row>
    <row r="17" spans="1:16" ht="14.1" customHeight="1">
      <c r="A17" s="155" t="s">
        <v>16</v>
      </c>
      <c r="B17" s="130">
        <f>'6.6'!D14</f>
        <v>258227</v>
      </c>
      <c r="C17" s="318">
        <f>'6.6'!E14</f>
        <v>73218.576000000001</v>
      </c>
      <c r="D17" s="130">
        <f>'6.6'!F14</f>
        <v>802458.49357100006</v>
      </c>
      <c r="E17" s="312">
        <f t="shared" si="0"/>
        <v>0.14700655467072751</v>
      </c>
      <c r="F17" s="337">
        <f>'6.6'!H14</f>
        <v>-0.25619442752823302</v>
      </c>
      <c r="G17" s="331">
        <v>11.141935483870968</v>
      </c>
      <c r="H17" s="332">
        <v>16</v>
      </c>
      <c r="I17" s="332">
        <v>6.4</v>
      </c>
      <c r="J17" s="332">
        <v>8.6999999999999957</v>
      </c>
      <c r="K17" s="331">
        <v>2.4419354838709726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'6.6'!D44</f>
        <v>219833</v>
      </c>
      <c r="C18" s="318">
        <f>'6.6'!E44</f>
        <v>83964.798999999999</v>
      </c>
      <c r="D18" s="130">
        <f>'6.6'!F44</f>
        <v>920658.53007000021</v>
      </c>
      <c r="E18" s="312">
        <f t="shared" si="0"/>
        <v>0.16866023553632215</v>
      </c>
      <c r="F18" s="337">
        <f>'6.6'!H44</f>
        <v>0.10487792434937422</v>
      </c>
      <c r="G18" s="331">
        <v>10.396774193548389</v>
      </c>
      <c r="H18" s="332">
        <v>15.7</v>
      </c>
      <c r="I18" s="332">
        <v>6</v>
      </c>
      <c r="J18" s="332">
        <v>8.5999999999999979</v>
      </c>
      <c r="K18" s="331">
        <v>1.7967741935483907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'6.7'!D14</f>
        <v>118990</v>
      </c>
      <c r="C19" s="318">
        <f>'6.7'!E14</f>
        <v>18341.774279999998</v>
      </c>
      <c r="D19" s="130">
        <f>'6.7'!F14</f>
        <v>201002.96512000004</v>
      </c>
      <c r="E19" s="312">
        <f t="shared" si="0"/>
        <v>3.682278101313062E-2</v>
      </c>
      <c r="F19" s="337">
        <f>'6.7'!H14</f>
        <v>-0.31932518017937872</v>
      </c>
      <c r="G19" s="331">
        <v>10.43548387096774</v>
      </c>
      <c r="H19" s="332">
        <v>13.5</v>
      </c>
      <c r="I19" s="332">
        <v>6.5</v>
      </c>
      <c r="J19" s="332">
        <v>7.4000000000000039</v>
      </c>
      <c r="K19" s="331">
        <v>3.0354838709677363</v>
      </c>
      <c r="L19" s="94"/>
      <c r="N19" s="94"/>
      <c r="O19" s="94"/>
      <c r="P19" s="94"/>
    </row>
    <row r="20" spans="1:16" ht="14.1" customHeight="1">
      <c r="A20" s="205" t="s">
        <v>19</v>
      </c>
      <c r="B20" s="315">
        <f>'6.7'!D44</f>
        <v>154772</v>
      </c>
      <c r="C20" s="319">
        <f>'6.7'!E44</f>
        <v>21682.2</v>
      </c>
      <c r="D20" s="315">
        <f>'6.7'!F44</f>
        <v>237629.34458</v>
      </c>
      <c r="E20" s="316">
        <f t="shared" si="0"/>
        <v>4.3532558400515085E-2</v>
      </c>
      <c r="F20" s="338">
        <f>'6.7'!H44</f>
        <v>-0.35632286276640274</v>
      </c>
      <c r="G20" s="333">
        <v>10.480645161290321</v>
      </c>
      <c r="H20" s="334">
        <v>14.2</v>
      </c>
      <c r="I20" s="334">
        <v>6.2</v>
      </c>
      <c r="J20" s="334">
        <v>8.8000000000000043</v>
      </c>
      <c r="K20" s="333">
        <v>1.6806451612903164</v>
      </c>
      <c r="L20" s="94"/>
    </row>
    <row r="21" spans="1:16" ht="14.1" customHeight="1">
      <c r="A21" s="155" t="s">
        <v>0</v>
      </c>
      <c r="B21" s="157">
        <f>SUM(B7:B20)</f>
        <v>2786741</v>
      </c>
      <c r="C21" s="318">
        <f>SUM(C7:C20)</f>
        <v>498049.76138020592</v>
      </c>
      <c r="D21" s="130">
        <f>SUM(D7:D20)</f>
        <v>5458657.9174539931</v>
      </c>
      <c r="E21" s="372">
        <f>SUM(E7:E20)</f>
        <v>1.0000000000000002</v>
      </c>
      <c r="F21" s="337"/>
      <c r="G21" s="261">
        <v>10.777419354838711</v>
      </c>
      <c r="H21" s="261">
        <v>14.9</v>
      </c>
      <c r="I21" s="261">
        <v>6.4</v>
      </c>
      <c r="J21" s="261">
        <v>8.3548387096774199</v>
      </c>
      <c r="K21" s="261">
        <v>2.4225806451612915</v>
      </c>
    </row>
    <row r="22" spans="1:16" ht="14.1" customHeight="1">
      <c r="A22" s="205" t="s">
        <v>94</v>
      </c>
      <c r="B22" s="373"/>
      <c r="C22" s="319">
        <f>'5.1'!E13</f>
        <v>9562.7275538044887</v>
      </c>
      <c r="D22" s="315">
        <f>'5.1'!F13</f>
        <v>105004.85303699989</v>
      </c>
      <c r="E22" s="373"/>
      <c r="F22" s="338">
        <f>'5.1'!H13</f>
        <v>0.70541904488342688</v>
      </c>
      <c r="G22" s="267">
        <v>10.777419354838711</v>
      </c>
      <c r="H22" s="267">
        <v>14.9</v>
      </c>
      <c r="I22" s="267">
        <v>6.4</v>
      </c>
      <c r="J22" s="267">
        <v>8.3548387096774199</v>
      </c>
      <c r="K22" s="267">
        <v>2.4225806451612915</v>
      </c>
    </row>
    <row r="23" spans="1:16" ht="14.1" customHeight="1">
      <c r="A23" s="205" t="s">
        <v>55</v>
      </c>
      <c r="B23" s="162">
        <f>B21+B22</f>
        <v>2786741</v>
      </c>
      <c r="C23" s="319">
        <f>C21+C22</f>
        <v>507612.48893401038</v>
      </c>
      <c r="D23" s="315">
        <f>D21+D22</f>
        <v>5563662.7704909928</v>
      </c>
      <c r="E23" s="373"/>
      <c r="F23" s="338">
        <f>'5.1'!H14</f>
        <v>-0.28570204387832965</v>
      </c>
      <c r="G23" s="267">
        <v>10.777419354838711</v>
      </c>
      <c r="H23" s="267">
        <v>14.9</v>
      </c>
      <c r="I23" s="267">
        <v>6.4</v>
      </c>
      <c r="J23" s="267">
        <v>8.3548387096774199</v>
      </c>
      <c r="K23" s="267">
        <v>2.4225806451612915</v>
      </c>
    </row>
    <row r="24" spans="1:16" ht="15" customHeight="1">
      <c r="A24" s="102"/>
      <c r="B24" s="95"/>
      <c r="C24" s="500" t="s">
        <v>246</v>
      </c>
      <c r="D24" s="500"/>
      <c r="E24" s="500"/>
      <c r="F24" s="500"/>
      <c r="G24" s="503" t="s">
        <v>244</v>
      </c>
      <c r="H24" s="503"/>
      <c r="I24" s="503"/>
      <c r="J24" s="503"/>
      <c r="K24" s="503"/>
    </row>
    <row r="25" spans="1:16" ht="15" customHeight="1">
      <c r="A25" s="95"/>
      <c r="B25" s="95"/>
      <c r="C25" s="500"/>
      <c r="D25" s="500"/>
      <c r="E25" s="500"/>
      <c r="F25" s="500"/>
      <c r="G25" s="503" t="s">
        <v>245</v>
      </c>
      <c r="H25" s="503"/>
      <c r="I25" s="503"/>
      <c r="J25" s="503"/>
      <c r="K25" s="503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65" t="s">
        <v>259</v>
      </c>
      <c r="B29" s="465"/>
      <c r="C29" s="465"/>
      <c r="D29" s="465"/>
      <c r="E29" s="465"/>
      <c r="F29" s="465" t="s">
        <v>61</v>
      </c>
      <c r="G29" s="465"/>
      <c r="H29" s="465"/>
      <c r="I29" s="465"/>
      <c r="J29" s="465"/>
      <c r="K29" s="465"/>
    </row>
    <row r="30" spans="1:16" ht="15" customHeight="1">
      <c r="A30" s="121"/>
      <c r="B30" s="501"/>
      <c r="C30" s="501"/>
      <c r="D30" s="121"/>
      <c r="E30" s="121"/>
      <c r="F30" s="121"/>
      <c r="G30" s="121"/>
      <c r="H30" s="501"/>
      <c r="I30" s="501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B30:C30"/>
    <mergeCell ref="H30:I30"/>
    <mergeCell ref="F29:K29"/>
    <mergeCell ref="A29:E29"/>
    <mergeCell ref="B5:B6"/>
    <mergeCell ref="G25:K25"/>
    <mergeCell ref="G24:K24"/>
    <mergeCell ref="A1:K1"/>
    <mergeCell ref="A3:K3"/>
    <mergeCell ref="C24:F25"/>
    <mergeCell ref="C4:F4"/>
    <mergeCell ref="G4:K4"/>
    <mergeCell ref="A2:B2"/>
    <mergeCell ref="F5:F6"/>
    <mergeCell ref="E5:E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492" t="str">
        <f>"6.9 Spotřeba zemního plynu a teplota ovzduší podle krajů: "&amp;LOWER(A3)</f>
        <v>6.9 Spotřeba zemního plynu a teplota ovzduší podle krajů: listopad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ht="6" customHeight="1">
      <c r="A2" s="496"/>
      <c r="B2" s="496"/>
      <c r="C2" s="305"/>
      <c r="D2" s="306"/>
      <c r="E2" s="307"/>
      <c r="F2" s="307"/>
      <c r="G2" s="307"/>
      <c r="H2" s="307"/>
      <c r="I2" s="76"/>
      <c r="J2" s="76"/>
      <c r="K2" s="76"/>
    </row>
    <row r="3" spans="1:11" ht="20.100000000000001" customHeight="1">
      <c r="A3" s="460" t="str">
        <f>'3.1'!E5</f>
        <v>Listopad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</row>
    <row r="4" spans="1:11" ht="20.100000000000001" customHeight="1">
      <c r="A4" s="129"/>
      <c r="B4" s="257">
        <f>'3.1'!A4</f>
        <v>2022</v>
      </c>
      <c r="C4" s="515" t="s">
        <v>60</v>
      </c>
      <c r="D4" s="516"/>
      <c r="E4" s="516"/>
      <c r="F4" s="517"/>
      <c r="G4" s="518" t="s">
        <v>187</v>
      </c>
      <c r="H4" s="518"/>
      <c r="I4" s="518"/>
      <c r="J4" s="518"/>
      <c r="K4" s="518"/>
    </row>
    <row r="5" spans="1:11" ht="49.5" customHeight="1">
      <c r="A5" s="277"/>
      <c r="B5" s="477" t="s">
        <v>186</v>
      </c>
      <c r="C5" s="350"/>
      <c r="D5" s="351"/>
      <c r="E5" s="477" t="s">
        <v>281</v>
      </c>
      <c r="F5" s="497" t="s">
        <v>284</v>
      </c>
      <c r="G5" s="374" t="s">
        <v>62</v>
      </c>
      <c r="H5" s="374" t="s">
        <v>174</v>
      </c>
      <c r="I5" s="374" t="s">
        <v>175</v>
      </c>
      <c r="J5" s="374" t="s">
        <v>286</v>
      </c>
      <c r="K5" s="374" t="s">
        <v>287</v>
      </c>
    </row>
    <row r="6" spans="1:11" ht="15" customHeight="1">
      <c r="A6" s="222" t="s">
        <v>188</v>
      </c>
      <c r="B6" s="464"/>
      <c r="C6" s="224" t="s">
        <v>263</v>
      </c>
      <c r="D6" s="222" t="s">
        <v>264</v>
      </c>
      <c r="E6" s="464"/>
      <c r="F6" s="498"/>
      <c r="G6" s="222" t="s">
        <v>232</v>
      </c>
      <c r="H6" s="222" t="s">
        <v>232</v>
      </c>
      <c r="I6" s="222" t="s">
        <v>232</v>
      </c>
      <c r="J6" s="222" t="s">
        <v>232</v>
      </c>
      <c r="K6" s="222" t="s">
        <v>232</v>
      </c>
    </row>
    <row r="7" spans="1:11" ht="14.1" customHeight="1">
      <c r="A7" s="155" t="s">
        <v>8</v>
      </c>
      <c r="B7" s="130">
        <f>'6.1'!D20</f>
        <v>103717</v>
      </c>
      <c r="C7" s="318">
        <f>'6.1'!E20</f>
        <v>25925.706830000003</v>
      </c>
      <c r="D7" s="130">
        <f>'6.1'!F20</f>
        <v>282326.20538</v>
      </c>
      <c r="E7" s="312">
        <f>D7/$D$21</f>
        <v>3.5444370304967845E-2</v>
      </c>
      <c r="F7" s="337">
        <f>'6.1'!H20</f>
        <v>-0.23254614617132346</v>
      </c>
      <c r="G7" s="331">
        <v>3.7433333333333327</v>
      </c>
      <c r="H7" s="332">
        <v>10.1</v>
      </c>
      <c r="I7" s="332">
        <v>-2.7</v>
      </c>
      <c r="J7" s="332">
        <v>2.2999999999999985</v>
      </c>
      <c r="K7" s="331">
        <v>1.4433333333333342</v>
      </c>
    </row>
    <row r="8" spans="1:11" ht="14.1" customHeight="1">
      <c r="A8" s="155" t="s">
        <v>9</v>
      </c>
      <c r="B8" s="130">
        <f>'6.1'!D50</f>
        <v>377993</v>
      </c>
      <c r="C8" s="318">
        <f>'6.1'!E50</f>
        <v>98139.499999999985</v>
      </c>
      <c r="D8" s="130">
        <f>'6.1'!F50</f>
        <v>1072485.5629</v>
      </c>
      <c r="E8" s="312">
        <f t="shared" ref="E8:E20" si="0">D8/$D$21</f>
        <v>0.13464416236882687</v>
      </c>
      <c r="F8" s="337">
        <f>'6.1'!H50</f>
        <v>-0.2349336351829418</v>
      </c>
      <c r="G8" s="331">
        <v>5.0799999999999983</v>
      </c>
      <c r="H8" s="332">
        <v>11</v>
      </c>
      <c r="I8" s="332">
        <v>-1.4</v>
      </c>
      <c r="J8" s="332">
        <v>3.2000000000000015</v>
      </c>
      <c r="K8" s="331">
        <v>1.8799999999999968</v>
      </c>
    </row>
    <row r="9" spans="1:11" ht="14.1" customHeight="1">
      <c r="A9" s="155" t="s">
        <v>10</v>
      </c>
      <c r="B9" s="130">
        <f>'6.2'!D20</f>
        <v>83111</v>
      </c>
      <c r="C9" s="318">
        <f>'6.2'!E20</f>
        <v>19302.399999999998</v>
      </c>
      <c r="D9" s="130">
        <f>'6.2'!F20</f>
        <v>210938.15355000002</v>
      </c>
      <c r="E9" s="312">
        <f t="shared" si="0"/>
        <v>2.6482026405622524E-2</v>
      </c>
      <c r="F9" s="337">
        <f>'6.2'!H20</f>
        <v>-0.68711055781413122</v>
      </c>
      <c r="G9" s="331">
        <v>3.5733333333333328</v>
      </c>
      <c r="H9" s="332">
        <v>9.5</v>
      </c>
      <c r="I9" s="332">
        <v>-4.8</v>
      </c>
      <c r="J9" s="332">
        <v>1.7999999999999992</v>
      </c>
      <c r="K9" s="331">
        <v>1.7733333333333337</v>
      </c>
    </row>
    <row r="10" spans="1:11" ht="14.1" customHeight="1">
      <c r="A10" s="155" t="s">
        <v>92</v>
      </c>
      <c r="B10" s="130">
        <f>'6.2'!D50</f>
        <v>116564</v>
      </c>
      <c r="C10" s="318">
        <f>'6.2'!E50</f>
        <v>30319</v>
      </c>
      <c r="D10" s="130">
        <f>'6.2'!F50</f>
        <v>331331.31579999998</v>
      </c>
      <c r="E10" s="312">
        <f t="shared" si="0"/>
        <v>4.1596669480400195E-2</v>
      </c>
      <c r="F10" s="337">
        <f>'6.2'!H50</f>
        <v>-0.21136688776173754</v>
      </c>
      <c r="G10" s="331">
        <v>3.6966666666666668</v>
      </c>
      <c r="H10" s="332">
        <v>9.6999999999999993</v>
      </c>
      <c r="I10" s="332">
        <v>-5.6</v>
      </c>
      <c r="J10" s="332">
        <v>2.5</v>
      </c>
      <c r="K10" s="331">
        <v>1.1966666666666668</v>
      </c>
    </row>
    <row r="11" spans="1:11" ht="14.1" customHeight="1">
      <c r="A11" s="155" t="s">
        <v>11</v>
      </c>
      <c r="B11" s="130">
        <f>'6.3'!D20</f>
        <v>92051</v>
      </c>
      <c r="C11" s="318">
        <f>'6.3'!E20</f>
        <v>29808.2</v>
      </c>
      <c r="D11" s="130">
        <f>'6.3'!F20</f>
        <v>325749.94699999999</v>
      </c>
      <c r="E11" s="312">
        <f t="shared" si="0"/>
        <v>4.0895961934355983E-2</v>
      </c>
      <c r="F11" s="337">
        <f>'6.3'!H20</f>
        <v>-0.1947951614558853</v>
      </c>
      <c r="G11" s="331">
        <v>4.1199999999999992</v>
      </c>
      <c r="H11" s="332">
        <v>10.199999999999999</v>
      </c>
      <c r="I11" s="332">
        <v>-4.8</v>
      </c>
      <c r="J11" s="332">
        <v>2.7000000000000015</v>
      </c>
      <c r="K11" s="331">
        <v>1.4199999999999977</v>
      </c>
    </row>
    <row r="12" spans="1:11" ht="14.1" customHeight="1">
      <c r="A12" s="155" t="s">
        <v>12</v>
      </c>
      <c r="B12" s="130">
        <f>'6.3'!D50</f>
        <v>373205</v>
      </c>
      <c r="C12" s="318">
        <f>'6.3'!E50</f>
        <v>73598.336999999985</v>
      </c>
      <c r="D12" s="130">
        <f>'6.3'!F50</f>
        <v>803912.81043999991</v>
      </c>
      <c r="E12" s="312">
        <f t="shared" si="0"/>
        <v>0.10092645600429023</v>
      </c>
      <c r="F12" s="337">
        <f>'6.3'!H50</f>
        <v>-0.16377994367453463</v>
      </c>
      <c r="G12" s="331">
        <v>4.8033333333333337</v>
      </c>
      <c r="H12" s="332">
        <v>11</v>
      </c>
      <c r="I12" s="332">
        <v>-2.8</v>
      </c>
      <c r="J12" s="332">
        <v>2.7000000000000015</v>
      </c>
      <c r="K12" s="331">
        <v>2.1033333333333322</v>
      </c>
    </row>
    <row r="13" spans="1:11" ht="14.1" customHeight="1">
      <c r="A13" s="155" t="s">
        <v>13</v>
      </c>
      <c r="B13" s="130">
        <f>'6.4'!D20</f>
        <v>184787</v>
      </c>
      <c r="C13" s="318">
        <f>'6.4'!E20</f>
        <v>45543.5</v>
      </c>
      <c r="D13" s="130">
        <f>'6.4'!F20</f>
        <v>497706.72655000002</v>
      </c>
      <c r="E13" s="312">
        <f t="shared" si="0"/>
        <v>6.2484109455470525E-2</v>
      </c>
      <c r="F13" s="337">
        <f>'6.4'!H20</f>
        <v>-0.1710290172152065</v>
      </c>
      <c r="G13" s="331">
        <v>4.1399999999999997</v>
      </c>
      <c r="H13" s="332">
        <v>10.4</v>
      </c>
      <c r="I13" s="332">
        <v>-3.9</v>
      </c>
      <c r="J13" s="332">
        <v>2.100000000000001</v>
      </c>
      <c r="K13" s="331">
        <v>2.0399999999999987</v>
      </c>
    </row>
    <row r="14" spans="1:11" ht="14.1" customHeight="1">
      <c r="A14" s="155" t="s">
        <v>14</v>
      </c>
      <c r="B14" s="130">
        <f>'6.4'!D50</f>
        <v>135084</v>
      </c>
      <c r="C14" s="318">
        <f>'6.4'!E50</f>
        <v>31606.600000000002</v>
      </c>
      <c r="D14" s="130">
        <f>'6.4'!F50</f>
        <v>345401.74995999999</v>
      </c>
      <c r="E14" s="312">
        <f t="shared" si="0"/>
        <v>4.336312852392913E-2</v>
      </c>
      <c r="F14" s="337">
        <f>'6.4'!H50</f>
        <v>-0.22387891110358057</v>
      </c>
      <c r="G14" s="331">
        <v>4.3499999999999988</v>
      </c>
      <c r="H14" s="332">
        <v>10.199999999999999</v>
      </c>
      <c r="I14" s="332">
        <v>-3.8</v>
      </c>
      <c r="J14" s="332">
        <v>3</v>
      </c>
      <c r="K14" s="331">
        <v>1.3499999999999988</v>
      </c>
    </row>
    <row r="15" spans="1:11" ht="14.1" customHeight="1">
      <c r="A15" s="155" t="s">
        <v>15</v>
      </c>
      <c r="B15" s="130">
        <f>'6.5'!D20</f>
        <v>158199</v>
      </c>
      <c r="C15" s="318">
        <f>'6.5'!E20</f>
        <v>33747.599999999999</v>
      </c>
      <c r="D15" s="130">
        <f>'6.5'!F20</f>
        <v>368799.50891999993</v>
      </c>
      <c r="E15" s="312">
        <f t="shared" si="0"/>
        <v>4.630057753532496E-2</v>
      </c>
      <c r="F15" s="337">
        <f>'6.5'!H20</f>
        <v>-0.20723150251472314</v>
      </c>
      <c r="G15" s="331">
        <v>4.1266666666666669</v>
      </c>
      <c r="H15" s="332">
        <v>10.8</v>
      </c>
      <c r="I15" s="332">
        <v>-2.7</v>
      </c>
      <c r="J15" s="332">
        <v>2.5999999999999996</v>
      </c>
      <c r="K15" s="331">
        <v>1.5266666666666673</v>
      </c>
    </row>
    <row r="16" spans="1:11" ht="14.1" customHeight="1">
      <c r="A16" s="155" t="s">
        <v>1</v>
      </c>
      <c r="B16" s="130">
        <f>'6.5'!D50</f>
        <v>408092</v>
      </c>
      <c r="C16" s="318">
        <f>'6.5'!E50</f>
        <v>82057.512352344085</v>
      </c>
      <c r="D16" s="130">
        <f>'6.5'!F50</f>
        <v>898842.03179591172</v>
      </c>
      <c r="E16" s="312">
        <f t="shared" si="0"/>
        <v>0.11284425325577964</v>
      </c>
      <c r="F16" s="337">
        <f>'6.5'!H50</f>
        <v>-0.19265553961944237</v>
      </c>
      <c r="G16" s="331">
        <v>5.5200000000000014</v>
      </c>
      <c r="H16" s="332">
        <v>11</v>
      </c>
      <c r="I16" s="332">
        <v>-2</v>
      </c>
      <c r="J16" s="332">
        <v>3.700000000000002</v>
      </c>
      <c r="K16" s="331">
        <v>1.8199999999999994</v>
      </c>
    </row>
    <row r="17" spans="1:16" ht="14.1" customHeight="1">
      <c r="A17" s="155" t="s">
        <v>16</v>
      </c>
      <c r="B17" s="130">
        <f>'6.6'!D20</f>
        <v>258003</v>
      </c>
      <c r="C17" s="318">
        <f>'6.6'!E20</f>
        <v>127780.18400000001</v>
      </c>
      <c r="D17" s="130">
        <f>'6.6'!F20</f>
        <v>1397135.5185400001</v>
      </c>
      <c r="E17" s="312">
        <f t="shared" si="0"/>
        <v>0.17540202695212886</v>
      </c>
      <c r="F17" s="337">
        <f>'6.6'!H20</f>
        <v>3.3793259832987699E-2</v>
      </c>
      <c r="G17" s="331">
        <v>4.5866666666666669</v>
      </c>
      <c r="H17" s="332">
        <v>10.6</v>
      </c>
      <c r="I17" s="332">
        <v>-3.3</v>
      </c>
      <c r="J17" s="332">
        <v>3.5</v>
      </c>
      <c r="K17" s="331">
        <v>1.0866666666666669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'6.6'!D50</f>
        <v>219645.20800000001</v>
      </c>
      <c r="C18" s="318">
        <f>'6.6'!E50</f>
        <v>67151.196000000011</v>
      </c>
      <c r="D18" s="130">
        <f>'6.6'!F50</f>
        <v>733810.83694300009</v>
      </c>
      <c r="E18" s="312">
        <f t="shared" si="0"/>
        <v>9.2125571564985811E-2</v>
      </c>
      <c r="F18" s="337">
        <f>'6.6'!H50</f>
        <v>-0.48472891860207801</v>
      </c>
      <c r="G18" s="331">
        <v>4.04</v>
      </c>
      <c r="H18" s="332">
        <v>9.6999999999999993</v>
      </c>
      <c r="I18" s="332">
        <v>-4.5</v>
      </c>
      <c r="J18" s="332">
        <v>3.5</v>
      </c>
      <c r="K18" s="331">
        <v>0.54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'6.7'!D20</f>
        <v>118883</v>
      </c>
      <c r="C19" s="318">
        <f>'6.7'!E20</f>
        <v>28600.038170000003</v>
      </c>
      <c r="D19" s="130">
        <f>'6.7'!F20</f>
        <v>312411.59949000005</v>
      </c>
      <c r="E19" s="312">
        <f t="shared" si="0"/>
        <v>3.9221412001010425E-2</v>
      </c>
      <c r="F19" s="337">
        <f>'6.7'!H20</f>
        <v>-0.24781160955626508</v>
      </c>
      <c r="G19" s="331">
        <v>4.086666666666666</v>
      </c>
      <c r="H19" s="332">
        <v>10.4</v>
      </c>
      <c r="I19" s="332">
        <v>-3.5</v>
      </c>
      <c r="J19" s="332">
        <v>1.899999999999999</v>
      </c>
      <c r="K19" s="331">
        <v>2.186666666666667</v>
      </c>
      <c r="L19" s="94"/>
      <c r="N19" s="94"/>
      <c r="O19" s="94"/>
      <c r="P19" s="94"/>
    </row>
    <row r="20" spans="1:16" ht="14.1" customHeight="1">
      <c r="A20" s="205" t="s">
        <v>19</v>
      </c>
      <c r="B20" s="315">
        <f>'6.7'!D50</f>
        <v>154638</v>
      </c>
      <c r="C20" s="319">
        <f>'6.7'!E50</f>
        <v>35182.6</v>
      </c>
      <c r="D20" s="315">
        <f>'6.7'!F50</f>
        <v>384480.83313999994</v>
      </c>
      <c r="E20" s="316">
        <f t="shared" si="0"/>
        <v>4.8269274212906971E-2</v>
      </c>
      <c r="F20" s="338">
        <f>'6.7'!H50</f>
        <v>-0.23532876477121328</v>
      </c>
      <c r="G20" s="333">
        <v>4.4266666666666641</v>
      </c>
      <c r="H20" s="334">
        <v>9.8000000000000007</v>
      </c>
      <c r="I20" s="334">
        <v>-3.3</v>
      </c>
      <c r="J20" s="334">
        <v>3.299999999999998</v>
      </c>
      <c r="K20" s="333">
        <v>1.126666666666666</v>
      </c>
      <c r="L20" s="94"/>
    </row>
    <row r="21" spans="1:16" ht="14.1" customHeight="1">
      <c r="A21" s="155" t="s">
        <v>0</v>
      </c>
      <c r="B21" s="157">
        <f>SUM(B7:B20)</f>
        <v>2783972.2080000001</v>
      </c>
      <c r="C21" s="318">
        <f>SUM(C7:C20)</f>
        <v>728762.37435234396</v>
      </c>
      <c r="D21" s="130">
        <f>SUM(D7:D20)</f>
        <v>7965332.8004089119</v>
      </c>
      <c r="E21" s="372">
        <f>SUM(E7:E20)</f>
        <v>0.99999999999999978</v>
      </c>
      <c r="F21" s="337"/>
      <c r="G21" s="261">
        <v>4.2466666666666661</v>
      </c>
      <c r="H21" s="261">
        <v>10.4</v>
      </c>
      <c r="I21" s="261">
        <v>-3.5</v>
      </c>
      <c r="J21" s="261">
        <v>3.5466666666666664</v>
      </c>
      <c r="K21" s="261">
        <v>0.69999999999999973</v>
      </c>
    </row>
    <row r="22" spans="1:16" ht="14.1" customHeight="1">
      <c r="A22" s="205" t="s">
        <v>94</v>
      </c>
      <c r="B22" s="373"/>
      <c r="C22" s="319">
        <f>'5.1'!E20</f>
        <v>14208.29542937047</v>
      </c>
      <c r="D22" s="315">
        <f>'5.1'!F20</f>
        <v>155762.86193200006</v>
      </c>
      <c r="E22" s="373"/>
      <c r="F22" s="338">
        <f>'5.1'!H20</f>
        <v>0.27009220452699267</v>
      </c>
      <c r="G22" s="267">
        <v>4.2466666666666661</v>
      </c>
      <c r="H22" s="267">
        <v>10.4</v>
      </c>
      <c r="I22" s="267">
        <v>-3.5</v>
      </c>
      <c r="J22" s="267">
        <v>3.5466666666666664</v>
      </c>
      <c r="K22" s="267">
        <v>0.69999999999999973</v>
      </c>
    </row>
    <row r="23" spans="1:16" ht="14.1" customHeight="1">
      <c r="A23" s="205" t="s">
        <v>55</v>
      </c>
      <c r="B23" s="162">
        <f>B21+B22</f>
        <v>2783972.2080000001</v>
      </c>
      <c r="C23" s="319">
        <f t="shared" ref="C23:D23" si="1">C21+C22</f>
        <v>742970.66978171444</v>
      </c>
      <c r="D23" s="315">
        <f t="shared" si="1"/>
        <v>8121095.662340912</v>
      </c>
      <c r="E23" s="373"/>
      <c r="F23" s="338">
        <f>'5.1'!H21</f>
        <v>-0.23894820605564854</v>
      </c>
      <c r="G23" s="267">
        <v>4.2466666666666661</v>
      </c>
      <c r="H23" s="267">
        <v>10.4</v>
      </c>
      <c r="I23" s="267">
        <v>-3.5</v>
      </c>
      <c r="J23" s="267">
        <v>3.5466666666666664</v>
      </c>
      <c r="K23" s="267">
        <v>0.69999999999999973</v>
      </c>
    </row>
    <row r="24" spans="1:16" ht="15" customHeight="1">
      <c r="A24" s="102"/>
      <c r="B24" s="95"/>
      <c r="C24" s="500" t="s">
        <v>246</v>
      </c>
      <c r="D24" s="500"/>
      <c r="E24" s="500"/>
      <c r="F24" s="500"/>
      <c r="G24" s="503" t="s">
        <v>244</v>
      </c>
      <c r="H24" s="503"/>
      <c r="I24" s="503"/>
      <c r="J24" s="503"/>
      <c r="K24" s="503"/>
    </row>
    <row r="25" spans="1:16" ht="15" customHeight="1">
      <c r="A25" s="95"/>
      <c r="B25" s="95"/>
      <c r="C25" s="500"/>
      <c r="D25" s="500"/>
      <c r="E25" s="500"/>
      <c r="F25" s="500"/>
      <c r="G25" s="503" t="s">
        <v>245</v>
      </c>
      <c r="H25" s="503"/>
      <c r="I25" s="503"/>
      <c r="J25" s="503"/>
      <c r="K25" s="503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65" t="s">
        <v>259</v>
      </c>
      <c r="B29" s="465"/>
      <c r="C29" s="465"/>
      <c r="D29" s="465"/>
      <c r="E29" s="465"/>
      <c r="F29" s="465" t="s">
        <v>61</v>
      </c>
      <c r="G29" s="465"/>
      <c r="H29" s="465"/>
      <c r="I29" s="465"/>
      <c r="J29" s="465"/>
      <c r="K29" s="465"/>
    </row>
    <row r="30" spans="1:16" ht="15" customHeight="1">
      <c r="A30" s="121"/>
      <c r="B30" s="501"/>
      <c r="C30" s="501"/>
      <c r="D30" s="121"/>
      <c r="E30" s="121"/>
      <c r="F30" s="121"/>
      <c r="G30" s="121"/>
      <c r="H30" s="501"/>
      <c r="I30" s="501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topLeftCell="A2" zoomScaleNormal="100" zoomScaleSheetLayoutView="100" workbookViewId="0">
      <selection activeCell="C1" sqref="C1"/>
    </sheetView>
  </sheetViews>
  <sheetFormatPr defaultColWidth="9.140625" defaultRowHeight="11.25"/>
  <cols>
    <col min="1" max="1" width="90.28515625" style="4" customWidth="1"/>
    <col min="2" max="2" width="9.140625" style="2" customWidth="1"/>
    <col min="3" max="4" width="9.140625" style="4" customWidth="1"/>
    <col min="5" max="5" width="9.140625" style="4"/>
    <col min="6" max="6" width="9.140625" style="4" customWidth="1"/>
    <col min="7" max="8" width="9.140625" style="4"/>
    <col min="9" max="9" width="9.140625" style="4" customWidth="1"/>
    <col min="10" max="16384" width="9.140625" style="4"/>
  </cols>
  <sheetData>
    <row r="1" spans="1:4" ht="20.25">
      <c r="A1" s="45" t="s">
        <v>248</v>
      </c>
      <c r="C1" s="3"/>
      <c r="D1" s="3"/>
    </row>
    <row r="2" spans="1:4" s="6" customFormat="1" ht="6" customHeight="1">
      <c r="A2" s="5"/>
      <c r="B2" s="5"/>
      <c r="C2" s="5"/>
      <c r="D2" s="5"/>
    </row>
    <row r="3" spans="1:4" ht="11.25" customHeight="1">
      <c r="A3" s="406" t="s">
        <v>314</v>
      </c>
      <c r="B3" s="406"/>
    </row>
    <row r="4" spans="1:4" ht="11.25" customHeight="1">
      <c r="A4" s="406"/>
      <c r="B4" s="406"/>
    </row>
    <row r="5" spans="1:4" ht="11.25" customHeight="1">
      <c r="A5" s="406"/>
      <c r="B5" s="406"/>
      <c r="C5" s="7"/>
      <c r="D5" s="7"/>
    </row>
    <row r="6" spans="1:4" ht="11.25" customHeight="1">
      <c r="A6" s="406"/>
      <c r="B6" s="406"/>
      <c r="C6" s="7"/>
      <c r="D6" s="7"/>
    </row>
    <row r="7" spans="1:4" ht="11.25" customHeight="1">
      <c r="A7" s="406"/>
      <c r="B7" s="406"/>
      <c r="C7" s="8"/>
      <c r="D7" s="7"/>
    </row>
    <row r="8" spans="1:4" ht="11.25" customHeight="1">
      <c r="A8" s="406"/>
      <c r="B8" s="406"/>
      <c r="C8" s="7"/>
      <c r="D8" s="7"/>
    </row>
    <row r="9" spans="1:4" ht="11.25" customHeight="1">
      <c r="A9" s="406"/>
      <c r="B9" s="406"/>
      <c r="C9" s="7"/>
      <c r="D9" s="7"/>
    </row>
    <row r="10" spans="1:4" ht="11.25" customHeight="1">
      <c r="A10" s="406"/>
      <c r="B10" s="406"/>
      <c r="C10" s="7"/>
      <c r="D10" s="7"/>
    </row>
    <row r="11" spans="1:4" ht="11.25" customHeight="1">
      <c r="A11" s="406"/>
      <c r="B11" s="406"/>
      <c r="C11" s="7"/>
      <c r="D11" s="7"/>
    </row>
    <row r="12" spans="1:4" ht="11.25" customHeight="1">
      <c r="A12" s="406"/>
      <c r="B12" s="406"/>
      <c r="C12" s="7"/>
      <c r="D12" s="7"/>
    </row>
    <row r="13" spans="1:4" ht="11.25" customHeight="1">
      <c r="A13" s="406"/>
      <c r="B13" s="406"/>
      <c r="C13" s="7"/>
      <c r="D13" s="7"/>
    </row>
    <row r="14" spans="1:4" ht="11.25" customHeight="1">
      <c r="A14" s="406"/>
      <c r="B14" s="406"/>
      <c r="C14" s="7"/>
      <c r="D14" s="7"/>
    </row>
    <row r="15" spans="1:4" ht="11.25" customHeight="1">
      <c r="A15" s="406"/>
      <c r="B15" s="406"/>
      <c r="C15" s="7"/>
      <c r="D15" s="7"/>
    </row>
    <row r="16" spans="1:4" ht="11.25" customHeight="1">
      <c r="A16" s="406"/>
      <c r="B16" s="406"/>
      <c r="C16" s="7"/>
      <c r="D16" s="7"/>
    </row>
    <row r="17" spans="1:6" ht="11.25" customHeight="1">
      <c r="A17" s="406"/>
      <c r="B17" s="406"/>
      <c r="C17" s="7"/>
      <c r="D17" s="7"/>
    </row>
    <row r="18" spans="1:6" ht="11.25" customHeight="1">
      <c r="A18" s="406"/>
      <c r="B18" s="406"/>
      <c r="C18" s="7"/>
      <c r="D18" s="7"/>
      <c r="F18" s="2"/>
    </row>
    <row r="19" spans="1:6" ht="11.25" customHeight="1">
      <c r="A19" s="406"/>
      <c r="B19" s="406"/>
      <c r="C19" s="7"/>
      <c r="D19" s="7"/>
      <c r="F19" s="2"/>
    </row>
    <row r="20" spans="1:6" ht="11.25" customHeight="1">
      <c r="A20" s="406"/>
      <c r="B20" s="406"/>
      <c r="C20" s="7"/>
      <c r="D20" s="7"/>
      <c r="F20" s="2"/>
    </row>
    <row r="21" spans="1:6" ht="11.25" customHeight="1">
      <c r="A21" s="406"/>
      <c r="B21" s="406"/>
      <c r="C21" s="7"/>
      <c r="D21" s="7"/>
      <c r="F21" s="2"/>
    </row>
    <row r="22" spans="1:6" ht="11.25" customHeight="1">
      <c r="A22" s="406"/>
      <c r="B22" s="406"/>
      <c r="C22" s="7"/>
      <c r="D22" s="7"/>
      <c r="F22" s="2"/>
    </row>
    <row r="23" spans="1:6" ht="11.25" customHeight="1">
      <c r="A23" s="406"/>
      <c r="B23" s="406"/>
      <c r="C23" s="7"/>
      <c r="D23" s="7"/>
      <c r="F23" s="2"/>
    </row>
    <row r="24" spans="1:6" ht="11.25" customHeight="1">
      <c r="A24" s="406"/>
      <c r="B24" s="406"/>
      <c r="C24" s="7"/>
      <c r="D24" s="7"/>
      <c r="F24" s="2"/>
    </row>
    <row r="25" spans="1:6" ht="11.25" customHeight="1">
      <c r="A25" s="406"/>
      <c r="B25" s="406"/>
      <c r="C25" s="7"/>
      <c r="D25" s="7"/>
      <c r="F25" s="2"/>
    </row>
    <row r="26" spans="1:6" ht="11.25" customHeight="1">
      <c r="A26" s="406"/>
      <c r="B26" s="406"/>
      <c r="C26" s="7"/>
      <c r="D26" s="7"/>
      <c r="F26" s="2"/>
    </row>
    <row r="27" spans="1:6" ht="11.25" customHeight="1">
      <c r="A27" s="406"/>
      <c r="B27" s="406"/>
      <c r="C27" s="7"/>
      <c r="D27" s="7"/>
      <c r="F27" s="2"/>
    </row>
    <row r="28" spans="1:6" ht="11.25" customHeight="1">
      <c r="A28" s="406"/>
      <c r="B28" s="406"/>
      <c r="C28" s="9"/>
      <c r="D28" s="9"/>
      <c r="F28" s="2"/>
    </row>
    <row r="29" spans="1:6" ht="11.25" customHeight="1">
      <c r="A29" s="406"/>
      <c r="B29" s="406"/>
      <c r="C29" s="7"/>
      <c r="D29" s="7"/>
      <c r="F29" s="2"/>
    </row>
    <row r="30" spans="1:6" ht="11.25" customHeight="1">
      <c r="A30" s="406"/>
      <c r="B30" s="406"/>
      <c r="C30" s="7"/>
      <c r="D30" s="7"/>
    </row>
    <row r="31" spans="1:6" ht="11.25" customHeight="1">
      <c r="A31" s="406"/>
      <c r="B31" s="406"/>
      <c r="C31" s="7"/>
      <c r="D31" s="7"/>
    </row>
    <row r="32" spans="1:6" ht="11.25" customHeight="1">
      <c r="A32" s="406"/>
      <c r="B32" s="406"/>
      <c r="C32" s="7"/>
      <c r="D32" s="7"/>
    </row>
    <row r="33" spans="1:4" ht="11.25" customHeight="1">
      <c r="A33" s="406"/>
      <c r="B33" s="406"/>
      <c r="C33" s="7"/>
      <c r="D33" s="7"/>
    </row>
    <row r="34" spans="1:4" ht="11.25" customHeight="1">
      <c r="A34" s="406"/>
      <c r="B34" s="406"/>
      <c r="C34" s="7"/>
      <c r="D34" s="7"/>
    </row>
    <row r="35" spans="1:4" ht="11.25" customHeight="1">
      <c r="A35" s="406"/>
      <c r="B35" s="406"/>
      <c r="C35" s="7"/>
      <c r="D35" s="7"/>
    </row>
    <row r="36" spans="1:4" ht="11.25" customHeight="1">
      <c r="A36" s="406"/>
      <c r="B36" s="406"/>
      <c r="C36" s="7"/>
      <c r="D36" s="7"/>
    </row>
    <row r="37" spans="1:4" ht="11.25" customHeight="1">
      <c r="A37" s="406"/>
      <c r="B37" s="406"/>
      <c r="C37" s="10"/>
      <c r="D37" s="10"/>
    </row>
    <row r="38" spans="1:4" ht="11.25" customHeight="1">
      <c r="A38" s="406"/>
      <c r="B38" s="406"/>
    </row>
    <row r="39" spans="1:4" ht="11.25" customHeight="1">
      <c r="A39" s="406"/>
      <c r="B39" s="406"/>
    </row>
    <row r="40" spans="1:4" ht="11.25" customHeight="1">
      <c r="A40" s="406"/>
      <c r="B40" s="406"/>
    </row>
    <row r="41" spans="1:4" ht="11.25" customHeight="1">
      <c r="A41" s="406"/>
      <c r="B41" s="406"/>
    </row>
    <row r="42" spans="1:4" ht="11.25" customHeight="1">
      <c r="A42" s="406"/>
      <c r="B42" s="406"/>
    </row>
    <row r="43" spans="1:4" ht="11.25" customHeight="1">
      <c r="A43" s="406"/>
      <c r="B43" s="406"/>
    </row>
    <row r="44" spans="1:4" ht="11.25" customHeight="1">
      <c r="A44" s="406"/>
      <c r="B44" s="406"/>
    </row>
    <row r="45" spans="1:4" ht="11.25" customHeight="1">
      <c r="A45" s="406"/>
      <c r="B45" s="406"/>
    </row>
    <row r="46" spans="1:4" ht="11.25" customHeight="1">
      <c r="A46" s="406"/>
      <c r="B46" s="406"/>
    </row>
    <row r="47" spans="1:4" ht="11.25" customHeight="1">
      <c r="A47" s="406"/>
      <c r="B47" s="406"/>
    </row>
    <row r="48" spans="1:4" ht="11.25" customHeight="1">
      <c r="A48" s="406"/>
      <c r="B48" s="406"/>
    </row>
    <row r="49" spans="1:2" ht="11.25" customHeight="1">
      <c r="A49" s="406"/>
      <c r="B49" s="406"/>
    </row>
    <row r="50" spans="1:2" ht="11.25" customHeight="1">
      <c r="A50" s="406"/>
      <c r="B50" s="406"/>
    </row>
    <row r="51" spans="1:2" ht="11.25" customHeight="1">
      <c r="A51" s="406"/>
      <c r="B51" s="406"/>
    </row>
    <row r="52" spans="1:2" ht="11.25" customHeight="1">
      <c r="A52" s="406"/>
      <c r="B52" s="406"/>
    </row>
    <row r="53" spans="1:2" ht="11.25" customHeight="1">
      <c r="A53" s="406"/>
      <c r="B53" s="406"/>
    </row>
    <row r="54" spans="1:2" ht="11.25" customHeight="1">
      <c r="A54" s="406"/>
      <c r="B54" s="406"/>
    </row>
    <row r="55" spans="1:2" ht="11.25" customHeight="1">
      <c r="A55" s="406"/>
      <c r="B55" s="406"/>
    </row>
    <row r="56" spans="1:2" ht="11.25" customHeight="1">
      <c r="A56" s="406"/>
      <c r="B56" s="406"/>
    </row>
    <row r="57" spans="1:2" ht="11.25" customHeight="1">
      <c r="A57" s="406"/>
      <c r="B57" s="406"/>
    </row>
    <row r="58" spans="1:2" ht="11.25" customHeight="1">
      <c r="A58" s="406"/>
      <c r="B58" s="406"/>
    </row>
    <row r="59" spans="1:2" ht="11.25" customHeight="1">
      <c r="A59" s="406"/>
      <c r="B59" s="406"/>
    </row>
    <row r="60" spans="1:2" ht="11.25" customHeight="1">
      <c r="A60" s="406"/>
      <c r="B60" s="406"/>
    </row>
    <row r="61" spans="1:2" ht="11.25" customHeight="1">
      <c r="A61" s="406"/>
      <c r="B61" s="406"/>
    </row>
    <row r="62" spans="1:2" ht="11.25" customHeight="1">
      <c r="A62" s="406"/>
      <c r="B62" s="406"/>
    </row>
    <row r="63" spans="1:2" ht="11.25" customHeight="1">
      <c r="A63" s="406"/>
      <c r="B63" s="406"/>
    </row>
    <row r="64" spans="1:2" ht="11.25" customHeight="1">
      <c r="A64" s="406"/>
      <c r="B64" s="406"/>
    </row>
    <row r="65" spans="1:2" ht="11.25" customHeight="1">
      <c r="A65" s="406"/>
      <c r="B65" s="406"/>
    </row>
    <row r="66" spans="1:2" ht="11.25" customHeight="1">
      <c r="A66" s="406"/>
      <c r="B66" s="406"/>
    </row>
    <row r="67" spans="1:2" ht="11.25" customHeight="1">
      <c r="A67" s="406"/>
      <c r="B67" s="406"/>
    </row>
    <row r="68" spans="1:2" ht="11.25" customHeight="1">
      <c r="A68" s="406"/>
      <c r="B68" s="406"/>
    </row>
    <row r="69" spans="1:2" ht="11.25" customHeight="1">
      <c r="A69" s="406"/>
      <c r="B69" s="406"/>
    </row>
    <row r="70" spans="1:2" ht="11.25" customHeight="1">
      <c r="A70" s="406"/>
      <c r="B70" s="406"/>
    </row>
    <row r="71" spans="1:2" ht="11.25" customHeight="1">
      <c r="A71" s="406"/>
      <c r="B71" s="406"/>
    </row>
    <row r="72" spans="1:2" ht="11.25" customHeight="1">
      <c r="A72" s="11"/>
      <c r="B72" s="11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492" t="str">
        <f>"6.10 Spotřeba zemního plynu a teplota ovzduší podle krajů: "&amp;LOWER(A3)</f>
        <v>6.10 Spotřeba zemního plynu a teplota ovzduší podle krajů: prosinec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ht="6" customHeight="1">
      <c r="A2" s="496"/>
      <c r="B2" s="496"/>
      <c r="C2" s="305"/>
      <c r="D2" s="306"/>
      <c r="E2" s="307"/>
      <c r="F2" s="307"/>
      <c r="G2" s="307"/>
      <c r="H2" s="307"/>
      <c r="I2" s="76"/>
      <c r="J2" s="76"/>
      <c r="K2" s="76"/>
    </row>
    <row r="3" spans="1:11" ht="20.100000000000001" customHeight="1">
      <c r="A3" s="460" t="str">
        <f>'3.1'!F5</f>
        <v>Prosinec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</row>
    <row r="4" spans="1:11" ht="20.100000000000001" customHeight="1">
      <c r="A4" s="129"/>
      <c r="B4" s="257">
        <f>'3.1'!A4</f>
        <v>2022</v>
      </c>
      <c r="C4" s="515" t="s">
        <v>60</v>
      </c>
      <c r="D4" s="516"/>
      <c r="E4" s="516"/>
      <c r="F4" s="517"/>
      <c r="G4" s="518" t="s">
        <v>187</v>
      </c>
      <c r="H4" s="518"/>
      <c r="I4" s="518"/>
      <c r="J4" s="518"/>
      <c r="K4" s="518"/>
    </row>
    <row r="5" spans="1:11" ht="49.5" customHeight="1">
      <c r="A5" s="277"/>
      <c r="B5" s="477" t="s">
        <v>186</v>
      </c>
      <c r="C5" s="350"/>
      <c r="D5" s="351"/>
      <c r="E5" s="477" t="s">
        <v>281</v>
      </c>
      <c r="F5" s="497" t="s">
        <v>284</v>
      </c>
      <c r="G5" s="374" t="s">
        <v>62</v>
      </c>
      <c r="H5" s="374" t="s">
        <v>174</v>
      </c>
      <c r="I5" s="374" t="s">
        <v>175</v>
      </c>
      <c r="J5" s="374" t="s">
        <v>286</v>
      </c>
      <c r="K5" s="374" t="s">
        <v>287</v>
      </c>
    </row>
    <row r="6" spans="1:11" ht="15" customHeight="1">
      <c r="A6" s="222" t="s">
        <v>188</v>
      </c>
      <c r="B6" s="464"/>
      <c r="C6" s="224" t="s">
        <v>263</v>
      </c>
      <c r="D6" s="222" t="s">
        <v>264</v>
      </c>
      <c r="E6" s="464"/>
      <c r="F6" s="498"/>
      <c r="G6" s="222" t="s">
        <v>232</v>
      </c>
      <c r="H6" s="222" t="s">
        <v>232</v>
      </c>
      <c r="I6" s="222" t="s">
        <v>232</v>
      </c>
      <c r="J6" s="222" t="s">
        <v>232</v>
      </c>
      <c r="K6" s="222" t="s">
        <v>232</v>
      </c>
    </row>
    <row r="7" spans="1:11" ht="14.1" customHeight="1">
      <c r="A7" s="155" t="s">
        <v>8</v>
      </c>
      <c r="B7" s="130">
        <f>'6.1'!D26</f>
        <v>103587</v>
      </c>
      <c r="C7" s="318">
        <f>'6.1'!E26</f>
        <v>33058.754269999998</v>
      </c>
      <c r="D7" s="130">
        <f>'6.1'!F26</f>
        <v>360697.33432000002</v>
      </c>
      <c r="E7" s="312">
        <f>D7/$D$21</f>
        <v>3.490960863642726E-2</v>
      </c>
      <c r="F7" s="337">
        <f>'6.1'!H26</f>
        <v>-0.1264963414315815</v>
      </c>
      <c r="G7" s="331">
        <v>0.32903225806451614</v>
      </c>
      <c r="H7" s="332">
        <v>10.7</v>
      </c>
      <c r="I7" s="332">
        <v>-9.6</v>
      </c>
      <c r="J7" s="332">
        <v>-0.5</v>
      </c>
      <c r="K7" s="331">
        <v>0.82903225806451619</v>
      </c>
    </row>
    <row r="8" spans="1:11" ht="14.1" customHeight="1">
      <c r="A8" s="155" t="s">
        <v>9</v>
      </c>
      <c r="B8" s="130">
        <f>'6.1'!D56</f>
        <v>377554</v>
      </c>
      <c r="C8" s="318">
        <f>'6.1'!E56</f>
        <v>129159.09999999999</v>
      </c>
      <c r="D8" s="130">
        <f>'6.1'!F56</f>
        <v>1406139.67557</v>
      </c>
      <c r="E8" s="312">
        <f t="shared" ref="E8:E20" si="0">D8/$D$21</f>
        <v>0.1360913461000304</v>
      </c>
      <c r="F8" s="337">
        <f>'6.1'!H56</f>
        <v>-0.19162086278613608</v>
      </c>
      <c r="G8" s="331">
        <v>0.77741935483870961</v>
      </c>
      <c r="H8" s="332">
        <v>5.3</v>
      </c>
      <c r="I8" s="332">
        <v>-7</v>
      </c>
      <c r="J8" s="332">
        <v>-0.20000000000000009</v>
      </c>
      <c r="K8" s="331">
        <v>0.97741935483870968</v>
      </c>
    </row>
    <row r="9" spans="1:11" ht="14.1" customHeight="1">
      <c r="A9" s="155" t="s">
        <v>10</v>
      </c>
      <c r="B9" s="130">
        <f>'6.2'!D26</f>
        <v>83015</v>
      </c>
      <c r="C9" s="318">
        <f>'6.2'!E26</f>
        <v>24953.799999999996</v>
      </c>
      <c r="D9" s="130">
        <f>'6.2'!F26</f>
        <v>271669.68090000009</v>
      </c>
      <c r="E9" s="312">
        <f t="shared" si="0"/>
        <v>2.6293186381544646E-2</v>
      </c>
      <c r="F9" s="337">
        <f>'6.2'!H26</f>
        <v>-0.62953637487881975</v>
      </c>
      <c r="G9" s="331">
        <v>-0.21290322580645155</v>
      </c>
      <c r="H9" s="332">
        <v>10.3</v>
      </c>
      <c r="I9" s="332">
        <v>-9.4</v>
      </c>
      <c r="J9" s="332">
        <v>-0.80000000000000038</v>
      </c>
      <c r="K9" s="331">
        <v>0.58709677419354889</v>
      </c>
    </row>
    <row r="10" spans="1:11" ht="14.1" customHeight="1">
      <c r="A10" s="155" t="s">
        <v>92</v>
      </c>
      <c r="B10" s="130">
        <f>'6.2'!D56</f>
        <v>116432</v>
      </c>
      <c r="C10" s="318">
        <f>'6.2'!E56</f>
        <v>39053.5</v>
      </c>
      <c r="D10" s="130">
        <f>'6.2'!F56</f>
        <v>425171.85785000003</v>
      </c>
      <c r="E10" s="312">
        <f t="shared" si="0"/>
        <v>4.1149689084195674E-2</v>
      </c>
      <c r="F10" s="337">
        <f>'6.2'!H56</f>
        <v>-0.17363879508078781</v>
      </c>
      <c r="G10" s="331">
        <v>0.1032258064516129</v>
      </c>
      <c r="H10" s="332">
        <v>8</v>
      </c>
      <c r="I10" s="332">
        <v>-8.9</v>
      </c>
      <c r="J10" s="332">
        <v>-0.60000000000000009</v>
      </c>
      <c r="K10" s="331">
        <v>0.70322580645161303</v>
      </c>
    </row>
    <row r="11" spans="1:11" ht="14.1" customHeight="1">
      <c r="A11" s="155" t="s">
        <v>11</v>
      </c>
      <c r="B11" s="130">
        <f>'6.3'!D26</f>
        <v>91944</v>
      </c>
      <c r="C11" s="318">
        <f>'6.3'!E26</f>
        <v>38659.700000000004</v>
      </c>
      <c r="D11" s="130">
        <f>'6.3'!F26</f>
        <v>420884.59591000009</v>
      </c>
      <c r="E11" s="312">
        <f t="shared" si="0"/>
        <v>4.0734752176692868E-2</v>
      </c>
      <c r="F11" s="337">
        <f>'6.3'!H26</f>
        <v>-0.15354535004652695</v>
      </c>
      <c r="G11" s="331">
        <v>0.69032258064516128</v>
      </c>
      <c r="H11" s="332">
        <v>10.1</v>
      </c>
      <c r="I11" s="332">
        <v>-7.2</v>
      </c>
      <c r="J11" s="332">
        <v>-0.20000000000000009</v>
      </c>
      <c r="K11" s="331">
        <v>0.89032258064516134</v>
      </c>
    </row>
    <row r="12" spans="1:11" ht="14.1" customHeight="1">
      <c r="A12" s="155" t="s">
        <v>12</v>
      </c>
      <c r="B12" s="130">
        <f>'6.3'!D56</f>
        <v>372774</v>
      </c>
      <c r="C12" s="318">
        <f>'6.3'!E56</f>
        <v>96935.429000000004</v>
      </c>
      <c r="D12" s="130">
        <f>'6.3'!F56</f>
        <v>1054943.9338699998</v>
      </c>
      <c r="E12" s="312">
        <f t="shared" si="0"/>
        <v>0.10210133638554218</v>
      </c>
      <c r="F12" s="337">
        <f>'6.3'!H56</f>
        <v>-0.14355612705946613</v>
      </c>
      <c r="G12" s="331">
        <v>0.46129032258064512</v>
      </c>
      <c r="H12" s="332">
        <v>9</v>
      </c>
      <c r="I12" s="332">
        <v>-9.5</v>
      </c>
      <c r="J12" s="332">
        <v>-0.5</v>
      </c>
      <c r="K12" s="331">
        <v>0.96129032258064506</v>
      </c>
    </row>
    <row r="13" spans="1:11" ht="14.1" customHeight="1">
      <c r="A13" s="155" t="s">
        <v>13</v>
      </c>
      <c r="B13" s="130">
        <f>'6.4'!D26</f>
        <v>184573</v>
      </c>
      <c r="C13" s="318">
        <f>'6.4'!E26</f>
        <v>58036.299999999996</v>
      </c>
      <c r="D13" s="130">
        <f>'6.4'!F26</f>
        <v>631834.13179000013</v>
      </c>
      <c r="E13" s="312">
        <f t="shared" si="0"/>
        <v>6.1151220608570721E-2</v>
      </c>
      <c r="F13" s="337">
        <f>'6.4'!H26</f>
        <v>-0.14877823408624236</v>
      </c>
      <c r="G13" s="331">
        <v>-1.6129032258064401E-2</v>
      </c>
      <c r="H13" s="332">
        <v>7.1</v>
      </c>
      <c r="I13" s="332">
        <v>-8.6999999999999993</v>
      </c>
      <c r="J13" s="332">
        <v>-1.1000000000000005</v>
      </c>
      <c r="K13" s="331">
        <v>1.083870967741936</v>
      </c>
    </row>
    <row r="14" spans="1:11" ht="14.1" customHeight="1">
      <c r="A14" s="155" t="s">
        <v>14</v>
      </c>
      <c r="B14" s="130">
        <f>'6.4'!D56</f>
        <v>134929</v>
      </c>
      <c r="C14" s="318">
        <f>'6.4'!E56</f>
        <v>40575.9</v>
      </c>
      <c r="D14" s="130">
        <f>'6.4'!F56</f>
        <v>441745.90756999998</v>
      </c>
      <c r="E14" s="312">
        <f t="shared" si="0"/>
        <v>4.2753786298655748E-2</v>
      </c>
      <c r="F14" s="337">
        <f>'6.4'!H56</f>
        <v>-0.18439910190413214</v>
      </c>
      <c r="G14" s="331">
        <v>0.3096774193548385</v>
      </c>
      <c r="H14" s="332">
        <v>8</v>
      </c>
      <c r="I14" s="332">
        <v>-8.4</v>
      </c>
      <c r="J14" s="332">
        <v>0.10000000000000005</v>
      </c>
      <c r="K14" s="331">
        <v>0.20967741935483847</v>
      </c>
    </row>
    <row r="15" spans="1:11" ht="14.1" customHeight="1">
      <c r="A15" s="155" t="s">
        <v>15</v>
      </c>
      <c r="B15" s="130">
        <f>'6.5'!D26</f>
        <v>158017</v>
      </c>
      <c r="C15" s="318">
        <f>'6.5'!E26</f>
        <v>43285.600000000006</v>
      </c>
      <c r="D15" s="130">
        <f>'6.5'!F26</f>
        <v>471245.23126999999</v>
      </c>
      <c r="E15" s="312">
        <f t="shared" si="0"/>
        <v>4.5608838852198234E-2</v>
      </c>
      <c r="F15" s="337">
        <f>'6.5'!H26</f>
        <v>-0.14766287417839252</v>
      </c>
      <c r="G15" s="331">
        <v>0.80322580645161279</v>
      </c>
      <c r="H15" s="332">
        <v>12.2</v>
      </c>
      <c r="I15" s="332">
        <v>-9.6</v>
      </c>
      <c r="J15" s="332">
        <v>-0.10000000000000005</v>
      </c>
      <c r="K15" s="331">
        <v>0.90322580645161288</v>
      </c>
    </row>
    <row r="16" spans="1:11" ht="14.1" customHeight="1">
      <c r="A16" s="155" t="s">
        <v>1</v>
      </c>
      <c r="B16" s="130">
        <f>'6.5'!D56</f>
        <v>407583</v>
      </c>
      <c r="C16" s="318">
        <f>'6.5'!E56</f>
        <v>113621.62255990559</v>
      </c>
      <c r="D16" s="130">
        <f>'6.5'!F56</f>
        <v>1242300.834073039</v>
      </c>
      <c r="E16" s="312">
        <f t="shared" si="0"/>
        <v>0.12023442315690065</v>
      </c>
      <c r="F16" s="337">
        <f>'6.5'!H56</f>
        <v>-9.9463256896066735E-2</v>
      </c>
      <c r="G16" s="331">
        <v>2.2677419354838713</v>
      </c>
      <c r="H16" s="332">
        <v>14.4</v>
      </c>
      <c r="I16" s="332">
        <v>-7.9</v>
      </c>
      <c r="J16" s="332">
        <v>1.1000000000000005</v>
      </c>
      <c r="K16" s="331">
        <v>1.1677419354838707</v>
      </c>
    </row>
    <row r="17" spans="1:16" ht="14.1" customHeight="1">
      <c r="A17" s="155" t="s">
        <v>16</v>
      </c>
      <c r="B17" s="130">
        <f>'6.6'!D26</f>
        <v>257704</v>
      </c>
      <c r="C17" s="318">
        <f>'6.6'!E26</f>
        <v>123931.10800000001</v>
      </c>
      <c r="D17" s="130">
        <f>'6.6'!F26</f>
        <v>1349268.6036100001</v>
      </c>
      <c r="E17" s="312">
        <f t="shared" si="0"/>
        <v>0.13058715553371936</v>
      </c>
      <c r="F17" s="337">
        <f>'6.6'!H26</f>
        <v>-0.13271672444094684</v>
      </c>
      <c r="G17" s="331">
        <v>1.2096774193548387</v>
      </c>
      <c r="H17" s="332">
        <v>12.6</v>
      </c>
      <c r="I17" s="332">
        <v>-9.6</v>
      </c>
      <c r="J17" s="332">
        <v>0.69999999999999962</v>
      </c>
      <c r="K17" s="331">
        <v>0.50967741935483912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'6.6'!D56</f>
        <v>219392.20800000001</v>
      </c>
      <c r="C18" s="318">
        <f>'6.6'!E56</f>
        <v>119633.82799999999</v>
      </c>
      <c r="D18" s="130">
        <f>'6.6'!F56</f>
        <v>1305653.9474900002</v>
      </c>
      <c r="E18" s="312">
        <f t="shared" si="0"/>
        <v>0.12636596942811099</v>
      </c>
      <c r="F18" s="337">
        <f>'6.6'!H56</f>
        <v>-8.1395794813192215E-2</v>
      </c>
      <c r="G18" s="331">
        <v>0.82903225806451608</v>
      </c>
      <c r="H18" s="332">
        <v>11.2</v>
      </c>
      <c r="I18" s="332">
        <v>-7.3</v>
      </c>
      <c r="J18" s="332">
        <v>0.89999999999999947</v>
      </c>
      <c r="K18" s="331">
        <v>-7.0967741935483386E-2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'6.7'!D26</f>
        <v>119319</v>
      </c>
      <c r="C19" s="318">
        <f>'6.7'!E26</f>
        <v>39173.509740000001</v>
      </c>
      <c r="D19" s="130">
        <f>'6.7'!F26</f>
        <v>426589.43429999996</v>
      </c>
      <c r="E19" s="312">
        <f t="shared" si="0"/>
        <v>4.128688732319849E-2</v>
      </c>
      <c r="F19" s="337">
        <f>'6.7'!H26</f>
        <v>-0.15057616699056367</v>
      </c>
      <c r="G19" s="331">
        <v>-0.24193548387096758</v>
      </c>
      <c r="H19" s="332">
        <v>7.6</v>
      </c>
      <c r="I19" s="332">
        <v>-9.1</v>
      </c>
      <c r="J19" s="332">
        <v>-1.2000000000000002</v>
      </c>
      <c r="K19" s="331">
        <v>0.95806451612903265</v>
      </c>
      <c r="L19" s="94"/>
      <c r="N19" s="94"/>
      <c r="O19" s="94"/>
      <c r="P19" s="94"/>
    </row>
    <row r="20" spans="1:16" ht="14.1" customHeight="1">
      <c r="A20" s="205" t="s">
        <v>19</v>
      </c>
      <c r="B20" s="315">
        <f>'6.7'!D56</f>
        <v>154458</v>
      </c>
      <c r="C20" s="319">
        <f>'6.7'!E56</f>
        <v>48147.600000000006</v>
      </c>
      <c r="D20" s="315">
        <f>'6.7'!F56</f>
        <v>524177.31829000002</v>
      </c>
      <c r="E20" s="316">
        <f t="shared" si="0"/>
        <v>5.0731800034212862E-2</v>
      </c>
      <c r="F20" s="338">
        <f>'6.7'!H56</f>
        <v>-0.1891217321155797</v>
      </c>
      <c r="G20" s="333">
        <v>7.4193548387096686E-2</v>
      </c>
      <c r="H20" s="334">
        <v>6.4</v>
      </c>
      <c r="I20" s="334">
        <v>-8.9</v>
      </c>
      <c r="J20" s="334">
        <v>-0.10000000000000005</v>
      </c>
      <c r="K20" s="333">
        <v>0.17419354838709672</v>
      </c>
      <c r="L20" s="94"/>
    </row>
    <row r="21" spans="1:16" ht="14.1" customHeight="1">
      <c r="A21" s="155" t="s">
        <v>0</v>
      </c>
      <c r="B21" s="157">
        <f>SUM(B7:B20)</f>
        <v>2781281.2080000001</v>
      </c>
      <c r="C21" s="318">
        <f>SUM(C7:C20)</f>
        <v>948225.75156990555</v>
      </c>
      <c r="D21" s="130">
        <f>SUM(D7:D20)</f>
        <v>10332322.486813039</v>
      </c>
      <c r="E21" s="372">
        <f>SUM(E7:E20)</f>
        <v>1</v>
      </c>
      <c r="F21" s="337"/>
      <c r="G21" s="261">
        <v>0.43548387096774194</v>
      </c>
      <c r="H21" s="261">
        <v>9.5</v>
      </c>
      <c r="I21" s="261">
        <v>-8.5</v>
      </c>
      <c r="J21" s="261">
        <v>-0.38387096774193558</v>
      </c>
      <c r="K21" s="261">
        <v>0.81935483870967751</v>
      </c>
    </row>
    <row r="22" spans="1:16" ht="14.1" customHeight="1">
      <c r="A22" s="205" t="s">
        <v>94</v>
      </c>
      <c r="B22" s="373"/>
      <c r="C22" s="319">
        <f>'5.1'!E27</f>
        <v>17948.142009695417</v>
      </c>
      <c r="D22" s="315">
        <f>'5.1'!F27</f>
        <v>195446.11581800005</v>
      </c>
      <c r="E22" s="373"/>
      <c r="F22" s="338">
        <f>'5.1'!H27</f>
        <v>3.8530319711495328E-2</v>
      </c>
      <c r="G22" s="267">
        <v>0.43548387096774194</v>
      </c>
      <c r="H22" s="267">
        <v>9.5</v>
      </c>
      <c r="I22" s="267">
        <v>-8.5</v>
      </c>
      <c r="J22" s="267">
        <v>-0.38387096774193558</v>
      </c>
      <c r="K22" s="267">
        <v>0.81935483870967751</v>
      </c>
    </row>
    <row r="23" spans="1:16" ht="14.1" customHeight="1">
      <c r="A23" s="205" t="s">
        <v>55</v>
      </c>
      <c r="B23" s="162">
        <f>B21+B22</f>
        <v>2781281.2080000001</v>
      </c>
      <c r="C23" s="319">
        <f t="shared" ref="C23:D23" si="1">C21+C22</f>
        <v>966173.89357960096</v>
      </c>
      <c r="D23" s="315">
        <f t="shared" si="1"/>
        <v>10527768.602631038</v>
      </c>
      <c r="E23" s="373"/>
      <c r="F23" s="338">
        <f>'5.1'!H28</f>
        <v>-0.16844497424424276</v>
      </c>
      <c r="G23" s="267">
        <v>0.43548387096774194</v>
      </c>
      <c r="H23" s="267">
        <v>9.5</v>
      </c>
      <c r="I23" s="267">
        <v>-8.5</v>
      </c>
      <c r="J23" s="267">
        <v>-0.38387096774193558</v>
      </c>
      <c r="K23" s="267">
        <v>0.81935483870967751</v>
      </c>
    </row>
    <row r="24" spans="1:16" ht="15" customHeight="1">
      <c r="A24" s="102"/>
      <c r="B24" s="95"/>
      <c r="C24" s="500" t="s">
        <v>246</v>
      </c>
      <c r="D24" s="500"/>
      <c r="E24" s="500"/>
      <c r="F24" s="500"/>
      <c r="G24" s="503" t="s">
        <v>244</v>
      </c>
      <c r="H24" s="503"/>
      <c r="I24" s="503"/>
      <c r="J24" s="503"/>
      <c r="K24" s="503"/>
    </row>
    <row r="25" spans="1:16" ht="15" customHeight="1">
      <c r="A25" s="95"/>
      <c r="B25" s="95"/>
      <c r="C25" s="500"/>
      <c r="D25" s="500"/>
      <c r="E25" s="500"/>
      <c r="F25" s="500"/>
      <c r="G25" s="503" t="s">
        <v>245</v>
      </c>
      <c r="H25" s="503"/>
      <c r="I25" s="503"/>
      <c r="J25" s="503"/>
      <c r="K25" s="503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65" t="s">
        <v>259</v>
      </c>
      <c r="B29" s="465"/>
      <c r="C29" s="465"/>
      <c r="D29" s="465"/>
      <c r="E29" s="465"/>
      <c r="F29" s="465" t="s">
        <v>61</v>
      </c>
      <c r="G29" s="465"/>
      <c r="H29" s="465"/>
      <c r="I29" s="465"/>
      <c r="J29" s="465"/>
      <c r="K29" s="465"/>
    </row>
    <row r="30" spans="1:16" ht="15" customHeight="1">
      <c r="A30" s="121"/>
      <c r="B30" s="501"/>
      <c r="C30" s="501"/>
      <c r="D30" s="121"/>
      <c r="E30" s="121"/>
      <c r="F30" s="121"/>
      <c r="G30" s="121"/>
      <c r="H30" s="501"/>
      <c r="I30" s="501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492" t="str">
        <f>"6.11 Spotřeba zemního plynu a teplota ovzduší podle krajů: "&amp;(A3)</f>
        <v>6.11 Spotřeba zemního plynu a teplota ovzduší podle krajů: IV. čtvrtletí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ht="6" customHeight="1">
      <c r="A2" s="496"/>
      <c r="B2" s="496"/>
      <c r="C2" s="305"/>
      <c r="D2" s="306"/>
      <c r="E2" s="307"/>
      <c r="F2" s="307"/>
      <c r="G2" s="307"/>
      <c r="H2" s="307"/>
      <c r="I2" s="76"/>
      <c r="J2" s="76"/>
      <c r="K2" s="76"/>
    </row>
    <row r="3" spans="1:11" ht="20.100000000000001" customHeight="1">
      <c r="A3" s="519" t="str">
        <f>'3.1'!G5</f>
        <v>IV. čtvrtletí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</row>
    <row r="4" spans="1:11" ht="20.100000000000001" customHeight="1">
      <c r="A4" s="129"/>
      <c r="B4" s="257">
        <f>'3.1'!A4</f>
        <v>2022</v>
      </c>
      <c r="C4" s="515" t="s">
        <v>60</v>
      </c>
      <c r="D4" s="516"/>
      <c r="E4" s="516"/>
      <c r="F4" s="517"/>
      <c r="G4" s="518" t="s">
        <v>187</v>
      </c>
      <c r="H4" s="518"/>
      <c r="I4" s="518"/>
      <c r="J4" s="518"/>
      <c r="K4" s="518"/>
    </row>
    <row r="5" spans="1:11" ht="49.5" customHeight="1">
      <c r="A5" s="277"/>
      <c r="B5" s="477" t="s">
        <v>186</v>
      </c>
      <c r="C5" s="350"/>
      <c r="D5" s="351"/>
      <c r="E5" s="477" t="s">
        <v>281</v>
      </c>
      <c r="F5" s="497" t="s">
        <v>284</v>
      </c>
      <c r="G5" s="374" t="s">
        <v>62</v>
      </c>
      <c r="H5" s="374" t="s">
        <v>174</v>
      </c>
      <c r="I5" s="374" t="s">
        <v>175</v>
      </c>
      <c r="J5" s="374" t="s">
        <v>286</v>
      </c>
      <c r="K5" s="374" t="s">
        <v>287</v>
      </c>
    </row>
    <row r="6" spans="1:11" ht="15" customHeight="1">
      <c r="A6" s="222" t="s">
        <v>188</v>
      </c>
      <c r="B6" s="464"/>
      <c r="C6" s="224" t="s">
        <v>263</v>
      </c>
      <c r="D6" s="222" t="s">
        <v>264</v>
      </c>
      <c r="E6" s="464"/>
      <c r="F6" s="498"/>
      <c r="G6" s="222" t="s">
        <v>232</v>
      </c>
      <c r="H6" s="222" t="s">
        <v>232</v>
      </c>
      <c r="I6" s="222" t="s">
        <v>232</v>
      </c>
      <c r="J6" s="222" t="s">
        <v>232</v>
      </c>
      <c r="K6" s="222" t="s">
        <v>232</v>
      </c>
    </row>
    <row r="7" spans="1:11" ht="14.1" customHeight="1">
      <c r="A7" s="155" t="s">
        <v>8</v>
      </c>
      <c r="B7" s="130">
        <f>'6.1'!D32</f>
        <v>103587</v>
      </c>
      <c r="C7" s="318">
        <f>'6.1'!E32</f>
        <v>75783.624809999994</v>
      </c>
      <c r="D7" s="130">
        <f>'6.1'!F32</f>
        <v>827005.28000999987</v>
      </c>
      <c r="E7" s="312">
        <f>D7/$D$21</f>
        <v>3.4812021246092215E-2</v>
      </c>
      <c r="F7" s="337">
        <f>'6.1'!H32</f>
        <v>-0.2111501167686341</v>
      </c>
      <c r="G7" s="331">
        <f>AVERAGE('6.8'!G7,'6.9'!G7,'6.10'!G7)</f>
        <v>4.9370250896057337</v>
      </c>
      <c r="H7" s="332">
        <f>MAX('6.8'!H7,'6.9'!H7,'6.10'!H7)</f>
        <v>15</v>
      </c>
      <c r="I7" s="332">
        <f>MIN('6.8'!I7,'6.9'!I7,'6.10'!I7)</f>
        <v>-9.6</v>
      </c>
      <c r="J7" s="332">
        <f>AVERAGE('6.8'!J7,'6.9'!J7,'6.10'!J7)</f>
        <v>3.0999999999999996</v>
      </c>
      <c r="K7" s="331">
        <f>G7-J7</f>
        <v>1.8370250896057341</v>
      </c>
    </row>
    <row r="8" spans="1:11" ht="14.1" customHeight="1">
      <c r="A8" s="155" t="s">
        <v>9</v>
      </c>
      <c r="B8" s="130">
        <f>'6.1'!D62</f>
        <v>377554</v>
      </c>
      <c r="C8" s="318">
        <f>'6.1'!E62</f>
        <v>292356</v>
      </c>
      <c r="D8" s="130">
        <f>'6.1'!F62</f>
        <v>3191635.05076</v>
      </c>
      <c r="E8" s="312">
        <f t="shared" ref="E8:E20" si="0">D8/$D$21</f>
        <v>0.13434892120094596</v>
      </c>
      <c r="F8" s="337">
        <f>'6.1'!H62</f>
        <v>-0.23542152554793006</v>
      </c>
      <c r="G8" s="331">
        <f>AVERAGE('6.8'!G8,'6.9'!G8,'6.10'!G8)</f>
        <v>5.6944086021505376</v>
      </c>
      <c r="H8" s="332">
        <f>MAX('6.8'!H8,'6.9'!H8,'6.10'!H8)</f>
        <v>14.4</v>
      </c>
      <c r="I8" s="332">
        <f>MIN('6.8'!I8,'6.9'!I8,'6.10'!I8)</f>
        <v>-7</v>
      </c>
      <c r="J8" s="332">
        <f>AVERAGE('6.8'!J8,'6.9'!J8,'6.10'!J8)</f>
        <v>3.9666666666666672</v>
      </c>
      <c r="K8" s="331">
        <f t="shared" ref="K8:K23" si="1">G8-J8</f>
        <v>1.7277419354838703</v>
      </c>
    </row>
    <row r="9" spans="1:11" ht="14.1" customHeight="1">
      <c r="A9" s="155" t="s">
        <v>10</v>
      </c>
      <c r="B9" s="130">
        <f>'6.2'!D32</f>
        <v>83015</v>
      </c>
      <c r="C9" s="318">
        <f>'6.2'!E32</f>
        <v>57155.1</v>
      </c>
      <c r="D9" s="130">
        <f>'6.2'!F32</f>
        <v>623975.04079000012</v>
      </c>
      <c r="E9" s="312">
        <f t="shared" si="0"/>
        <v>2.6265651383447136E-2</v>
      </c>
      <c r="F9" s="337">
        <f>'6.2'!H32</f>
        <v>-0.69179969144972786</v>
      </c>
      <c r="G9" s="331">
        <f>AVERAGE('6.8'!G9,'6.9'!G9,'6.10'!G9)</f>
        <v>4.4212186379928307</v>
      </c>
      <c r="H9" s="332">
        <f>MAX('6.8'!H9,'6.9'!H9,'6.10'!H9)</f>
        <v>14.3</v>
      </c>
      <c r="I9" s="332">
        <f>MIN('6.8'!I9,'6.9'!I9,'6.10'!I9)</f>
        <v>-9.4</v>
      </c>
      <c r="J9" s="332">
        <f>AVERAGE('6.8'!J9,'6.9'!J9,'6.10'!J9)</f>
        <v>2.6666666666666661</v>
      </c>
      <c r="K9" s="331">
        <f t="shared" si="1"/>
        <v>1.7545519713261646</v>
      </c>
    </row>
    <row r="10" spans="1:11" ht="14.1" customHeight="1">
      <c r="A10" s="155" t="s">
        <v>92</v>
      </c>
      <c r="B10" s="130">
        <f>'6.2'!D62</f>
        <v>116432</v>
      </c>
      <c r="C10" s="318">
        <f>'6.2'!E62</f>
        <v>89021</v>
      </c>
      <c r="D10" s="130">
        <f>'6.2'!F62</f>
        <v>971845.75577000005</v>
      </c>
      <c r="E10" s="312">
        <f t="shared" si="0"/>
        <v>4.0908946914318005E-2</v>
      </c>
      <c r="F10" s="337">
        <f>'6.2'!H62</f>
        <v>-0.21776914695441296</v>
      </c>
      <c r="G10" s="331">
        <f>AVERAGE('6.8'!G10,'6.9'!G10,'6.10'!G10)</f>
        <v>4.72146953405018</v>
      </c>
      <c r="H10" s="332">
        <f>MAX('6.8'!H10,'6.9'!H10,'6.10'!H10)</f>
        <v>14.8</v>
      </c>
      <c r="I10" s="332">
        <f>MIN('6.8'!I10,'6.9'!I10,'6.10'!I10)</f>
        <v>-8.9</v>
      </c>
      <c r="J10" s="332">
        <f>AVERAGE('6.8'!J10,'6.9'!J10,'6.10'!J10)</f>
        <v>3.2333333333333347</v>
      </c>
      <c r="K10" s="331">
        <f t="shared" si="1"/>
        <v>1.4881362007168453</v>
      </c>
    </row>
    <row r="11" spans="1:11" ht="14.1" customHeight="1">
      <c r="A11" s="155" t="s">
        <v>11</v>
      </c>
      <c r="B11" s="130">
        <f>'6.3'!D32</f>
        <v>91944</v>
      </c>
      <c r="C11" s="318">
        <f>'6.3'!E32</f>
        <v>87162.700000000012</v>
      </c>
      <c r="D11" s="130">
        <f>'6.3'!F32</f>
        <v>951524.09830000007</v>
      </c>
      <c r="E11" s="312">
        <f t="shared" si="0"/>
        <v>4.0053525566109818E-2</v>
      </c>
      <c r="F11" s="337">
        <f>'6.3'!H32</f>
        <v>-0.19547890874284995</v>
      </c>
      <c r="G11" s="331">
        <f>AVERAGE('6.8'!G11,'6.9'!G11,'6.10'!G11)</f>
        <v>5.1378494623655913</v>
      </c>
      <c r="H11" s="332">
        <f>MAX('6.8'!H11,'6.9'!H11,'6.10'!H11)</f>
        <v>15.2</v>
      </c>
      <c r="I11" s="332">
        <f>MIN('6.8'!I11,'6.9'!I11,'6.10'!I11)</f>
        <v>-7.2</v>
      </c>
      <c r="J11" s="332">
        <f>AVERAGE('6.8'!J11,'6.9'!J11,'6.10'!J11)</f>
        <v>3.4333333333333353</v>
      </c>
      <c r="K11" s="331">
        <f t="shared" si="1"/>
        <v>1.7045161290322559</v>
      </c>
    </row>
    <row r="12" spans="1:11" ht="14.1" customHeight="1">
      <c r="A12" s="155" t="s">
        <v>12</v>
      </c>
      <c r="B12" s="130">
        <f>'6.3'!D62</f>
        <v>372774</v>
      </c>
      <c r="C12" s="318">
        <f>'6.3'!E62</f>
        <v>219329.13099999999</v>
      </c>
      <c r="D12" s="130">
        <f>'6.3'!F62</f>
        <v>2393245.4872799995</v>
      </c>
      <c r="E12" s="312">
        <f t="shared" si="0"/>
        <v>0.10074145203679745</v>
      </c>
      <c r="F12" s="337">
        <f>'6.3'!H62</f>
        <v>-0.19577994699474724</v>
      </c>
      <c r="G12" s="331">
        <f>AVERAGE('6.8'!G12,'6.9'!G12,'6.10'!G12)</f>
        <v>5.4581003584229393</v>
      </c>
      <c r="H12" s="332">
        <f>MAX('6.8'!H12,'6.9'!H12,'6.10'!H12)</f>
        <v>15.4</v>
      </c>
      <c r="I12" s="332">
        <f>MIN('6.8'!I12,'6.9'!I12,'6.10'!I12)</f>
        <v>-9.5</v>
      </c>
      <c r="J12" s="332">
        <f>AVERAGE('6.8'!J12,'6.9'!J12,'6.10'!J12)</f>
        <v>3.4666666666666655</v>
      </c>
      <c r="K12" s="331">
        <f t="shared" si="1"/>
        <v>1.9914336917562738</v>
      </c>
    </row>
    <row r="13" spans="1:11" ht="14.1" customHeight="1">
      <c r="A13" s="155" t="s">
        <v>13</v>
      </c>
      <c r="B13" s="130">
        <f>'6.4'!D32</f>
        <v>184573</v>
      </c>
      <c r="C13" s="318">
        <f>'6.4'!E32</f>
        <v>132800.20000000001</v>
      </c>
      <c r="D13" s="130">
        <f>'6.4'!F32</f>
        <v>1449788.1042100003</v>
      </c>
      <c r="E13" s="312">
        <f t="shared" si="0"/>
        <v>6.1027487376477223E-2</v>
      </c>
      <c r="F13" s="337">
        <f>'6.4'!H32</f>
        <v>-0.1861436258227413</v>
      </c>
      <c r="G13" s="331">
        <f>AVERAGE('6.8'!G13,'6.9'!G13,'6.10'!G13)</f>
        <v>4.9455913978494621</v>
      </c>
      <c r="H13" s="332">
        <f>MAX('6.8'!H13,'6.9'!H13,'6.10'!H13)</f>
        <v>14.4</v>
      </c>
      <c r="I13" s="332">
        <f>MIN('6.8'!I13,'6.9'!I13,'6.10'!I13)</f>
        <v>-8.6999999999999993</v>
      </c>
      <c r="J13" s="332">
        <f>AVERAGE('6.8'!J13,'6.9'!J13,'6.10'!J13)</f>
        <v>2.8999999999999986</v>
      </c>
      <c r="K13" s="331">
        <f t="shared" si="1"/>
        <v>2.0455913978494635</v>
      </c>
    </row>
    <row r="14" spans="1:11" ht="14.1" customHeight="1">
      <c r="A14" s="155" t="s">
        <v>14</v>
      </c>
      <c r="B14" s="130">
        <f>'6.4'!D62</f>
        <v>134929</v>
      </c>
      <c r="C14" s="318">
        <f>'6.4'!E62</f>
        <v>93200.9</v>
      </c>
      <c r="D14" s="130">
        <f>'6.4'!F62</f>
        <v>1017504.09172</v>
      </c>
      <c r="E14" s="312">
        <f t="shared" si="0"/>
        <v>4.2830892274973255E-2</v>
      </c>
      <c r="F14" s="337">
        <f>'6.4'!H62</f>
        <v>-0.22803226330140575</v>
      </c>
      <c r="G14" s="331">
        <f>AVERAGE('6.8'!G14,'6.9'!G14,'6.10'!G14)</f>
        <v>5.2220430107526887</v>
      </c>
      <c r="H14" s="332">
        <f>MAX('6.8'!H14,'6.9'!H14,'6.10'!H14)</f>
        <v>15</v>
      </c>
      <c r="I14" s="332">
        <f>MIN('6.8'!I14,'6.9'!I14,'6.10'!I14)</f>
        <v>-8.4</v>
      </c>
      <c r="J14" s="332">
        <f>AVERAGE('6.8'!J14,'6.9'!J14,'6.10'!J14)</f>
        <v>3.8333333333333339</v>
      </c>
      <c r="K14" s="331">
        <f t="shared" si="1"/>
        <v>1.3887096774193548</v>
      </c>
    </row>
    <row r="15" spans="1:11" ht="14.1" customHeight="1">
      <c r="A15" s="155" t="s">
        <v>15</v>
      </c>
      <c r="B15" s="130">
        <f>'6.5'!D32</f>
        <v>158017</v>
      </c>
      <c r="C15" s="318">
        <f>'6.5'!E32</f>
        <v>100173.7</v>
      </c>
      <c r="D15" s="130">
        <f>'6.5'!F32</f>
        <v>1093658.6042399998</v>
      </c>
      <c r="E15" s="312">
        <f t="shared" si="0"/>
        <v>4.6036545941174727E-2</v>
      </c>
      <c r="F15" s="337">
        <f>'6.5'!H32</f>
        <v>-0.20032171153731018</v>
      </c>
      <c r="G15" s="331">
        <f>AVERAGE('6.8'!G15,'6.9'!G15,'6.10'!G15)</f>
        <v>5.2572759856630817</v>
      </c>
      <c r="H15" s="332">
        <f>MAX('6.8'!H15,'6.9'!H15,'6.10'!H15)</f>
        <v>15.5</v>
      </c>
      <c r="I15" s="332">
        <f>MIN('6.8'!I15,'6.9'!I15,'6.10'!I15)</f>
        <v>-9.6</v>
      </c>
      <c r="J15" s="332">
        <f>AVERAGE('6.8'!J15,'6.9'!J15,'6.10'!J15)</f>
        <v>3.3999999999999986</v>
      </c>
      <c r="K15" s="331">
        <f t="shared" si="1"/>
        <v>1.8572759856630832</v>
      </c>
    </row>
    <row r="16" spans="1:11" ht="14.1" customHeight="1">
      <c r="A16" s="155" t="s">
        <v>1</v>
      </c>
      <c r="B16" s="130">
        <f>'6.5'!D62</f>
        <v>407583</v>
      </c>
      <c r="C16" s="318">
        <f>'6.5'!E62</f>
        <v>241248.11830245561</v>
      </c>
      <c r="D16" s="130">
        <f>'6.5'!F62</f>
        <v>2640854.2664519432</v>
      </c>
      <c r="E16" s="312">
        <f t="shared" si="0"/>
        <v>0.11116431424772365</v>
      </c>
      <c r="F16" s="337">
        <f>'6.5'!H62</f>
        <v>-0.18254126726971195</v>
      </c>
      <c r="G16" s="331">
        <f>AVERAGE('6.8'!G16,'6.9'!G16,'6.10'!G16)</f>
        <v>6.6496774193548385</v>
      </c>
      <c r="H16" s="332">
        <f>MAX('6.8'!H16,'6.9'!H16,'6.10'!H16)</f>
        <v>16.7</v>
      </c>
      <c r="I16" s="332">
        <f>MIN('6.8'!I16,'6.9'!I16,'6.10'!I16)</f>
        <v>-7.9</v>
      </c>
      <c r="J16" s="332">
        <f>AVERAGE('6.8'!J16,'6.9'!J16,'6.10'!J16)</f>
        <v>4.6000000000000014</v>
      </c>
      <c r="K16" s="331">
        <f t="shared" si="1"/>
        <v>2.049677419354837</v>
      </c>
    </row>
    <row r="17" spans="1:16" ht="14.1" customHeight="1">
      <c r="A17" s="155" t="s">
        <v>16</v>
      </c>
      <c r="B17" s="130">
        <f>'6.6'!D32</f>
        <v>257704</v>
      </c>
      <c r="C17" s="318">
        <f>'6.6'!E32</f>
        <v>324929.8679999999</v>
      </c>
      <c r="D17" s="130">
        <f>'6.6'!F32</f>
        <v>3548862.6157210004</v>
      </c>
      <c r="E17" s="312">
        <f t="shared" si="0"/>
        <v>0.14938608466495884</v>
      </c>
      <c r="F17" s="337">
        <f>'6.6'!H32</f>
        <v>-0.1096269733928139</v>
      </c>
      <c r="G17" s="331">
        <f>AVERAGE('6.8'!G17,'6.9'!G17,'6.10'!G17)</f>
        <v>5.6460931899641587</v>
      </c>
      <c r="H17" s="332">
        <f>MAX('6.8'!H17,'6.9'!H17,'6.10'!H17)</f>
        <v>16</v>
      </c>
      <c r="I17" s="332">
        <f>MIN('6.8'!I17,'6.9'!I17,'6.10'!I17)</f>
        <v>-9.6</v>
      </c>
      <c r="J17" s="332">
        <f>AVERAGE('6.8'!J17,'6.9'!J17,'6.10'!J17)</f>
        <v>4.299999999999998</v>
      </c>
      <c r="K17" s="331">
        <f t="shared" si="1"/>
        <v>1.3460931899641606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'6.6'!D62</f>
        <v>219392.20800000001</v>
      </c>
      <c r="C18" s="318">
        <f>'6.6'!E62</f>
        <v>270749.82300000003</v>
      </c>
      <c r="D18" s="130">
        <f>'6.6'!F62</f>
        <v>2960123.3145030001</v>
      </c>
      <c r="E18" s="312">
        <f t="shared" si="0"/>
        <v>0.12460364910159379</v>
      </c>
      <c r="F18" s="337">
        <f>'6.6'!H62</f>
        <v>-0.19551638032230867</v>
      </c>
      <c r="G18" s="331">
        <f>AVERAGE('6.8'!G18,'6.9'!G18,'6.10'!G18)</f>
        <v>5.0886021505376346</v>
      </c>
      <c r="H18" s="332">
        <f>MAX('6.8'!H18,'6.9'!H18,'6.10'!H18)</f>
        <v>15.7</v>
      </c>
      <c r="I18" s="332">
        <f>MIN('6.8'!I18,'6.9'!I18,'6.10'!I18)</f>
        <v>-7.3</v>
      </c>
      <c r="J18" s="332">
        <f>AVERAGE('6.8'!J18,'6.9'!J18,'6.10'!J18)</f>
        <v>4.3333333333333321</v>
      </c>
      <c r="K18" s="331">
        <f t="shared" si="1"/>
        <v>0.7552688172043025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'6.7'!D32</f>
        <v>119319</v>
      </c>
      <c r="C19" s="318">
        <f>'6.7'!E32</f>
        <v>86115.322189999992</v>
      </c>
      <c r="D19" s="130">
        <f>'6.7'!F32</f>
        <v>940003.99891000008</v>
      </c>
      <c r="E19" s="312">
        <f t="shared" si="0"/>
        <v>3.9568597652811698E-2</v>
      </c>
      <c r="F19" s="337">
        <f>'6.7'!H32</f>
        <v>-0.22479136310715256</v>
      </c>
      <c r="G19" s="331">
        <f>AVERAGE('6.8'!G19,'6.9'!G19,'6.10'!G19)</f>
        <v>4.760071684587813</v>
      </c>
      <c r="H19" s="332">
        <f>MAX('6.8'!H19,'6.9'!H19,'6.10'!H19)</f>
        <v>13.5</v>
      </c>
      <c r="I19" s="332">
        <f>MIN('6.8'!I19,'6.9'!I19,'6.10'!I19)</f>
        <v>-9.1</v>
      </c>
      <c r="J19" s="332">
        <f>AVERAGE('6.8'!J19,'6.9'!J19,'6.10'!J19)</f>
        <v>2.7000000000000006</v>
      </c>
      <c r="K19" s="331">
        <f t="shared" si="1"/>
        <v>2.0600716845878124</v>
      </c>
      <c r="L19" s="94"/>
      <c r="N19" s="94"/>
      <c r="O19" s="94"/>
      <c r="P19" s="94"/>
    </row>
    <row r="20" spans="1:16" ht="14.1" customHeight="1">
      <c r="A20" s="205" t="s">
        <v>19</v>
      </c>
      <c r="B20" s="315">
        <f>'6.7'!D62</f>
        <v>154458</v>
      </c>
      <c r="C20" s="319">
        <f>'6.7'!E62</f>
        <v>105012.40000000001</v>
      </c>
      <c r="D20" s="315">
        <f>'6.7'!F62</f>
        <v>1146287.4960099999</v>
      </c>
      <c r="E20" s="316">
        <f t="shared" si="0"/>
        <v>4.8251910392576265E-2</v>
      </c>
      <c r="F20" s="338">
        <f>'6.7'!H62</f>
        <v>-0.24490677857025236</v>
      </c>
      <c r="G20" s="333">
        <f>AVERAGE('6.8'!G20,'6.9'!G20,'6.10'!G20)</f>
        <v>4.9938351254480269</v>
      </c>
      <c r="H20" s="334">
        <f>MAX('6.8'!H20,'6.9'!H20,'6.10'!H20)</f>
        <v>14.2</v>
      </c>
      <c r="I20" s="334">
        <f>MIN('6.8'!I20,'6.9'!I20,'6.10'!I20)</f>
        <v>-8.9</v>
      </c>
      <c r="J20" s="334">
        <f>AVERAGE('6.8'!J20,'6.9'!J20,'6.10'!J20)</f>
        <v>4.0000000000000009</v>
      </c>
      <c r="K20" s="333">
        <f t="shared" si="1"/>
        <v>0.99383512544802599</v>
      </c>
      <c r="L20" s="94"/>
    </row>
    <row r="21" spans="1:16" ht="14.1" customHeight="1">
      <c r="A21" s="155" t="s">
        <v>0</v>
      </c>
      <c r="B21" s="157">
        <f>SUM(B7:B20)</f>
        <v>2781281.2080000001</v>
      </c>
      <c r="C21" s="318">
        <f>SUM(C7:C20)</f>
        <v>2175037.8873024555</v>
      </c>
      <c r="D21" s="130">
        <f>SUM(D7:D20)</f>
        <v>23756313.204675943</v>
      </c>
      <c r="E21" s="372">
        <f>SUM(E7:E20)</f>
        <v>1.0000000000000002</v>
      </c>
      <c r="F21" s="337"/>
      <c r="G21" s="261">
        <f>AVERAGE('6.8'!G21,'6.9'!G21,'6.10'!G21)</f>
        <v>5.1531899641577068</v>
      </c>
      <c r="H21" s="261">
        <f>MAX('6.8'!H21,'6.9'!H21,'6.10'!H21)</f>
        <v>14.9</v>
      </c>
      <c r="I21" s="261">
        <f>MIN('6.8'!I21,'6.9'!I21,'6.10'!I21)</f>
        <v>-8.5</v>
      </c>
      <c r="J21" s="261">
        <f>AVERAGE('6.8'!J21,'6.9'!J21,'6.10'!J21)</f>
        <v>3.83921146953405</v>
      </c>
      <c r="K21" s="261">
        <f t="shared" si="1"/>
        <v>1.3139784946236568</v>
      </c>
      <c r="M21" s="106"/>
    </row>
    <row r="22" spans="1:16" ht="14.1" customHeight="1">
      <c r="A22" s="205" t="s">
        <v>94</v>
      </c>
      <c r="B22" s="373"/>
      <c r="C22" s="319">
        <f>'5.1'!E34</f>
        <v>41719.164992870377</v>
      </c>
      <c r="D22" s="315">
        <f>'5.1'!F34</f>
        <v>456213.83078700001</v>
      </c>
      <c r="E22" s="373"/>
      <c r="F22" s="338">
        <f>'5.1'!H34</f>
        <v>0.22428563187320982</v>
      </c>
      <c r="G22" s="267">
        <f>AVERAGE('6.8'!G22,'6.9'!G22,'6.10'!G22)</f>
        <v>5.1531899641577068</v>
      </c>
      <c r="H22" s="267">
        <f>MAX('6.8'!H22,'6.9'!H22,'6.10'!H22)</f>
        <v>14.9</v>
      </c>
      <c r="I22" s="267">
        <f>MIN('6.8'!I22,'6.9'!I22,'6.10'!I22)</f>
        <v>-8.5</v>
      </c>
      <c r="J22" s="267">
        <f>AVERAGE('6.8'!J22,'6.9'!J22,'6.10'!J22)</f>
        <v>3.83921146953405</v>
      </c>
      <c r="K22" s="267">
        <f t="shared" si="1"/>
        <v>1.3139784946236568</v>
      </c>
    </row>
    <row r="23" spans="1:16" ht="14.1" customHeight="1">
      <c r="A23" s="205" t="s">
        <v>55</v>
      </c>
      <c r="B23" s="162">
        <f>B21+B22</f>
        <v>2781281.2080000001</v>
      </c>
      <c r="C23" s="319">
        <f t="shared" ref="C23:D23" si="2">C21+C22</f>
        <v>2216757.0522953258</v>
      </c>
      <c r="D23" s="315">
        <f t="shared" si="2"/>
        <v>24212527.035462942</v>
      </c>
      <c r="E23" s="373"/>
      <c r="F23" s="338">
        <f>'5.1'!H35</f>
        <v>-0.22185613478418889</v>
      </c>
      <c r="G23" s="267">
        <f>AVERAGE('6.8'!G23,'6.9'!G23,'6.10'!G23)</f>
        <v>5.1531899641577068</v>
      </c>
      <c r="H23" s="267">
        <f>MAX('6.8'!H23,'6.9'!H23,'6.10'!H23)</f>
        <v>14.9</v>
      </c>
      <c r="I23" s="267">
        <f>MIN('6.8'!I23,'6.9'!I23,'6.10'!I23)</f>
        <v>-8.5</v>
      </c>
      <c r="J23" s="267">
        <f>AVERAGE('6.8'!J23,'6.9'!J23,'6.10'!J23)</f>
        <v>3.83921146953405</v>
      </c>
      <c r="K23" s="267">
        <f t="shared" si="1"/>
        <v>1.3139784946236568</v>
      </c>
    </row>
    <row r="24" spans="1:16" ht="15" customHeight="1">
      <c r="A24" s="102"/>
      <c r="B24" s="95"/>
      <c r="C24" s="500" t="s">
        <v>246</v>
      </c>
      <c r="D24" s="500"/>
      <c r="E24" s="500"/>
      <c r="F24" s="500"/>
      <c r="G24" s="503" t="s">
        <v>244</v>
      </c>
      <c r="H24" s="503"/>
      <c r="I24" s="503"/>
      <c r="J24" s="503"/>
      <c r="K24" s="503"/>
    </row>
    <row r="25" spans="1:16" ht="15" customHeight="1">
      <c r="A25" s="95"/>
      <c r="B25" s="95"/>
      <c r="C25" s="500"/>
      <c r="D25" s="500"/>
      <c r="E25" s="500"/>
      <c r="F25" s="500"/>
      <c r="G25" s="503" t="s">
        <v>245</v>
      </c>
      <c r="H25" s="503"/>
      <c r="I25" s="503"/>
      <c r="J25" s="503"/>
      <c r="K25" s="503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65" t="s">
        <v>259</v>
      </c>
      <c r="B29" s="465"/>
      <c r="C29" s="465"/>
      <c r="D29" s="465"/>
      <c r="E29" s="465"/>
      <c r="F29" s="465" t="s">
        <v>61</v>
      </c>
      <c r="G29" s="465"/>
      <c r="H29" s="465"/>
      <c r="I29" s="465"/>
      <c r="J29" s="465"/>
      <c r="K29" s="465"/>
    </row>
    <row r="30" spans="1:16" ht="15" customHeight="1">
      <c r="A30" s="121"/>
      <c r="B30" s="506"/>
      <c r="C30" s="506"/>
      <c r="D30" s="121"/>
      <c r="E30" s="121"/>
      <c r="F30" s="121"/>
      <c r="G30" s="121"/>
      <c r="H30" s="506"/>
      <c r="I30" s="501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58"/>
  <sheetViews>
    <sheetView showGridLines="0" topLeftCell="A28" zoomScaleNormal="100" zoomScaleSheetLayoutView="100" workbookViewId="0">
      <selection activeCell="C1" sqref="C1"/>
    </sheetView>
  </sheetViews>
  <sheetFormatPr defaultRowHeight="11.25"/>
  <cols>
    <col min="1" max="1" width="8" style="12" customWidth="1"/>
    <col min="2" max="2" width="7.7109375" style="12" customWidth="1"/>
    <col min="3" max="3" width="8.42578125" style="12" customWidth="1"/>
    <col min="4" max="11" width="7.7109375" style="12" customWidth="1"/>
    <col min="12" max="13" width="8.5703125" style="12" customWidth="1"/>
    <col min="14" max="15" width="7.7109375" style="12" customWidth="1"/>
    <col min="16" max="16" width="9.140625" style="12" customWidth="1"/>
    <col min="17" max="17" width="7.5703125" style="12" customWidth="1"/>
    <col min="18" max="18" width="8.5703125" style="12" customWidth="1"/>
    <col min="19" max="19" width="9.28515625" style="12" bestFit="1" customWidth="1"/>
    <col min="20" max="20" width="11.42578125" style="12" bestFit="1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18">
      <c r="A1" s="438" t="s">
        <v>312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</row>
    <row r="2" spans="1:22" ht="6" customHeight="1">
      <c r="A2" s="510"/>
      <c r="B2" s="511"/>
      <c r="C2" s="511"/>
      <c r="D2" s="511"/>
      <c r="E2" s="511"/>
      <c r="F2" s="511"/>
      <c r="G2" s="511"/>
      <c r="H2" s="511"/>
      <c r="I2" s="511"/>
      <c r="J2" s="209"/>
      <c r="K2" s="208"/>
      <c r="L2" s="208"/>
      <c r="M2" s="208"/>
      <c r="N2" s="208"/>
      <c r="O2" s="208"/>
      <c r="P2" s="208"/>
      <c r="Q2" s="208"/>
      <c r="R2" s="208"/>
    </row>
    <row r="3" spans="1:22" ht="35.1" customHeight="1">
      <c r="A3" s="434" t="s">
        <v>278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</row>
    <row r="4" spans="1:22" ht="84.95" customHeight="1">
      <c r="A4" s="221">
        <f>'3.1'!A4</f>
        <v>2022</v>
      </c>
      <c r="B4" s="375" t="s">
        <v>68</v>
      </c>
      <c r="C4" s="375" t="s">
        <v>69</v>
      </c>
      <c r="D4" s="375" t="s">
        <v>70</v>
      </c>
      <c r="E4" s="375" t="s">
        <v>91</v>
      </c>
      <c r="F4" s="375" t="s">
        <v>71</v>
      </c>
      <c r="G4" s="375" t="s">
        <v>72</v>
      </c>
      <c r="H4" s="375" t="s">
        <v>73</v>
      </c>
      <c r="I4" s="375" t="s">
        <v>74</v>
      </c>
      <c r="J4" s="375" t="s">
        <v>75</v>
      </c>
      <c r="K4" s="375" t="s">
        <v>76</v>
      </c>
      <c r="L4" s="375" t="s">
        <v>77</v>
      </c>
      <c r="M4" s="375" t="s">
        <v>78</v>
      </c>
      <c r="N4" s="375" t="s">
        <v>79</v>
      </c>
      <c r="O4" s="375" t="s">
        <v>80</v>
      </c>
      <c r="P4" s="375" t="s">
        <v>81</v>
      </c>
      <c r="Q4" s="375" t="s">
        <v>95</v>
      </c>
      <c r="R4" s="375" t="s">
        <v>82</v>
      </c>
    </row>
    <row r="5" spans="1:22" ht="20.100000000000001" customHeight="1">
      <c r="A5" s="177" t="s">
        <v>161</v>
      </c>
      <c r="B5" s="240">
        <v>38941.378410000005</v>
      </c>
      <c r="C5" s="240">
        <v>155040.59999999998</v>
      </c>
      <c r="D5" s="241">
        <v>27716.7</v>
      </c>
      <c r="E5" s="241">
        <v>48268.799999999996</v>
      </c>
      <c r="F5" s="241">
        <v>45371.500000000007</v>
      </c>
      <c r="G5" s="241">
        <v>113382.61799999999</v>
      </c>
      <c r="H5" s="241">
        <v>68290.900000000009</v>
      </c>
      <c r="I5" s="241">
        <v>50033.899999999994</v>
      </c>
      <c r="J5" s="241">
        <v>52042.9</v>
      </c>
      <c r="K5" s="240">
        <v>127940.34146005199</v>
      </c>
      <c r="L5" s="240">
        <v>145375.462</v>
      </c>
      <c r="M5" s="241">
        <v>132512.64600000001</v>
      </c>
      <c r="N5" s="241">
        <v>46827.456590000002</v>
      </c>
      <c r="O5" s="241">
        <v>59006.3</v>
      </c>
      <c r="P5" s="241">
        <v>1110751.502460052</v>
      </c>
      <c r="Q5" s="241">
        <v>23511.330737856249</v>
      </c>
      <c r="R5" s="241">
        <v>1134262.8331979082</v>
      </c>
      <c r="S5" s="56"/>
      <c r="T5" s="57"/>
      <c r="U5" s="57"/>
      <c r="V5" s="57"/>
    </row>
    <row r="6" spans="1:22" ht="20.100000000000001" customHeight="1">
      <c r="A6" s="177" t="s">
        <v>162</v>
      </c>
      <c r="B6" s="240">
        <v>31696.996150000003</v>
      </c>
      <c r="C6" s="241">
        <v>121742.70000000001</v>
      </c>
      <c r="D6" s="241">
        <v>22940.2</v>
      </c>
      <c r="E6" s="241">
        <v>37784.6</v>
      </c>
      <c r="F6" s="241">
        <v>36916.5</v>
      </c>
      <c r="G6" s="241">
        <v>93022.157000000007</v>
      </c>
      <c r="H6" s="241">
        <v>53134.6</v>
      </c>
      <c r="I6" s="241">
        <v>41668.699999999997</v>
      </c>
      <c r="J6" s="241">
        <v>42496.800000000003</v>
      </c>
      <c r="K6" s="240">
        <v>100771.986728381</v>
      </c>
      <c r="L6" s="241">
        <v>113122.25499999999</v>
      </c>
      <c r="M6" s="241">
        <v>89484.081999999995</v>
      </c>
      <c r="N6" s="241">
        <v>37061.16085</v>
      </c>
      <c r="O6" s="241">
        <v>46553.200000000004</v>
      </c>
      <c r="P6" s="241">
        <v>868395.9377283809</v>
      </c>
      <c r="Q6" s="241">
        <v>22104.462365356801</v>
      </c>
      <c r="R6" s="241">
        <v>890500.40009373776</v>
      </c>
      <c r="S6" s="58"/>
      <c r="T6" s="57"/>
      <c r="U6" s="57"/>
      <c r="V6" s="57"/>
    </row>
    <row r="7" spans="1:22" ht="20.100000000000001" customHeight="1">
      <c r="A7" s="180" t="s">
        <v>163</v>
      </c>
      <c r="B7" s="243">
        <v>31895.59232</v>
      </c>
      <c r="C7" s="244">
        <v>122851.00000000001</v>
      </c>
      <c r="D7" s="244">
        <v>22590</v>
      </c>
      <c r="E7" s="244">
        <v>37381.4</v>
      </c>
      <c r="F7" s="244">
        <v>36634.699999999997</v>
      </c>
      <c r="G7" s="244">
        <v>93498.948000000004</v>
      </c>
      <c r="H7" s="244">
        <v>55533.3</v>
      </c>
      <c r="I7" s="244">
        <v>41065.500000000007</v>
      </c>
      <c r="J7" s="244">
        <v>42773.200000000004</v>
      </c>
      <c r="K7" s="243">
        <v>98145.136536463746</v>
      </c>
      <c r="L7" s="244">
        <v>114295.02799999999</v>
      </c>
      <c r="M7" s="244">
        <v>121996.359</v>
      </c>
      <c r="N7" s="244">
        <v>36987.200680000002</v>
      </c>
      <c r="O7" s="244">
        <v>47677.900000000009</v>
      </c>
      <c r="P7" s="244">
        <v>903325.26453646377</v>
      </c>
      <c r="Q7" s="244">
        <v>19294.2278982315</v>
      </c>
      <c r="R7" s="244">
        <v>922619.49243469525</v>
      </c>
      <c r="S7" s="59"/>
      <c r="T7" s="57"/>
      <c r="U7" s="57"/>
      <c r="V7" s="57"/>
    </row>
    <row r="8" spans="1:22" ht="20.100000000000001" customHeight="1">
      <c r="A8" s="177" t="s">
        <v>164</v>
      </c>
      <c r="B8" s="240">
        <v>24568.994149999999</v>
      </c>
      <c r="C8" s="241">
        <v>89320.999999999985</v>
      </c>
      <c r="D8" s="241">
        <v>17419.399999999998</v>
      </c>
      <c r="E8" s="241">
        <v>28343.1</v>
      </c>
      <c r="F8" s="241">
        <v>27124.399999999998</v>
      </c>
      <c r="G8" s="241">
        <v>74293.203999999983</v>
      </c>
      <c r="H8" s="241">
        <v>42480.1</v>
      </c>
      <c r="I8" s="241">
        <v>31564.7</v>
      </c>
      <c r="J8" s="241">
        <v>33066.1</v>
      </c>
      <c r="K8" s="240">
        <v>73032.609774202283</v>
      </c>
      <c r="L8" s="241">
        <v>94732.47</v>
      </c>
      <c r="M8" s="241">
        <v>65685.403000000006</v>
      </c>
      <c r="N8" s="241">
        <v>27965.188849999999</v>
      </c>
      <c r="O8" s="241">
        <v>34955.800000000003</v>
      </c>
      <c r="P8" s="241">
        <v>664552.46977420233</v>
      </c>
      <c r="Q8" s="241">
        <v>6809.6798347968088</v>
      </c>
      <c r="R8" s="241">
        <v>671362.14960899914</v>
      </c>
      <c r="S8" s="58"/>
      <c r="T8" s="57"/>
      <c r="U8" s="57"/>
      <c r="V8" s="57"/>
    </row>
    <row r="9" spans="1:22" ht="20.100000000000001" customHeight="1">
      <c r="A9" s="177" t="s">
        <v>165</v>
      </c>
      <c r="B9" s="240">
        <v>12882.110449999998</v>
      </c>
      <c r="C9" s="241">
        <v>37348.800000000003</v>
      </c>
      <c r="D9" s="241">
        <v>10126.599999999999</v>
      </c>
      <c r="E9" s="241">
        <v>14396.500000000002</v>
      </c>
      <c r="F9" s="241">
        <v>13043.699999999999</v>
      </c>
      <c r="G9" s="241">
        <v>45950.067999999999</v>
      </c>
      <c r="H9" s="241">
        <v>22170.600000000002</v>
      </c>
      <c r="I9" s="241">
        <v>16579.099999999999</v>
      </c>
      <c r="J9" s="241">
        <v>17985.599999999999</v>
      </c>
      <c r="K9" s="240">
        <v>26625.16474560499</v>
      </c>
      <c r="L9" s="241">
        <v>60198.828999999983</v>
      </c>
      <c r="M9" s="241">
        <v>75497.58</v>
      </c>
      <c r="N9" s="241">
        <v>13157.50956</v>
      </c>
      <c r="O9" s="241">
        <v>18309.8</v>
      </c>
      <c r="P9" s="241">
        <v>384271.96175560495</v>
      </c>
      <c r="Q9" s="241">
        <v>4624.2103988143199</v>
      </c>
      <c r="R9" s="241">
        <v>388896.17215441924</v>
      </c>
      <c r="S9" s="58"/>
      <c r="T9" s="57"/>
      <c r="U9" s="57"/>
      <c r="V9" s="57"/>
    </row>
    <row r="10" spans="1:22" ht="20.100000000000001" customHeight="1">
      <c r="A10" s="180" t="s">
        <v>166</v>
      </c>
      <c r="B10" s="243">
        <v>10097.37275</v>
      </c>
      <c r="C10" s="244">
        <v>29148.199999999997</v>
      </c>
      <c r="D10" s="244">
        <v>9111.7999999999993</v>
      </c>
      <c r="E10" s="244">
        <v>11677.7</v>
      </c>
      <c r="F10" s="244">
        <v>11479.300000000001</v>
      </c>
      <c r="G10" s="244">
        <v>38949.074000000001</v>
      </c>
      <c r="H10" s="244">
        <v>17983.400000000001</v>
      </c>
      <c r="I10" s="244">
        <v>13727.599999999999</v>
      </c>
      <c r="J10" s="244">
        <v>15001.500000000002</v>
      </c>
      <c r="K10" s="243">
        <v>18446.038878160678</v>
      </c>
      <c r="L10" s="244">
        <v>50696.456000000006</v>
      </c>
      <c r="M10" s="244">
        <v>84336.543000000005</v>
      </c>
      <c r="N10" s="244">
        <v>10403.93525</v>
      </c>
      <c r="O10" s="244">
        <v>13636.1</v>
      </c>
      <c r="P10" s="244">
        <v>334695.01987816067</v>
      </c>
      <c r="Q10" s="244">
        <v>1659.4749988929134</v>
      </c>
      <c r="R10" s="244">
        <v>336354.4948770536</v>
      </c>
      <c r="S10" s="58"/>
      <c r="T10" s="57"/>
      <c r="U10" s="57"/>
      <c r="V10" s="57"/>
    </row>
    <row r="11" spans="1:22" ht="20.100000000000001" customHeight="1">
      <c r="A11" s="177" t="s">
        <v>167</v>
      </c>
      <c r="B11" s="240">
        <v>8958.2241600000016</v>
      </c>
      <c r="C11" s="241">
        <v>26518.400000000001</v>
      </c>
      <c r="D11" s="241">
        <v>8082.6</v>
      </c>
      <c r="E11" s="241">
        <v>10030</v>
      </c>
      <c r="F11" s="241">
        <v>9220.5999999999985</v>
      </c>
      <c r="G11" s="241">
        <v>34479.811999999998</v>
      </c>
      <c r="H11" s="241">
        <v>16601</v>
      </c>
      <c r="I11" s="241">
        <v>12508.300000000001</v>
      </c>
      <c r="J11" s="241">
        <v>13009.000000000002</v>
      </c>
      <c r="K11" s="240">
        <v>17962.366361616012</v>
      </c>
      <c r="L11" s="241">
        <v>47069.253999999994</v>
      </c>
      <c r="M11" s="241">
        <v>61754.204000000012</v>
      </c>
      <c r="N11" s="241">
        <v>9226.2608299999993</v>
      </c>
      <c r="O11" s="241">
        <v>12477.900000000001</v>
      </c>
      <c r="P11" s="241">
        <v>287897.92135161604</v>
      </c>
      <c r="Q11" s="241">
        <v>671.28885591643552</v>
      </c>
      <c r="R11" s="241">
        <v>288569.21020753245</v>
      </c>
      <c r="S11" s="58"/>
      <c r="T11" s="57"/>
      <c r="U11" s="57"/>
      <c r="V11" s="57"/>
    </row>
    <row r="12" spans="1:22" ht="20.100000000000001" customHeight="1">
      <c r="A12" s="177" t="s">
        <v>168</v>
      </c>
      <c r="B12" s="240">
        <v>9119.3572300000014</v>
      </c>
      <c r="C12" s="241">
        <v>26438.600000000002</v>
      </c>
      <c r="D12" s="241">
        <v>8481.6999999999989</v>
      </c>
      <c r="E12" s="241">
        <v>10294.5</v>
      </c>
      <c r="F12" s="241">
        <v>9604.5999999999985</v>
      </c>
      <c r="G12" s="241">
        <v>31474.873000000003</v>
      </c>
      <c r="H12" s="241">
        <v>16605.8</v>
      </c>
      <c r="I12" s="241">
        <v>12205.5</v>
      </c>
      <c r="J12" s="241">
        <v>13718.499999999998</v>
      </c>
      <c r="K12" s="240">
        <v>17541.661373161754</v>
      </c>
      <c r="L12" s="241">
        <v>47474.409999999996</v>
      </c>
      <c r="M12" s="241">
        <v>84200.642000000022</v>
      </c>
      <c r="N12" s="241">
        <v>10116.36577</v>
      </c>
      <c r="O12" s="241">
        <v>13111.4</v>
      </c>
      <c r="P12" s="241">
        <v>310387.90937316179</v>
      </c>
      <c r="Q12" s="241">
        <v>716.80472523997037</v>
      </c>
      <c r="R12" s="241">
        <v>311104.71409840178</v>
      </c>
      <c r="S12" s="58"/>
      <c r="T12" s="57"/>
      <c r="U12" s="57"/>
      <c r="V12" s="57"/>
    </row>
    <row r="13" spans="1:22" ht="20.100000000000001" customHeight="1">
      <c r="A13" s="180" t="s">
        <v>169</v>
      </c>
      <c r="B13" s="243">
        <v>13299.163200000001</v>
      </c>
      <c r="C13" s="244">
        <v>40772.200000000004</v>
      </c>
      <c r="D13" s="244">
        <v>9803.0999999999985</v>
      </c>
      <c r="E13" s="244">
        <v>14654.399999999998</v>
      </c>
      <c r="F13" s="244">
        <v>14005.899999999998</v>
      </c>
      <c r="G13" s="244">
        <v>42257.100000000006</v>
      </c>
      <c r="H13" s="244">
        <v>21533</v>
      </c>
      <c r="I13" s="244">
        <v>16559.2</v>
      </c>
      <c r="J13" s="244">
        <v>17886.099999999999</v>
      </c>
      <c r="K13" s="243">
        <v>28887.439159226851</v>
      </c>
      <c r="L13" s="244">
        <v>54172.514999999992</v>
      </c>
      <c r="M13" s="244">
        <v>76812.313999999998</v>
      </c>
      <c r="N13" s="244">
        <v>13359.145789999999</v>
      </c>
      <c r="O13" s="244">
        <v>16618.2</v>
      </c>
      <c r="P13" s="244">
        <v>380619.77714922692</v>
      </c>
      <c r="Q13" s="244">
        <v>2738.1834933099349</v>
      </c>
      <c r="R13" s="244">
        <v>383357.96064253687</v>
      </c>
      <c r="S13" s="58"/>
      <c r="T13" s="57"/>
      <c r="U13" s="57"/>
      <c r="V13" s="57"/>
    </row>
    <row r="14" spans="1:22" ht="20.100000000000001" customHeight="1">
      <c r="A14" s="177" t="s">
        <v>170</v>
      </c>
      <c r="B14" s="240">
        <v>16799.163710000001</v>
      </c>
      <c r="C14" s="241">
        <v>65057.399999999994</v>
      </c>
      <c r="D14" s="241">
        <v>12898.900000000001</v>
      </c>
      <c r="E14" s="241">
        <v>19648.5</v>
      </c>
      <c r="F14" s="241">
        <v>18694.800000000003</v>
      </c>
      <c r="G14" s="241">
        <v>48795.364999999998</v>
      </c>
      <c r="H14" s="241">
        <v>29220.399999999998</v>
      </c>
      <c r="I14" s="241">
        <v>21018.400000000001</v>
      </c>
      <c r="J14" s="241">
        <v>23140.5</v>
      </c>
      <c r="K14" s="240">
        <v>45568.983390205918</v>
      </c>
      <c r="L14" s="241">
        <v>73218.576000000001</v>
      </c>
      <c r="M14" s="241">
        <v>83964.798999999999</v>
      </c>
      <c r="N14" s="241">
        <v>18341.774279999998</v>
      </c>
      <c r="O14" s="241">
        <v>21682.2</v>
      </c>
      <c r="P14" s="241">
        <v>498049.76138020592</v>
      </c>
      <c r="Q14" s="241">
        <v>9562.7275538044887</v>
      </c>
      <c r="R14" s="241">
        <v>507612.48893401038</v>
      </c>
      <c r="S14" s="58"/>
      <c r="T14" s="57"/>
      <c r="U14" s="57"/>
      <c r="V14" s="57"/>
    </row>
    <row r="15" spans="1:22" ht="20.100000000000001" customHeight="1">
      <c r="A15" s="177" t="s">
        <v>171</v>
      </c>
      <c r="B15" s="240">
        <v>25925.706830000003</v>
      </c>
      <c r="C15" s="241">
        <v>98139.499999999985</v>
      </c>
      <c r="D15" s="241">
        <v>19302.399999999998</v>
      </c>
      <c r="E15" s="241">
        <v>30319</v>
      </c>
      <c r="F15" s="241">
        <v>29808.2</v>
      </c>
      <c r="G15" s="241">
        <v>73598.336999999985</v>
      </c>
      <c r="H15" s="241">
        <v>45543.5</v>
      </c>
      <c r="I15" s="241">
        <v>31606.600000000002</v>
      </c>
      <c r="J15" s="241">
        <v>33747.599999999999</v>
      </c>
      <c r="K15" s="240">
        <v>82057.512352344085</v>
      </c>
      <c r="L15" s="241">
        <v>127780.18400000001</v>
      </c>
      <c r="M15" s="241">
        <v>67151.196000000011</v>
      </c>
      <c r="N15" s="241">
        <v>28600.038170000003</v>
      </c>
      <c r="O15" s="241">
        <v>35182.6</v>
      </c>
      <c r="P15" s="241">
        <v>728762.37435234396</v>
      </c>
      <c r="Q15" s="241">
        <v>14208.29542937047</v>
      </c>
      <c r="R15" s="241">
        <v>742970.66978171444</v>
      </c>
      <c r="S15" s="58"/>
      <c r="T15" s="57"/>
      <c r="U15" s="57"/>
      <c r="V15" s="57"/>
    </row>
    <row r="16" spans="1:22" ht="20.100000000000001" customHeight="1">
      <c r="A16" s="180" t="s">
        <v>172</v>
      </c>
      <c r="B16" s="243">
        <v>33058.754269999998</v>
      </c>
      <c r="C16" s="244">
        <v>129159.09999999999</v>
      </c>
      <c r="D16" s="244">
        <v>24953.799999999996</v>
      </c>
      <c r="E16" s="244">
        <v>39053.5</v>
      </c>
      <c r="F16" s="244">
        <v>38659.700000000004</v>
      </c>
      <c r="G16" s="244">
        <v>96935.429000000004</v>
      </c>
      <c r="H16" s="244">
        <v>58036.299999999996</v>
      </c>
      <c r="I16" s="244">
        <v>40575.9</v>
      </c>
      <c r="J16" s="244">
        <v>43285.600000000006</v>
      </c>
      <c r="K16" s="243">
        <v>113621.62255990559</v>
      </c>
      <c r="L16" s="244">
        <v>123931.10800000001</v>
      </c>
      <c r="M16" s="244">
        <v>119633.82799999999</v>
      </c>
      <c r="N16" s="244">
        <v>39173.509740000001</v>
      </c>
      <c r="O16" s="244">
        <v>48147.600000000006</v>
      </c>
      <c r="P16" s="244">
        <v>948225.75156990555</v>
      </c>
      <c r="Q16" s="244">
        <v>17948.142009695417</v>
      </c>
      <c r="R16" s="244">
        <v>966173.89357960096</v>
      </c>
      <c r="S16" s="58"/>
      <c r="T16" s="57"/>
      <c r="U16" s="57"/>
      <c r="V16" s="57"/>
    </row>
    <row r="17" spans="1:22" ht="20.100000000000001" customHeight="1">
      <c r="A17" s="177" t="s">
        <v>48</v>
      </c>
      <c r="B17" s="240">
        <f>SUM(B5:B7)</f>
        <v>102533.96688000001</v>
      </c>
      <c r="C17" s="240">
        <f>SUM(C5:C7)</f>
        <v>399634.3</v>
      </c>
      <c r="D17" s="240">
        <f t="shared" ref="D17:J17" si="0">SUM(D5:D7)</f>
        <v>73246.899999999994</v>
      </c>
      <c r="E17" s="240">
        <f t="shared" si="0"/>
        <v>123434.79999999999</v>
      </c>
      <c r="F17" s="240">
        <f t="shared" si="0"/>
        <v>118922.7</v>
      </c>
      <c r="G17" s="240">
        <f t="shared" si="0"/>
        <v>299903.723</v>
      </c>
      <c r="H17" s="240">
        <f t="shared" si="0"/>
        <v>176958.8</v>
      </c>
      <c r="I17" s="240">
        <f t="shared" si="0"/>
        <v>132768.1</v>
      </c>
      <c r="J17" s="240">
        <f t="shared" si="0"/>
        <v>137312.90000000002</v>
      </c>
      <c r="K17" s="240">
        <f>SUM(K5:K7)</f>
        <v>326857.46472489671</v>
      </c>
      <c r="L17" s="240">
        <f t="shared" ref="L17:R17" si="1">SUM(L5:L7)</f>
        <v>372792.745</v>
      </c>
      <c r="M17" s="240">
        <f t="shared" si="1"/>
        <v>343993.087</v>
      </c>
      <c r="N17" s="240">
        <f t="shared" si="1"/>
        <v>120875.81812000001</v>
      </c>
      <c r="O17" s="240">
        <f t="shared" si="1"/>
        <v>153237.40000000002</v>
      </c>
      <c r="P17" s="240">
        <f t="shared" si="1"/>
        <v>2882472.7047248967</v>
      </c>
      <c r="Q17" s="240">
        <f t="shared" si="1"/>
        <v>64910.021001444547</v>
      </c>
      <c r="R17" s="240">
        <f t="shared" si="1"/>
        <v>2947382.7257263414</v>
      </c>
    </row>
    <row r="18" spans="1:22" ht="20.100000000000001" customHeight="1">
      <c r="A18" s="177" t="s">
        <v>56</v>
      </c>
      <c r="B18" s="240">
        <f>SUM(B8:B10)</f>
        <v>47548.477350000001</v>
      </c>
      <c r="C18" s="240">
        <f>SUM(C8:C10)</f>
        <v>155818</v>
      </c>
      <c r="D18" s="240">
        <f t="shared" ref="D18:J18" si="2">SUM(D8:D10)</f>
        <v>36657.799999999996</v>
      </c>
      <c r="E18" s="240">
        <f t="shared" si="2"/>
        <v>54417.3</v>
      </c>
      <c r="F18" s="240">
        <f t="shared" si="2"/>
        <v>51647.4</v>
      </c>
      <c r="G18" s="240">
        <f t="shared" si="2"/>
        <v>159192.34599999999</v>
      </c>
      <c r="H18" s="240">
        <f t="shared" si="2"/>
        <v>82634.100000000006</v>
      </c>
      <c r="I18" s="240">
        <f t="shared" si="2"/>
        <v>61871.4</v>
      </c>
      <c r="J18" s="240">
        <f t="shared" si="2"/>
        <v>66053.2</v>
      </c>
      <c r="K18" s="240">
        <f>SUM(K8:K10)</f>
        <v>118103.81339796796</v>
      </c>
      <c r="L18" s="240">
        <f t="shared" ref="L18:R18" si="3">SUM(L8:L10)</f>
        <v>205627.755</v>
      </c>
      <c r="M18" s="240">
        <f t="shared" si="3"/>
        <v>225519.52600000001</v>
      </c>
      <c r="N18" s="240">
        <f t="shared" si="3"/>
        <v>51526.63366</v>
      </c>
      <c r="O18" s="240">
        <f t="shared" si="3"/>
        <v>66901.700000000012</v>
      </c>
      <c r="P18" s="240">
        <f t="shared" si="3"/>
        <v>1383519.4514079681</v>
      </c>
      <c r="Q18" s="240">
        <f t="shared" si="3"/>
        <v>13093.365232504042</v>
      </c>
      <c r="R18" s="240">
        <f t="shared" si="3"/>
        <v>1396612.816640472</v>
      </c>
    </row>
    <row r="19" spans="1:22" ht="20.100000000000001" customHeight="1">
      <c r="A19" s="177" t="s">
        <v>63</v>
      </c>
      <c r="B19" s="240">
        <f>SUM(B11:B13)</f>
        <v>31376.744590000002</v>
      </c>
      <c r="C19" s="240">
        <f>SUM(C11:C13)</f>
        <v>93729.200000000012</v>
      </c>
      <c r="D19" s="240">
        <f t="shared" ref="D19:J19" si="4">SUM(D11:D13)</f>
        <v>26367.399999999998</v>
      </c>
      <c r="E19" s="240">
        <f t="shared" si="4"/>
        <v>34978.899999999994</v>
      </c>
      <c r="F19" s="240">
        <f t="shared" si="4"/>
        <v>32831.099999999991</v>
      </c>
      <c r="G19" s="240">
        <f t="shared" si="4"/>
        <v>108211.785</v>
      </c>
      <c r="H19" s="240">
        <f t="shared" si="4"/>
        <v>54739.8</v>
      </c>
      <c r="I19" s="240">
        <f t="shared" si="4"/>
        <v>41273</v>
      </c>
      <c r="J19" s="240">
        <f t="shared" si="4"/>
        <v>44613.599999999999</v>
      </c>
      <c r="K19" s="240">
        <f>SUM(K11:K13)</f>
        <v>64391.466894004618</v>
      </c>
      <c r="L19" s="240">
        <f t="shared" ref="L19:R19" si="5">SUM(L11:L13)</f>
        <v>148716.17899999997</v>
      </c>
      <c r="M19" s="240">
        <f t="shared" si="5"/>
        <v>222767.16000000003</v>
      </c>
      <c r="N19" s="240">
        <f t="shared" si="5"/>
        <v>32701.772389999998</v>
      </c>
      <c r="O19" s="240">
        <f t="shared" si="5"/>
        <v>42207.5</v>
      </c>
      <c r="P19" s="240">
        <f t="shared" si="5"/>
        <v>978905.60787400487</v>
      </c>
      <c r="Q19" s="240">
        <f t="shared" si="5"/>
        <v>4126.2770744663412</v>
      </c>
      <c r="R19" s="240">
        <f t="shared" si="5"/>
        <v>983031.8849484711</v>
      </c>
    </row>
    <row r="20" spans="1:22" ht="20.100000000000001" customHeight="1">
      <c r="A20" s="180" t="s">
        <v>57</v>
      </c>
      <c r="B20" s="243">
        <f>SUM(B14:B16)</f>
        <v>75783.624810000008</v>
      </c>
      <c r="C20" s="243">
        <f>SUM(C14:C16)</f>
        <v>292355.99999999994</v>
      </c>
      <c r="D20" s="243">
        <f t="shared" ref="D20:J20" si="6">SUM(D14:D16)</f>
        <v>57155.099999999991</v>
      </c>
      <c r="E20" s="243">
        <f t="shared" si="6"/>
        <v>89021</v>
      </c>
      <c r="F20" s="243">
        <f t="shared" si="6"/>
        <v>87162.700000000012</v>
      </c>
      <c r="G20" s="243">
        <f t="shared" si="6"/>
        <v>219329.13099999999</v>
      </c>
      <c r="H20" s="243">
        <f t="shared" si="6"/>
        <v>132800.19999999998</v>
      </c>
      <c r="I20" s="243">
        <f t="shared" si="6"/>
        <v>93200.9</v>
      </c>
      <c r="J20" s="243">
        <f t="shared" si="6"/>
        <v>100173.70000000001</v>
      </c>
      <c r="K20" s="243">
        <f>SUM(K14:K16)</f>
        <v>241248.11830245558</v>
      </c>
      <c r="L20" s="243">
        <f t="shared" ref="L20:R20" si="7">SUM(L14:L16)</f>
        <v>324929.86800000002</v>
      </c>
      <c r="M20" s="243">
        <f t="shared" si="7"/>
        <v>270749.82299999997</v>
      </c>
      <c r="N20" s="243">
        <f t="shared" si="7"/>
        <v>86115.322190000006</v>
      </c>
      <c r="O20" s="243">
        <f t="shared" si="7"/>
        <v>105012.40000000001</v>
      </c>
      <c r="P20" s="243">
        <f t="shared" si="7"/>
        <v>2175037.8873024555</v>
      </c>
      <c r="Q20" s="243">
        <f t="shared" si="7"/>
        <v>41719.164992870377</v>
      </c>
      <c r="R20" s="243">
        <f t="shared" si="7"/>
        <v>2216757.0522953258</v>
      </c>
    </row>
    <row r="21" spans="1:22" ht="20.100000000000001" customHeight="1">
      <c r="A21" s="177" t="s">
        <v>58</v>
      </c>
      <c r="B21" s="240">
        <f>SUM(B5:B10)</f>
        <v>150082.44423000002</v>
      </c>
      <c r="C21" s="240">
        <f>SUM(C5:C10)</f>
        <v>555452.29999999993</v>
      </c>
      <c r="D21" s="240">
        <f t="shared" ref="D21:J21" si="8">SUM(D5:D10)</f>
        <v>109904.7</v>
      </c>
      <c r="E21" s="240">
        <f t="shared" si="8"/>
        <v>177852.1</v>
      </c>
      <c r="F21" s="240">
        <f t="shared" si="8"/>
        <v>170570.1</v>
      </c>
      <c r="G21" s="240">
        <f t="shared" si="8"/>
        <v>459096.06900000002</v>
      </c>
      <c r="H21" s="240">
        <f t="shared" si="8"/>
        <v>259592.9</v>
      </c>
      <c r="I21" s="240">
        <f t="shared" si="8"/>
        <v>194639.50000000003</v>
      </c>
      <c r="J21" s="240">
        <f t="shared" si="8"/>
        <v>203366.10000000003</v>
      </c>
      <c r="K21" s="240">
        <f>SUM(K5:K10)</f>
        <v>444961.27812286466</v>
      </c>
      <c r="L21" s="240">
        <f t="shared" ref="L21:R21" si="9">SUM(L5:L10)</f>
        <v>578420.5</v>
      </c>
      <c r="M21" s="240">
        <f t="shared" si="9"/>
        <v>569512.61300000001</v>
      </c>
      <c r="N21" s="240">
        <f t="shared" si="9"/>
        <v>172402.45178000003</v>
      </c>
      <c r="O21" s="240">
        <f t="shared" si="9"/>
        <v>220139.1</v>
      </c>
      <c r="P21" s="240">
        <f t="shared" si="9"/>
        <v>4265992.1561328648</v>
      </c>
      <c r="Q21" s="240">
        <f t="shared" si="9"/>
        <v>78003.386233948593</v>
      </c>
      <c r="R21" s="240">
        <f t="shared" si="9"/>
        <v>4343995.5423668129</v>
      </c>
    </row>
    <row r="22" spans="1:22" ht="20.100000000000001" customHeight="1">
      <c r="A22" s="180" t="s">
        <v>59</v>
      </c>
      <c r="B22" s="243">
        <f>SUM(B11:B16)</f>
        <v>107160.3694</v>
      </c>
      <c r="C22" s="243">
        <f>SUM(C11:C16)</f>
        <v>386085.19999999995</v>
      </c>
      <c r="D22" s="243">
        <f t="shared" ref="D22:J22" si="10">SUM(D11:D16)</f>
        <v>83522.5</v>
      </c>
      <c r="E22" s="243">
        <f t="shared" si="10"/>
        <v>123999.9</v>
      </c>
      <c r="F22" s="243">
        <f t="shared" si="10"/>
        <v>119993.79999999999</v>
      </c>
      <c r="G22" s="243">
        <f t="shared" si="10"/>
        <v>327540.91599999997</v>
      </c>
      <c r="H22" s="243">
        <f t="shared" si="10"/>
        <v>187540</v>
      </c>
      <c r="I22" s="243">
        <f t="shared" si="10"/>
        <v>134473.9</v>
      </c>
      <c r="J22" s="243">
        <f t="shared" si="10"/>
        <v>144787.30000000002</v>
      </c>
      <c r="K22" s="243">
        <f>SUM(K11:K16)</f>
        <v>305639.58519646019</v>
      </c>
      <c r="L22" s="243">
        <f t="shared" ref="L22:R22" si="11">SUM(L11:L16)</f>
        <v>473646.04700000002</v>
      </c>
      <c r="M22" s="243">
        <f t="shared" si="11"/>
        <v>493516.98300000001</v>
      </c>
      <c r="N22" s="243">
        <f t="shared" si="11"/>
        <v>118817.09458</v>
      </c>
      <c r="O22" s="243">
        <f t="shared" si="11"/>
        <v>147219.9</v>
      </c>
      <c r="P22" s="243">
        <f t="shared" si="11"/>
        <v>3153943.4951764606</v>
      </c>
      <c r="Q22" s="243">
        <f t="shared" si="11"/>
        <v>45845.442067336713</v>
      </c>
      <c r="R22" s="243">
        <f t="shared" si="11"/>
        <v>3199788.9372437964</v>
      </c>
    </row>
    <row r="23" spans="1:22" ht="20.100000000000001" customHeight="1">
      <c r="A23" s="218" t="s">
        <v>173</v>
      </c>
      <c r="B23" s="397">
        <f>SUM(B5:B16)</f>
        <v>257242.81363000005</v>
      </c>
      <c r="C23" s="397">
        <f>SUM(C5:C16)</f>
        <v>941537.49999999988</v>
      </c>
      <c r="D23" s="397">
        <f t="shared" ref="D23:J23" si="12">SUM(D5:D16)</f>
        <v>193427.19999999998</v>
      </c>
      <c r="E23" s="397">
        <f t="shared" si="12"/>
        <v>301852</v>
      </c>
      <c r="F23" s="397">
        <f t="shared" si="12"/>
        <v>290563.90000000002</v>
      </c>
      <c r="G23" s="397">
        <f t="shared" si="12"/>
        <v>786636.98499999987</v>
      </c>
      <c r="H23" s="397">
        <f t="shared" si="12"/>
        <v>447132.9</v>
      </c>
      <c r="I23" s="397">
        <f t="shared" si="12"/>
        <v>329113.40000000002</v>
      </c>
      <c r="J23" s="397">
        <f t="shared" si="12"/>
        <v>348153.4</v>
      </c>
      <c r="K23" s="397">
        <f>SUM(K5:K16)</f>
        <v>750600.86331932491</v>
      </c>
      <c r="L23" s="397">
        <f t="shared" ref="L23:R23" si="13">SUM(L5:L16)</f>
        <v>1052066.547</v>
      </c>
      <c r="M23" s="397">
        <f t="shared" si="13"/>
        <v>1063029.5960000001</v>
      </c>
      <c r="N23" s="397">
        <f t="shared" si="13"/>
        <v>291219.54636000009</v>
      </c>
      <c r="O23" s="397">
        <f t="shared" si="13"/>
        <v>367359</v>
      </c>
      <c r="P23" s="397">
        <f t="shared" si="13"/>
        <v>7419935.6513093244</v>
      </c>
      <c r="Q23" s="397">
        <f t="shared" si="13"/>
        <v>123848.82830128531</v>
      </c>
      <c r="R23" s="397">
        <f t="shared" si="13"/>
        <v>7543784.4796106098</v>
      </c>
    </row>
    <row r="25" spans="1:22" ht="12" customHeight="1">
      <c r="A25" s="60"/>
      <c r="B25" s="60"/>
      <c r="C25" s="60"/>
      <c r="H25" s="60"/>
      <c r="I25" s="60"/>
      <c r="J25" s="60"/>
      <c r="K25" s="60"/>
      <c r="O25" s="60"/>
      <c r="P25" s="60"/>
      <c r="Q25" s="60"/>
      <c r="R25" s="60"/>
    </row>
    <row r="26" spans="1:22" ht="12" customHeight="1">
      <c r="E26" s="63"/>
      <c r="F26" s="63"/>
      <c r="G26" s="63"/>
      <c r="H26" s="63"/>
      <c r="L26" s="63"/>
      <c r="M26" s="63"/>
      <c r="N26" s="63"/>
    </row>
    <row r="27" spans="1:22" ht="12" customHeight="1">
      <c r="E27" s="63"/>
      <c r="F27" s="63"/>
      <c r="G27" s="63"/>
      <c r="L27" s="63"/>
      <c r="M27" s="63"/>
      <c r="N27" s="63"/>
    </row>
    <row r="28" spans="1:22" ht="12" customHeight="1">
      <c r="E28" s="63"/>
      <c r="F28" s="63"/>
      <c r="G28" s="63"/>
      <c r="L28" s="63"/>
      <c r="M28" s="63"/>
      <c r="N28" s="63"/>
    </row>
    <row r="29" spans="1:22" ht="35.1" customHeight="1">
      <c r="A29" s="434" t="s">
        <v>195</v>
      </c>
      <c r="B29" s="434"/>
      <c r="C29" s="434"/>
      <c r="D29" s="434"/>
      <c r="E29" s="434"/>
      <c r="F29" s="434"/>
      <c r="G29" s="434"/>
      <c r="H29" s="434"/>
      <c r="I29" s="434"/>
      <c r="J29" s="434"/>
      <c r="K29" s="434"/>
      <c r="L29" s="434"/>
      <c r="M29" s="434"/>
      <c r="N29" s="434"/>
      <c r="O29" s="434"/>
      <c r="P29" s="434"/>
      <c r="Q29" s="434"/>
      <c r="R29" s="434"/>
    </row>
    <row r="30" spans="1:22" ht="84.95" customHeight="1">
      <c r="A30" s="221">
        <f>A4</f>
        <v>2022</v>
      </c>
      <c r="B30" s="375" t="s">
        <v>68</v>
      </c>
      <c r="C30" s="375" t="s">
        <v>69</v>
      </c>
      <c r="D30" s="375" t="s">
        <v>70</v>
      </c>
      <c r="E30" s="375" t="s">
        <v>91</v>
      </c>
      <c r="F30" s="375" t="s">
        <v>71</v>
      </c>
      <c r="G30" s="375" t="s">
        <v>72</v>
      </c>
      <c r="H30" s="375" t="s">
        <v>73</v>
      </c>
      <c r="I30" s="375" t="s">
        <v>74</v>
      </c>
      <c r="J30" s="375" t="s">
        <v>75</v>
      </c>
      <c r="K30" s="375" t="s">
        <v>76</v>
      </c>
      <c r="L30" s="375" t="s">
        <v>77</v>
      </c>
      <c r="M30" s="375" t="s">
        <v>78</v>
      </c>
      <c r="N30" s="375" t="s">
        <v>79</v>
      </c>
      <c r="O30" s="375" t="s">
        <v>80</v>
      </c>
      <c r="P30" s="375" t="s">
        <v>81</v>
      </c>
      <c r="Q30" s="375" t="s">
        <v>95</v>
      </c>
      <c r="R30" s="375" t="s">
        <v>82</v>
      </c>
    </row>
    <row r="31" spans="1:22" ht="20.100000000000001" customHeight="1">
      <c r="A31" s="177" t="s">
        <v>161</v>
      </c>
      <c r="B31" s="240">
        <v>415762.53735999996</v>
      </c>
      <c r="C31" s="240">
        <v>1656158.39053</v>
      </c>
      <c r="D31" s="241">
        <v>296073.45328000002</v>
      </c>
      <c r="E31" s="241">
        <v>515612.36231000011</v>
      </c>
      <c r="F31" s="241">
        <v>484662.49001999991</v>
      </c>
      <c r="G31" s="241">
        <v>1210940.7311200001</v>
      </c>
      <c r="H31" s="241">
        <v>729489.64507999993</v>
      </c>
      <c r="I31" s="241">
        <v>534468.11779000005</v>
      </c>
      <c r="J31" s="241">
        <v>555927.97626999998</v>
      </c>
      <c r="K31" s="240">
        <v>1368175.8003100001</v>
      </c>
      <c r="L31" s="240">
        <v>1552927.0968700002</v>
      </c>
      <c r="M31" s="241">
        <v>1416639.9042900002</v>
      </c>
      <c r="N31" s="241">
        <v>500184.4264600001</v>
      </c>
      <c r="O31" s="241">
        <v>630310.83455000003</v>
      </c>
      <c r="P31" s="241">
        <v>11867333.766240001</v>
      </c>
      <c r="Q31" s="241">
        <v>251455.84312599999</v>
      </c>
      <c r="R31" s="241">
        <v>12118789.609366002</v>
      </c>
      <c r="S31" s="56"/>
      <c r="T31" s="57"/>
      <c r="U31" s="57"/>
      <c r="V31" s="57"/>
    </row>
    <row r="32" spans="1:22" ht="20.100000000000001" customHeight="1">
      <c r="A32" s="177" t="s">
        <v>162</v>
      </c>
      <c r="B32" s="240">
        <v>339014.19744999998</v>
      </c>
      <c r="C32" s="241">
        <v>1302011.8568399998</v>
      </c>
      <c r="D32" s="241">
        <v>245340.21466000003</v>
      </c>
      <c r="E32" s="241">
        <v>404098.56219000008</v>
      </c>
      <c r="F32" s="241">
        <v>394815.80985000002</v>
      </c>
      <c r="G32" s="241">
        <v>994647.18639000005</v>
      </c>
      <c r="H32" s="241">
        <v>568263.20821999991</v>
      </c>
      <c r="I32" s="241">
        <v>445637.76092000003</v>
      </c>
      <c r="J32" s="241">
        <v>454493.27653000009</v>
      </c>
      <c r="K32" s="240">
        <v>1080729.21725</v>
      </c>
      <c r="L32" s="241">
        <v>1209839.1711969997</v>
      </c>
      <c r="M32" s="241">
        <v>957177.56342000014</v>
      </c>
      <c r="N32" s="241">
        <v>396364.24987000006</v>
      </c>
      <c r="O32" s="241">
        <v>497876.77665000001</v>
      </c>
      <c r="P32" s="241">
        <v>9290309.0514369998</v>
      </c>
      <c r="Q32" s="241">
        <v>236659.74078100003</v>
      </c>
      <c r="R32" s="241">
        <v>9526968.7922179997</v>
      </c>
      <c r="S32" s="58"/>
      <c r="T32" s="57"/>
      <c r="U32" s="57"/>
      <c r="V32" s="57"/>
    </row>
    <row r="33" spans="1:22" ht="20.100000000000001" customHeight="1">
      <c r="A33" s="180" t="s">
        <v>163</v>
      </c>
      <c r="B33" s="243">
        <v>341010.47382999997</v>
      </c>
      <c r="C33" s="244">
        <v>1318415.1843900003</v>
      </c>
      <c r="D33" s="244">
        <v>242431.91138999996</v>
      </c>
      <c r="E33" s="244">
        <v>401171.19883999991</v>
      </c>
      <c r="F33" s="244">
        <v>393158.70135999989</v>
      </c>
      <c r="G33" s="244">
        <v>1003168.9508600002</v>
      </c>
      <c r="H33" s="244">
        <v>595974.21786999993</v>
      </c>
      <c r="I33" s="244">
        <v>440708.36151999992</v>
      </c>
      <c r="J33" s="244">
        <v>459034.11476000008</v>
      </c>
      <c r="K33" s="243">
        <v>1059295.293842833</v>
      </c>
      <c r="L33" s="244">
        <v>1226691.8287599995</v>
      </c>
      <c r="M33" s="244">
        <v>1312751.24893</v>
      </c>
      <c r="N33" s="244">
        <v>396756.70740999997</v>
      </c>
      <c r="O33" s="244">
        <v>511670.34512999997</v>
      </c>
      <c r="P33" s="244">
        <v>9702238.5388928335</v>
      </c>
      <c r="Q33" s="244">
        <v>207215.45435699989</v>
      </c>
      <c r="R33" s="244">
        <v>9909453.9932498336</v>
      </c>
      <c r="S33" s="59"/>
      <c r="T33" s="57"/>
      <c r="U33" s="57"/>
      <c r="V33" s="57"/>
    </row>
    <row r="34" spans="1:22" ht="20.100000000000001" customHeight="1">
      <c r="A34" s="177" t="s">
        <v>164</v>
      </c>
      <c r="B34" s="240">
        <v>262503.67981999996</v>
      </c>
      <c r="C34" s="241">
        <v>962530.33163999999</v>
      </c>
      <c r="D34" s="241">
        <v>187712.58388000005</v>
      </c>
      <c r="E34" s="241">
        <v>305426.90525000001</v>
      </c>
      <c r="F34" s="241">
        <v>292293.55342999997</v>
      </c>
      <c r="G34" s="241">
        <v>800354.80649999972</v>
      </c>
      <c r="H34" s="241">
        <v>457769.34912000003</v>
      </c>
      <c r="I34" s="241">
        <v>340143.81011000002</v>
      </c>
      <c r="J34" s="241">
        <v>356323.92481999996</v>
      </c>
      <c r="K34" s="240">
        <v>792720.77000390785</v>
      </c>
      <c r="L34" s="241">
        <v>1020926.8829399999</v>
      </c>
      <c r="M34" s="241">
        <v>707947.61251000012</v>
      </c>
      <c r="N34" s="241">
        <v>301039.46130999993</v>
      </c>
      <c r="O34" s="241">
        <v>376685.67761999997</v>
      </c>
      <c r="P34" s="241">
        <v>7164379.3489539074</v>
      </c>
      <c r="Q34" s="241">
        <v>73604.56656899993</v>
      </c>
      <c r="R34" s="241">
        <v>7237983.9155229069</v>
      </c>
      <c r="S34" s="58"/>
      <c r="T34" s="57"/>
      <c r="U34" s="57"/>
      <c r="V34" s="57"/>
    </row>
    <row r="35" spans="1:22" ht="20.100000000000001" customHeight="1">
      <c r="A35" s="177" t="s">
        <v>165</v>
      </c>
      <c r="B35" s="240">
        <v>137797.62778000001</v>
      </c>
      <c r="C35" s="241">
        <v>401307.95427999989</v>
      </c>
      <c r="D35" s="241">
        <v>108809.83555999999</v>
      </c>
      <c r="E35" s="241">
        <v>154689.27576000002</v>
      </c>
      <c r="F35" s="241">
        <v>140153.09307999999</v>
      </c>
      <c r="G35" s="241">
        <v>493535.63181999989</v>
      </c>
      <c r="H35" s="241">
        <v>238220.08252999996</v>
      </c>
      <c r="I35" s="241">
        <v>178140.92499999999</v>
      </c>
      <c r="J35" s="241">
        <v>193253.03031999993</v>
      </c>
      <c r="K35" s="240">
        <v>287271.33019497723</v>
      </c>
      <c r="L35" s="241">
        <v>646835.859176</v>
      </c>
      <c r="M35" s="241">
        <v>811687.93861000007</v>
      </c>
      <c r="N35" s="241">
        <v>141289.71729000003</v>
      </c>
      <c r="O35" s="241">
        <v>196735.81806000005</v>
      </c>
      <c r="P35" s="241">
        <v>4129728.1194609771</v>
      </c>
      <c r="Q35" s="241">
        <v>49929.173227999949</v>
      </c>
      <c r="R35" s="241">
        <v>4179657.292688977</v>
      </c>
      <c r="S35" s="58"/>
      <c r="T35" s="57"/>
      <c r="U35" s="57"/>
      <c r="V35" s="57"/>
    </row>
    <row r="36" spans="1:22" ht="20.100000000000001" customHeight="1">
      <c r="A36" s="180" t="s">
        <v>166</v>
      </c>
      <c r="B36" s="243">
        <v>108733.27883000001</v>
      </c>
      <c r="C36" s="244">
        <v>315725.60135000001</v>
      </c>
      <c r="D36" s="244">
        <v>98696.658800000019</v>
      </c>
      <c r="E36" s="244">
        <v>126489.16445000001</v>
      </c>
      <c r="F36" s="244">
        <v>124340.99212000001</v>
      </c>
      <c r="G36" s="244">
        <v>421676.90782000002</v>
      </c>
      <c r="H36" s="244">
        <v>194792.10178000003</v>
      </c>
      <c r="I36" s="244">
        <v>148693.34339999998</v>
      </c>
      <c r="J36" s="244">
        <v>162491.58803000001</v>
      </c>
      <c r="K36" s="243">
        <v>202033.17146301572</v>
      </c>
      <c r="L36" s="244">
        <v>549201.00433100003</v>
      </c>
      <c r="M36" s="244">
        <v>918032.78432999982</v>
      </c>
      <c r="N36" s="244">
        <v>112607.06672000002</v>
      </c>
      <c r="O36" s="244">
        <v>147702.29637</v>
      </c>
      <c r="P36" s="244">
        <v>3631215.9597940156</v>
      </c>
      <c r="Q36" s="244">
        <v>18307.459182999959</v>
      </c>
      <c r="R36" s="244">
        <v>3649523.4189770157</v>
      </c>
      <c r="S36" s="58"/>
      <c r="T36" s="57"/>
      <c r="U36" s="57"/>
      <c r="V36" s="57"/>
    </row>
    <row r="37" spans="1:22" ht="20.100000000000001" customHeight="1">
      <c r="A37" s="177" t="s">
        <v>167</v>
      </c>
      <c r="B37" s="240">
        <v>96912.711830000015</v>
      </c>
      <c r="C37" s="241">
        <v>288249.81235000002</v>
      </c>
      <c r="D37" s="241">
        <v>87855.708340000012</v>
      </c>
      <c r="E37" s="241">
        <v>109023.80092999998</v>
      </c>
      <c r="F37" s="241">
        <v>100225.70615999997</v>
      </c>
      <c r="G37" s="241">
        <v>374608.08879999991</v>
      </c>
      <c r="H37" s="241">
        <v>180449.61959000002</v>
      </c>
      <c r="I37" s="241">
        <v>135962.79754000003</v>
      </c>
      <c r="J37" s="241">
        <v>141405.68912999996</v>
      </c>
      <c r="K37" s="240">
        <v>196653.47913599553</v>
      </c>
      <c r="L37" s="241">
        <v>511663.23923099996</v>
      </c>
      <c r="M37" s="241">
        <v>672511.83306000021</v>
      </c>
      <c r="N37" s="241">
        <v>100229.76822000003</v>
      </c>
      <c r="O37" s="241">
        <v>135633.35811999999</v>
      </c>
      <c r="P37" s="241">
        <v>3131385.6124369954</v>
      </c>
      <c r="Q37" s="241">
        <v>7580.0914519999405</v>
      </c>
      <c r="R37" s="241">
        <v>3138965.7038889951</v>
      </c>
      <c r="S37" s="58"/>
      <c r="T37" s="57"/>
      <c r="U37" s="57"/>
      <c r="V37" s="57"/>
    </row>
    <row r="38" spans="1:22" ht="20.100000000000001" customHeight="1">
      <c r="A38" s="177" t="s">
        <v>168</v>
      </c>
      <c r="B38" s="240">
        <v>99108.259180000008</v>
      </c>
      <c r="C38" s="241">
        <v>286872.40368000016</v>
      </c>
      <c r="D38" s="241">
        <v>92030.568500000023</v>
      </c>
      <c r="E38" s="241">
        <v>111700.32926999999</v>
      </c>
      <c r="F38" s="241">
        <v>104214.76005999999</v>
      </c>
      <c r="G38" s="241">
        <v>341335.37238000002</v>
      </c>
      <c r="H38" s="241">
        <v>180182.12134999994</v>
      </c>
      <c r="I38" s="241">
        <v>132436.13976000002</v>
      </c>
      <c r="J38" s="241">
        <v>148852.43937000004</v>
      </c>
      <c r="K38" s="240">
        <v>191261.56128698474</v>
      </c>
      <c r="L38" s="241">
        <v>515195.59240100003</v>
      </c>
      <c r="M38" s="241">
        <v>914496.25654000009</v>
      </c>
      <c r="N38" s="241">
        <v>109791.55431000001</v>
      </c>
      <c r="O38" s="241">
        <v>142265.63542999997</v>
      </c>
      <c r="P38" s="241">
        <v>3369742.9935179846</v>
      </c>
      <c r="Q38" s="241">
        <v>7879.4028009999456</v>
      </c>
      <c r="R38" s="241">
        <v>3377622.3963189847</v>
      </c>
      <c r="S38" s="58"/>
      <c r="T38" s="57"/>
      <c r="U38" s="57"/>
      <c r="V38" s="57"/>
    </row>
    <row r="39" spans="1:22" ht="20.100000000000001" customHeight="1">
      <c r="A39" s="180" t="s">
        <v>169</v>
      </c>
      <c r="B39" s="243">
        <v>144652.26730000001</v>
      </c>
      <c r="C39" s="244">
        <v>445905.81092999992</v>
      </c>
      <c r="D39" s="244">
        <v>107212.16309000002</v>
      </c>
      <c r="E39" s="244">
        <v>160267.60735999997</v>
      </c>
      <c r="F39" s="244">
        <v>153177.17139000006</v>
      </c>
      <c r="G39" s="244">
        <v>461861.59490999987</v>
      </c>
      <c r="H39" s="244">
        <v>235496.46528000006</v>
      </c>
      <c r="I39" s="244">
        <v>181099.65499999994</v>
      </c>
      <c r="J39" s="244">
        <v>195611.68455000003</v>
      </c>
      <c r="K39" s="243">
        <v>317853.25164596835</v>
      </c>
      <c r="L39" s="244">
        <v>592471.0920660001</v>
      </c>
      <c r="M39" s="244">
        <v>841922.70630000008</v>
      </c>
      <c r="N39" s="244">
        <v>146001.16093000001</v>
      </c>
      <c r="O39" s="244">
        <v>181745.93747</v>
      </c>
      <c r="P39" s="244">
        <v>4165278.5682219686</v>
      </c>
      <c r="Q39" s="244">
        <v>30011.104936000011</v>
      </c>
      <c r="R39" s="244">
        <v>4195289.6731579686</v>
      </c>
      <c r="S39" s="58"/>
      <c r="T39" s="57"/>
      <c r="U39" s="57"/>
      <c r="V39" s="57"/>
    </row>
    <row r="40" spans="1:22" ht="20.100000000000001" customHeight="1">
      <c r="A40" s="177" t="s">
        <v>170</v>
      </c>
      <c r="B40" s="240">
        <v>183981.74030999999</v>
      </c>
      <c r="C40" s="241">
        <v>713009.81228999991</v>
      </c>
      <c r="D40" s="241">
        <v>141367.20634000006</v>
      </c>
      <c r="E40" s="241">
        <v>215342.58212000004</v>
      </c>
      <c r="F40" s="241">
        <v>204889.55538999999</v>
      </c>
      <c r="G40" s="241">
        <v>534388.74297000002</v>
      </c>
      <c r="H40" s="241">
        <v>320247.2458700001</v>
      </c>
      <c r="I40" s="241">
        <v>230356.43419000006</v>
      </c>
      <c r="J40" s="241">
        <v>253613.86405</v>
      </c>
      <c r="K40" s="240">
        <v>499711.40058299288</v>
      </c>
      <c r="L40" s="241">
        <v>802458.49357100006</v>
      </c>
      <c r="M40" s="241">
        <v>920658.53007000021</v>
      </c>
      <c r="N40" s="241">
        <v>201002.96512000004</v>
      </c>
      <c r="O40" s="241">
        <v>237629.34458</v>
      </c>
      <c r="P40" s="241">
        <v>5458657.9174539931</v>
      </c>
      <c r="Q40" s="241">
        <v>105004.85303699989</v>
      </c>
      <c r="R40" s="241">
        <v>5563662.7704909928</v>
      </c>
      <c r="S40" s="58"/>
      <c r="T40" s="57"/>
      <c r="U40" s="57"/>
      <c r="V40" s="57"/>
    </row>
    <row r="41" spans="1:22" ht="20.100000000000001" customHeight="1">
      <c r="A41" s="177" t="s">
        <v>171</v>
      </c>
      <c r="B41" s="240">
        <v>282326.20538</v>
      </c>
      <c r="C41" s="241">
        <v>1072485.5629</v>
      </c>
      <c r="D41" s="241">
        <v>210938.15355000002</v>
      </c>
      <c r="E41" s="241">
        <v>331331.31579999998</v>
      </c>
      <c r="F41" s="241">
        <v>325749.94699999999</v>
      </c>
      <c r="G41" s="241">
        <v>803912.81043999991</v>
      </c>
      <c r="H41" s="241">
        <v>497706.72655000002</v>
      </c>
      <c r="I41" s="241">
        <v>345401.74995999999</v>
      </c>
      <c r="J41" s="241">
        <v>368799.50891999993</v>
      </c>
      <c r="K41" s="240">
        <v>898842.03179591172</v>
      </c>
      <c r="L41" s="241">
        <v>1397135.5185400001</v>
      </c>
      <c r="M41" s="241">
        <v>733810.83694300009</v>
      </c>
      <c r="N41" s="241">
        <v>312411.59949000005</v>
      </c>
      <c r="O41" s="241">
        <v>384480.83313999994</v>
      </c>
      <c r="P41" s="241">
        <v>7965332.8004089119</v>
      </c>
      <c r="Q41" s="241">
        <v>155762.86193200006</v>
      </c>
      <c r="R41" s="241">
        <v>8121095.662340912</v>
      </c>
      <c r="S41" s="58"/>
      <c r="T41" s="57"/>
      <c r="U41" s="57"/>
      <c r="V41" s="57"/>
    </row>
    <row r="42" spans="1:22" ht="20.100000000000001" customHeight="1">
      <c r="A42" s="180" t="s">
        <v>172</v>
      </c>
      <c r="B42" s="243">
        <v>360697.33432000002</v>
      </c>
      <c r="C42" s="244">
        <v>1406139.67557</v>
      </c>
      <c r="D42" s="244">
        <v>271669.68090000009</v>
      </c>
      <c r="E42" s="244">
        <v>425171.85785000003</v>
      </c>
      <c r="F42" s="244">
        <v>420884.59591000009</v>
      </c>
      <c r="G42" s="244">
        <v>1054943.9338699998</v>
      </c>
      <c r="H42" s="244">
        <v>631834.13179000013</v>
      </c>
      <c r="I42" s="244">
        <v>441745.90756999998</v>
      </c>
      <c r="J42" s="244">
        <v>471245.23126999999</v>
      </c>
      <c r="K42" s="243">
        <v>1242300.834073039</v>
      </c>
      <c r="L42" s="244">
        <v>1349268.6036100001</v>
      </c>
      <c r="M42" s="244">
        <v>1305653.9474900002</v>
      </c>
      <c r="N42" s="244">
        <v>426589.43429999996</v>
      </c>
      <c r="O42" s="244">
        <v>524177.31829000002</v>
      </c>
      <c r="P42" s="244">
        <v>10332322.486813039</v>
      </c>
      <c r="Q42" s="244">
        <v>195446.11581800005</v>
      </c>
      <c r="R42" s="244">
        <v>10527768.602631038</v>
      </c>
      <c r="S42" s="58"/>
      <c r="T42" s="57"/>
      <c r="U42" s="57"/>
      <c r="V42" s="57"/>
    </row>
    <row r="43" spans="1:22" ht="20.100000000000001" customHeight="1">
      <c r="A43" s="177" t="s">
        <v>48</v>
      </c>
      <c r="B43" s="240">
        <f>SUM(B31:B33)</f>
        <v>1095787.2086399999</v>
      </c>
      <c r="C43" s="240">
        <f>SUM(C31:C33)</f>
        <v>4276585.4317600001</v>
      </c>
      <c r="D43" s="240">
        <f t="shared" ref="D43:J43" si="14">SUM(D31:D33)</f>
        <v>783845.5793300001</v>
      </c>
      <c r="E43" s="240">
        <f t="shared" si="14"/>
        <v>1320882.1233400002</v>
      </c>
      <c r="F43" s="240">
        <f t="shared" si="14"/>
        <v>1272637.0012299998</v>
      </c>
      <c r="G43" s="240">
        <f t="shared" si="14"/>
        <v>3208756.8683700003</v>
      </c>
      <c r="H43" s="240">
        <f t="shared" si="14"/>
        <v>1893727.0711699999</v>
      </c>
      <c r="I43" s="240">
        <f t="shared" si="14"/>
        <v>1420814.2402300001</v>
      </c>
      <c r="J43" s="240">
        <f t="shared" si="14"/>
        <v>1469455.3675600002</v>
      </c>
      <c r="K43" s="240">
        <f>SUM(K31:K33)</f>
        <v>3508200.3114028331</v>
      </c>
      <c r="L43" s="240">
        <f t="shared" ref="L43:R43" si="15">SUM(L31:L33)</f>
        <v>3989458.0968269994</v>
      </c>
      <c r="M43" s="240">
        <f t="shared" si="15"/>
        <v>3686568.7166400002</v>
      </c>
      <c r="N43" s="240">
        <f t="shared" si="15"/>
        <v>1293305.3837400002</v>
      </c>
      <c r="O43" s="240">
        <f t="shared" si="15"/>
        <v>1639857.9563300002</v>
      </c>
      <c r="P43" s="240">
        <f t="shared" si="15"/>
        <v>30859881.356569834</v>
      </c>
      <c r="Q43" s="240">
        <f t="shared" si="15"/>
        <v>695331.03826399986</v>
      </c>
      <c r="R43" s="240">
        <f t="shared" si="15"/>
        <v>31555212.394833833</v>
      </c>
    </row>
    <row r="44" spans="1:22" ht="20.100000000000001" customHeight="1">
      <c r="A44" s="177" t="s">
        <v>56</v>
      </c>
      <c r="B44" s="240">
        <f>SUM(B34:B36)</f>
        <v>509034.58642999997</v>
      </c>
      <c r="C44" s="240">
        <f>SUM(C34:C36)</f>
        <v>1679563.8872699998</v>
      </c>
      <c r="D44" s="240">
        <f t="shared" ref="D44:J44" si="16">SUM(D34:D36)</f>
        <v>395219.07824000006</v>
      </c>
      <c r="E44" s="240">
        <f t="shared" si="16"/>
        <v>586605.3454600001</v>
      </c>
      <c r="F44" s="240">
        <f t="shared" si="16"/>
        <v>556787.63862999994</v>
      </c>
      <c r="G44" s="240">
        <f t="shared" si="16"/>
        <v>1715567.3461399998</v>
      </c>
      <c r="H44" s="240">
        <f t="shared" si="16"/>
        <v>890781.53342999995</v>
      </c>
      <c r="I44" s="240">
        <f t="shared" si="16"/>
        <v>666978.07851000002</v>
      </c>
      <c r="J44" s="240">
        <f t="shared" si="16"/>
        <v>712068.54316999984</v>
      </c>
      <c r="K44" s="240">
        <f>SUM(K34:K36)</f>
        <v>1282025.2716619007</v>
      </c>
      <c r="L44" s="240">
        <f t="shared" ref="L44:R44" si="17">SUM(L34:L36)</f>
        <v>2216963.7464470002</v>
      </c>
      <c r="M44" s="240">
        <f t="shared" si="17"/>
        <v>2437668.3354500001</v>
      </c>
      <c r="N44" s="240">
        <f t="shared" si="17"/>
        <v>554936.24531999999</v>
      </c>
      <c r="O44" s="240">
        <f t="shared" si="17"/>
        <v>721123.79205000005</v>
      </c>
      <c r="P44" s="240">
        <f t="shared" si="17"/>
        <v>14925323.428208899</v>
      </c>
      <c r="Q44" s="240">
        <f t="shared" si="17"/>
        <v>141841.19897999984</v>
      </c>
      <c r="R44" s="240">
        <f t="shared" si="17"/>
        <v>15067164.627188899</v>
      </c>
    </row>
    <row r="45" spans="1:22" ht="20.100000000000001" customHeight="1">
      <c r="A45" s="177" t="s">
        <v>63</v>
      </c>
      <c r="B45" s="240">
        <f>SUM(B37:B39)</f>
        <v>340673.23831000004</v>
      </c>
      <c r="C45" s="240">
        <f>SUM(C37:C39)</f>
        <v>1021028.0269600002</v>
      </c>
      <c r="D45" s="240">
        <f t="shared" ref="D45:J45" si="18">SUM(D37:D39)</f>
        <v>287098.43993000005</v>
      </c>
      <c r="E45" s="240">
        <f t="shared" si="18"/>
        <v>380991.73755999992</v>
      </c>
      <c r="F45" s="240">
        <f t="shared" si="18"/>
        <v>357617.63760999998</v>
      </c>
      <c r="G45" s="240">
        <f t="shared" si="18"/>
        <v>1177805.0560899996</v>
      </c>
      <c r="H45" s="240">
        <f t="shared" si="18"/>
        <v>596128.20622000005</v>
      </c>
      <c r="I45" s="240">
        <f t="shared" si="18"/>
        <v>449498.59230000002</v>
      </c>
      <c r="J45" s="240">
        <f t="shared" si="18"/>
        <v>485869.81305</v>
      </c>
      <c r="K45" s="240">
        <f>SUM(K37:K39)</f>
        <v>705768.29206894862</v>
      </c>
      <c r="L45" s="240">
        <f t="shared" ref="L45:R45" si="19">SUM(L37:L39)</f>
        <v>1619329.9236980001</v>
      </c>
      <c r="M45" s="240">
        <f t="shared" si="19"/>
        <v>2428930.7959000003</v>
      </c>
      <c r="N45" s="240">
        <f t="shared" si="19"/>
        <v>356022.48346000002</v>
      </c>
      <c r="O45" s="240">
        <f t="shared" si="19"/>
        <v>459644.93101999996</v>
      </c>
      <c r="P45" s="240">
        <f t="shared" si="19"/>
        <v>10666407.17417695</v>
      </c>
      <c r="Q45" s="240">
        <f t="shared" si="19"/>
        <v>45470.599188999899</v>
      </c>
      <c r="R45" s="240">
        <f t="shared" si="19"/>
        <v>10711877.773365948</v>
      </c>
    </row>
    <row r="46" spans="1:22" ht="20.100000000000001" customHeight="1">
      <c r="A46" s="180" t="s">
        <v>57</v>
      </c>
      <c r="B46" s="243">
        <f>SUM(B40:B42)</f>
        <v>827005.28000999999</v>
      </c>
      <c r="C46" s="243">
        <f>SUM(C40:C42)</f>
        <v>3191635.05076</v>
      </c>
      <c r="D46" s="243">
        <f t="shared" ref="D46:J46" si="20">SUM(D40:D42)</f>
        <v>623975.04079000023</v>
      </c>
      <c r="E46" s="243">
        <f t="shared" si="20"/>
        <v>971845.75577000005</v>
      </c>
      <c r="F46" s="243">
        <f t="shared" si="20"/>
        <v>951524.09830000019</v>
      </c>
      <c r="G46" s="243">
        <f t="shared" si="20"/>
        <v>2393245.48728</v>
      </c>
      <c r="H46" s="243">
        <f t="shared" si="20"/>
        <v>1449788.1042100003</v>
      </c>
      <c r="I46" s="243">
        <f t="shared" si="20"/>
        <v>1017504.0917200001</v>
      </c>
      <c r="J46" s="243">
        <f t="shared" si="20"/>
        <v>1093658.6042399998</v>
      </c>
      <c r="K46" s="243">
        <f>SUM(K40:K42)</f>
        <v>2640854.2664519437</v>
      </c>
      <c r="L46" s="243">
        <f t="shared" ref="L46:R46" si="21">SUM(L40:L42)</f>
        <v>3548862.6157210004</v>
      </c>
      <c r="M46" s="243">
        <f t="shared" si="21"/>
        <v>2960123.3145030006</v>
      </c>
      <c r="N46" s="243">
        <f t="shared" si="21"/>
        <v>940003.99891000008</v>
      </c>
      <c r="O46" s="243">
        <f t="shared" si="21"/>
        <v>1146287.4960099999</v>
      </c>
      <c r="P46" s="243">
        <f t="shared" si="21"/>
        <v>23756313.204675943</v>
      </c>
      <c r="Q46" s="243">
        <f t="shared" si="21"/>
        <v>456213.83078700001</v>
      </c>
      <c r="R46" s="243">
        <f t="shared" si="21"/>
        <v>24212527.035462946</v>
      </c>
    </row>
    <row r="47" spans="1:22" ht="20.100000000000001" customHeight="1">
      <c r="A47" s="177" t="s">
        <v>58</v>
      </c>
      <c r="B47" s="240">
        <f>SUM(B31:B36)</f>
        <v>1604821.7950699998</v>
      </c>
      <c r="C47" s="240">
        <f>SUM(C31:C36)</f>
        <v>5956149.3190299999</v>
      </c>
      <c r="D47" s="240">
        <f t="shared" ref="D47:J47" si="22">SUM(D31:D36)</f>
        <v>1179064.6575700003</v>
      </c>
      <c r="E47" s="240">
        <f t="shared" si="22"/>
        <v>1907487.4688000004</v>
      </c>
      <c r="F47" s="240">
        <f t="shared" si="22"/>
        <v>1829424.63986</v>
      </c>
      <c r="G47" s="240">
        <f t="shared" si="22"/>
        <v>4924324.2145100003</v>
      </c>
      <c r="H47" s="240">
        <f t="shared" si="22"/>
        <v>2784508.6045999997</v>
      </c>
      <c r="I47" s="240">
        <f t="shared" si="22"/>
        <v>2087792.31874</v>
      </c>
      <c r="J47" s="240">
        <f t="shared" si="22"/>
        <v>2181523.9107300001</v>
      </c>
      <c r="K47" s="240">
        <f>SUM(K31:K36)</f>
        <v>4790225.5830647331</v>
      </c>
      <c r="L47" s="240">
        <f t="shared" ref="L47:R47" si="23">SUM(L31:L36)</f>
        <v>6206421.8432739992</v>
      </c>
      <c r="M47" s="240">
        <f t="shared" si="23"/>
        <v>6124237.0520900013</v>
      </c>
      <c r="N47" s="240">
        <f t="shared" si="23"/>
        <v>1848241.6290600002</v>
      </c>
      <c r="O47" s="240">
        <f t="shared" si="23"/>
        <v>2360981.7483800002</v>
      </c>
      <c r="P47" s="240">
        <f t="shared" si="23"/>
        <v>45785204.784778737</v>
      </c>
      <c r="Q47" s="240">
        <f t="shared" si="23"/>
        <v>837172.23724399961</v>
      </c>
      <c r="R47" s="240">
        <f t="shared" si="23"/>
        <v>46622377.022022732</v>
      </c>
    </row>
    <row r="48" spans="1:22" ht="20.100000000000001" customHeight="1">
      <c r="A48" s="180" t="s">
        <v>59</v>
      </c>
      <c r="B48" s="243">
        <f>SUM(B37:B42)</f>
        <v>1167678.5183200003</v>
      </c>
      <c r="C48" s="243">
        <f>SUM(C37:C42)</f>
        <v>4212663.0777200004</v>
      </c>
      <c r="D48" s="243">
        <f t="shared" ref="D48:J48" si="24">SUM(D37:D42)</f>
        <v>911073.48072000034</v>
      </c>
      <c r="E48" s="243">
        <f t="shared" si="24"/>
        <v>1352837.49333</v>
      </c>
      <c r="F48" s="243">
        <f t="shared" si="24"/>
        <v>1309141.73591</v>
      </c>
      <c r="G48" s="243">
        <f t="shared" si="24"/>
        <v>3571050.5433699992</v>
      </c>
      <c r="H48" s="243">
        <f t="shared" si="24"/>
        <v>2045916.3104300001</v>
      </c>
      <c r="I48" s="243">
        <f t="shared" si="24"/>
        <v>1467002.68402</v>
      </c>
      <c r="J48" s="243">
        <f t="shared" si="24"/>
        <v>1579528.4172899998</v>
      </c>
      <c r="K48" s="243">
        <f>SUM(K37:K42)</f>
        <v>3346622.5585208917</v>
      </c>
      <c r="L48" s="243">
        <f t="shared" ref="L48:R48" si="25">SUM(L37:L42)</f>
        <v>5168192.539419001</v>
      </c>
      <c r="M48" s="243">
        <f t="shared" si="25"/>
        <v>5389054.1104030013</v>
      </c>
      <c r="N48" s="243">
        <f t="shared" si="25"/>
        <v>1296026.4823700001</v>
      </c>
      <c r="O48" s="243">
        <f t="shared" si="25"/>
        <v>1605932.4270299999</v>
      </c>
      <c r="P48" s="243">
        <f t="shared" si="25"/>
        <v>34422720.378852889</v>
      </c>
      <c r="Q48" s="243">
        <f t="shared" si="25"/>
        <v>501684.42997599987</v>
      </c>
      <c r="R48" s="243">
        <f t="shared" si="25"/>
        <v>34924404.80882889</v>
      </c>
    </row>
    <row r="49" spans="1:18" ht="20.100000000000001" customHeight="1">
      <c r="A49" s="180" t="s">
        <v>173</v>
      </c>
      <c r="B49" s="243">
        <f>SUM(B31:B42)</f>
        <v>2772500.3133899998</v>
      </c>
      <c r="C49" s="243">
        <f>SUM(C31:C42)</f>
        <v>10168812.396749999</v>
      </c>
      <c r="D49" s="243">
        <f t="shared" ref="D49:J49" si="26">SUM(D31:D42)</f>
        <v>2090138.1382900001</v>
      </c>
      <c r="E49" s="243">
        <f t="shared" si="26"/>
        <v>3260324.9621299999</v>
      </c>
      <c r="F49" s="243">
        <f t="shared" si="26"/>
        <v>3138566.3757700003</v>
      </c>
      <c r="G49" s="243">
        <f t="shared" si="26"/>
        <v>8495374.7578799985</v>
      </c>
      <c r="H49" s="243">
        <f t="shared" si="26"/>
        <v>4830424.9150299998</v>
      </c>
      <c r="I49" s="243">
        <f t="shared" si="26"/>
        <v>3554795.0027600001</v>
      </c>
      <c r="J49" s="243">
        <f t="shared" si="26"/>
        <v>3761052.3280199999</v>
      </c>
      <c r="K49" s="243">
        <f>SUM(K31:K42)</f>
        <v>8136848.1415856248</v>
      </c>
      <c r="L49" s="243">
        <f t="shared" ref="L49:R49" si="27">SUM(L31:L42)</f>
        <v>11374614.382692998</v>
      </c>
      <c r="M49" s="243">
        <f t="shared" si="27"/>
        <v>11513291.162493002</v>
      </c>
      <c r="N49" s="243">
        <f t="shared" si="27"/>
        <v>3144268.1114299996</v>
      </c>
      <c r="O49" s="243">
        <f t="shared" si="27"/>
        <v>3966914.1754099992</v>
      </c>
      <c r="P49" s="243">
        <f t="shared" si="27"/>
        <v>80207925.163631633</v>
      </c>
      <c r="Q49" s="243">
        <f t="shared" si="27"/>
        <v>1338856.6672199997</v>
      </c>
      <c r="R49" s="243">
        <f t="shared" si="27"/>
        <v>81546781.830851614</v>
      </c>
    </row>
    <row r="50" spans="1:18" ht="12" customHeight="1">
      <c r="E50" s="63"/>
      <c r="F50" s="63"/>
      <c r="G50" s="63"/>
      <c r="L50" s="63"/>
      <c r="M50" s="63"/>
      <c r="N50" s="63"/>
    </row>
    <row r="51" spans="1:18" ht="12" customHeight="1">
      <c r="E51" s="63"/>
      <c r="F51" s="63"/>
      <c r="G51" s="63"/>
      <c r="L51" s="63"/>
      <c r="M51" s="63"/>
      <c r="N51" s="63"/>
    </row>
    <row r="52" spans="1:18" ht="12" customHeight="1">
      <c r="E52" s="63"/>
      <c r="F52" s="63"/>
      <c r="G52" s="63"/>
      <c r="L52" s="63"/>
      <c r="M52" s="63"/>
      <c r="N52" s="63"/>
    </row>
    <row r="53" spans="1:18" ht="12" customHeight="1">
      <c r="E53" s="63"/>
      <c r="F53" s="63"/>
      <c r="G53" s="63"/>
      <c r="L53" s="63"/>
      <c r="M53" s="63"/>
      <c r="N53" s="63"/>
    </row>
    <row r="54" spans="1:18" ht="12" customHeight="1"/>
    <row r="55" spans="1:18" ht="12" customHeight="1"/>
    <row r="56" spans="1:18" ht="12" customHeight="1"/>
    <row r="57" spans="1:18" ht="12" customHeight="1"/>
    <row r="58" spans="1:18" ht="12" customHeight="1"/>
  </sheetData>
  <mergeCells count="4">
    <mergeCell ref="A29:R29"/>
    <mergeCell ref="A1:R1"/>
    <mergeCell ref="A2:I2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8:R18 B44:R44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6"/>
  <dimension ref="A1:U29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6.42578125" style="108" customWidth="1"/>
    <col min="2" max="6" width="4.7109375" style="108" customWidth="1"/>
    <col min="7" max="9" width="4.85546875" style="108" customWidth="1"/>
    <col min="10" max="14" width="4.7109375" style="108" customWidth="1"/>
    <col min="15" max="15" width="3.7109375" style="108" customWidth="1"/>
    <col min="16" max="19" width="4.7109375" style="108" customWidth="1"/>
    <col min="20" max="20" width="3.7109375" style="108" customWidth="1"/>
    <col min="21" max="21" width="5" style="108" customWidth="1"/>
    <col min="22" max="16384" width="9.140625" style="108"/>
  </cols>
  <sheetData>
    <row r="1" spans="1:20" ht="20.25">
      <c r="A1" s="118" t="s">
        <v>293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" customHeight="1">
      <c r="E2" s="109"/>
      <c r="F2" s="109"/>
    </row>
    <row r="3" spans="1:20" ht="15" customHeight="1">
      <c r="A3" s="520" t="s">
        <v>189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</row>
    <row r="4" spans="1:20" ht="15" customHeight="1">
      <c r="A4" s="72"/>
      <c r="C4" s="110"/>
      <c r="D4" s="110"/>
      <c r="E4" s="110"/>
      <c r="F4" s="110"/>
      <c r="G4" s="110"/>
      <c r="H4" s="61"/>
      <c r="I4" s="61"/>
    </row>
    <row r="5" spans="1:20" ht="15" customHeight="1">
      <c r="A5" s="72"/>
      <c r="C5" s="110"/>
      <c r="D5" s="110"/>
      <c r="E5" s="110"/>
      <c r="F5" s="110"/>
      <c r="G5" s="110"/>
      <c r="H5" s="61"/>
      <c r="I5" s="61"/>
    </row>
    <row r="6" spans="1:20" ht="15" customHeight="1">
      <c r="A6" s="72"/>
      <c r="B6" s="111"/>
      <c r="C6" s="111"/>
      <c r="D6" s="110"/>
      <c r="E6" s="110"/>
      <c r="F6" s="110"/>
      <c r="G6" s="111"/>
      <c r="H6" s="12"/>
      <c r="I6" s="61"/>
    </row>
    <row r="7" spans="1:20" ht="15" customHeight="1">
      <c r="A7" s="72"/>
      <c r="B7" s="111"/>
      <c r="C7" s="111"/>
      <c r="D7" s="110"/>
      <c r="E7" s="110"/>
      <c r="F7" s="110"/>
      <c r="G7" s="111"/>
      <c r="H7" s="12"/>
      <c r="I7" s="61"/>
    </row>
    <row r="8" spans="1:20" ht="15" customHeight="1">
      <c r="A8" s="72"/>
      <c r="B8" s="111"/>
      <c r="C8" s="111"/>
      <c r="D8" s="110"/>
      <c r="E8" s="110"/>
      <c r="F8" s="110"/>
      <c r="G8" s="111"/>
      <c r="H8" s="12"/>
      <c r="I8" s="61"/>
    </row>
    <row r="9" spans="1:20" ht="15" customHeight="1">
      <c r="A9" s="72"/>
      <c r="B9" s="110"/>
      <c r="C9" s="110"/>
      <c r="D9" s="110"/>
      <c r="E9" s="110"/>
      <c r="F9" s="110"/>
      <c r="G9" s="111"/>
      <c r="H9" s="12"/>
      <c r="I9" s="61"/>
    </row>
    <row r="10" spans="1:20" ht="15" customHeight="1">
      <c r="A10" s="72"/>
      <c r="B10" s="110"/>
      <c r="C10" s="110"/>
      <c r="D10" s="110"/>
      <c r="E10" s="110"/>
      <c r="F10" s="110"/>
      <c r="G10" s="110"/>
      <c r="H10" s="61"/>
      <c r="I10" s="61"/>
    </row>
    <row r="11" spans="1:20" ht="15" customHeight="1">
      <c r="A11" s="72"/>
      <c r="B11" s="110"/>
      <c r="C11" s="110"/>
      <c r="D11" s="110"/>
      <c r="E11" s="110"/>
      <c r="F11" s="110"/>
      <c r="G11" s="110"/>
      <c r="H11" s="61"/>
      <c r="I11" s="61"/>
    </row>
    <row r="12" spans="1:20" ht="15" customHeight="1">
      <c r="A12" s="72"/>
      <c r="B12" s="110"/>
      <c r="C12" s="110"/>
      <c r="D12" s="110"/>
      <c r="E12" s="110"/>
      <c r="F12" s="110"/>
      <c r="G12" s="110"/>
      <c r="H12" s="61"/>
      <c r="I12" s="61"/>
    </row>
    <row r="13" spans="1:20" ht="15" customHeight="1">
      <c r="A13" s="72"/>
      <c r="B13" s="110"/>
      <c r="C13" s="110"/>
      <c r="D13" s="110"/>
      <c r="E13" s="110"/>
      <c r="F13" s="110"/>
      <c r="G13" s="110"/>
      <c r="H13" s="61"/>
      <c r="I13" s="61"/>
    </row>
    <row r="14" spans="1:20" ht="15" customHeight="1">
      <c r="A14" s="72"/>
      <c r="B14" s="110"/>
      <c r="C14" s="110"/>
      <c r="D14" s="110"/>
      <c r="E14" s="110"/>
      <c r="F14" s="110"/>
      <c r="G14" s="110"/>
      <c r="H14" s="112"/>
      <c r="I14" s="112"/>
    </row>
    <row r="15" spans="1:20" ht="15" customHeight="1">
      <c r="A15" s="113"/>
      <c r="B15" s="113"/>
      <c r="C15" s="113"/>
      <c r="D15" s="113"/>
      <c r="E15" s="113"/>
      <c r="F15" s="113"/>
      <c r="G15" s="114"/>
      <c r="H15" s="115"/>
      <c r="I15" s="115"/>
    </row>
    <row r="16" spans="1:20" ht="15" customHeight="1">
      <c r="A16" s="113"/>
      <c r="B16" s="113"/>
      <c r="C16" s="113"/>
      <c r="D16" s="113"/>
      <c r="E16" s="113"/>
      <c r="F16" s="113"/>
    </row>
    <row r="17" spans="1:21" ht="15" customHeight="1">
      <c r="A17" s="113"/>
      <c r="B17" s="113"/>
      <c r="C17" s="113"/>
      <c r="D17" s="113"/>
      <c r="E17" s="113"/>
      <c r="F17" s="113"/>
    </row>
    <row r="18" spans="1:21" ht="15" customHeight="1">
      <c r="A18" s="113"/>
      <c r="B18" s="113"/>
      <c r="C18" s="113"/>
      <c r="D18" s="113"/>
      <c r="E18" s="113"/>
      <c r="F18" s="113"/>
    </row>
    <row r="19" spans="1:21" ht="15" customHeight="1">
      <c r="A19" s="113"/>
      <c r="B19" s="113"/>
      <c r="C19" s="113"/>
      <c r="D19" s="113"/>
      <c r="E19" s="113"/>
      <c r="F19" s="113"/>
    </row>
    <row r="20" spans="1:21" ht="15" customHeight="1">
      <c r="A20" s="113"/>
      <c r="B20" s="113"/>
      <c r="C20" s="113"/>
      <c r="D20" s="113"/>
      <c r="E20" s="113"/>
      <c r="F20" s="113"/>
    </row>
    <row r="21" spans="1:21" ht="12.95" customHeight="1">
      <c r="B21" s="116"/>
      <c r="C21" s="116"/>
      <c r="D21" s="116"/>
      <c r="E21" s="113"/>
      <c r="F21" s="114"/>
      <c r="G21" s="114"/>
      <c r="H21" s="114"/>
    </row>
    <row r="22" spans="1:21" ht="12.95" customHeight="1">
      <c r="B22" s="116"/>
      <c r="C22" s="116"/>
      <c r="D22" s="116"/>
      <c r="G22" s="521"/>
      <c r="H22" s="521"/>
      <c r="I22" s="521"/>
      <c r="K22" s="521"/>
      <c r="L22" s="521"/>
      <c r="M22" s="521"/>
      <c r="N22" s="521"/>
      <c r="P22" s="521"/>
      <c r="Q22" s="521"/>
      <c r="R22" s="521"/>
      <c r="S22" s="521"/>
      <c r="T22" s="521"/>
      <c r="U22" s="521"/>
    </row>
    <row r="23" spans="1:21" ht="12.95" customHeight="1">
      <c r="B23" s="116"/>
      <c r="C23" s="116"/>
      <c r="D23" s="116"/>
      <c r="G23" s="521"/>
      <c r="H23" s="521"/>
      <c r="I23" s="521"/>
      <c r="K23" s="522"/>
      <c r="L23" s="522"/>
      <c r="M23" s="522"/>
      <c r="N23" s="522"/>
      <c r="P23" s="521"/>
      <c r="Q23" s="521"/>
      <c r="R23" s="521"/>
      <c r="S23" s="521"/>
      <c r="T23" s="521"/>
      <c r="U23" s="521"/>
    </row>
    <row r="24" spans="1:21" ht="12.95" customHeight="1">
      <c r="B24" s="116"/>
      <c r="C24" s="116"/>
      <c r="D24" s="116"/>
      <c r="G24" s="521"/>
      <c r="H24" s="521"/>
      <c r="I24" s="521"/>
      <c r="K24" s="522"/>
      <c r="L24" s="522"/>
      <c r="M24" s="522"/>
      <c r="N24" s="522"/>
      <c r="P24" s="522"/>
      <c r="Q24" s="522"/>
      <c r="R24" s="522"/>
      <c r="S24" s="522"/>
      <c r="T24" s="522"/>
      <c r="U24" s="522"/>
    </row>
    <row r="25" spans="1:21" ht="12" customHeight="1">
      <c r="A25" s="113"/>
      <c r="B25" s="113"/>
      <c r="C25" s="113"/>
      <c r="D25" s="113"/>
      <c r="E25" s="113"/>
      <c r="F25" s="113"/>
      <c r="H25" s="117"/>
      <c r="I25" s="117"/>
      <c r="P25" s="522"/>
      <c r="Q25" s="522"/>
      <c r="R25" s="522"/>
      <c r="S25" s="522"/>
      <c r="T25" s="522"/>
      <c r="U25" s="522"/>
    </row>
    <row r="26" spans="1:21" ht="15" customHeight="1"/>
    <row r="27" spans="1:21" ht="15" customHeight="1"/>
    <row r="28" spans="1:21" ht="15" customHeight="1"/>
    <row r="29" spans="1:21" ht="15" customHeight="1"/>
  </sheetData>
  <mergeCells count="9"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CD3B-C327-4840-8DA5-C5AE8410C6E1}">
  <dimension ref="A25:F50"/>
  <sheetViews>
    <sheetView showGridLines="0" topLeftCell="A31" zoomScaleNormal="100" workbookViewId="0">
      <selection activeCell="C1" sqref="C1"/>
    </sheetView>
  </sheetViews>
  <sheetFormatPr defaultColWidth="9.140625" defaultRowHeight="12.75"/>
  <cols>
    <col min="1" max="1" width="9.140625" style="385"/>
    <col min="2" max="2" width="11.28515625" style="385" bestFit="1" customWidth="1"/>
    <col min="3" max="16384" width="9.140625" style="385"/>
  </cols>
  <sheetData>
    <row r="25" spans="6:6">
      <c r="F25" s="384"/>
    </row>
    <row r="26" spans="6:6">
      <c r="F26" s="384"/>
    </row>
    <row r="27" spans="6:6">
      <c r="F27" s="384"/>
    </row>
    <row r="28" spans="6:6">
      <c r="F28" s="384"/>
    </row>
    <row r="47" spans="1:3" ht="15">
      <c r="A47" s="386" t="s">
        <v>316</v>
      </c>
    </row>
    <row r="48" spans="1:3" ht="14.25">
      <c r="A48" s="387" t="s">
        <v>317</v>
      </c>
      <c r="B48" s="388"/>
      <c r="C48" s="388"/>
    </row>
    <row r="50" spans="1:2" ht="14.25">
      <c r="A50" s="399" t="s">
        <v>320</v>
      </c>
      <c r="B50" s="400">
        <f ca="1">TODAY()</f>
        <v>44971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topLeftCell="A22" zoomScaleNormal="100" zoomScaleSheetLayoutView="100" workbookViewId="0">
      <selection activeCell="C1" sqref="C1"/>
    </sheetView>
  </sheetViews>
  <sheetFormatPr defaultColWidth="9.140625" defaultRowHeight="14.25"/>
  <cols>
    <col min="1" max="1" width="20.28515625" style="1" customWidth="1"/>
    <col min="2" max="2" width="79" style="24" customWidth="1"/>
    <col min="3" max="3" width="6.5703125" style="22" customWidth="1"/>
    <col min="4" max="4" width="11.7109375" style="22" customWidth="1"/>
    <col min="5" max="6" width="9.140625" style="22"/>
    <col min="7" max="7" width="11.7109375" style="22" customWidth="1"/>
    <col min="8" max="16384" width="9.140625" style="22"/>
  </cols>
  <sheetData>
    <row r="1" spans="1:2" ht="20.25">
      <c r="A1" s="54" t="s">
        <v>288</v>
      </c>
      <c r="B1" s="21"/>
    </row>
    <row r="2" spans="1:2" ht="6" customHeight="1">
      <c r="B2" s="21"/>
    </row>
    <row r="3" spans="1:2" ht="39.950000000000003" customHeight="1">
      <c r="A3" s="13" t="s">
        <v>242</v>
      </c>
      <c r="B3" s="14" t="s">
        <v>158</v>
      </c>
    </row>
    <row r="4" spans="1:2" ht="24.95" customHeight="1">
      <c r="A4" s="15" t="s">
        <v>93</v>
      </c>
      <c r="B4" s="16" t="s">
        <v>98</v>
      </c>
    </row>
    <row r="5" spans="1:2" ht="24.95" customHeight="1">
      <c r="A5" s="15" t="s">
        <v>99</v>
      </c>
      <c r="B5" s="17" t="s">
        <v>100</v>
      </c>
    </row>
    <row r="6" spans="1:2" ht="24.95" customHeight="1">
      <c r="A6" s="15" t="s">
        <v>7</v>
      </c>
      <c r="B6" s="16" t="s">
        <v>101</v>
      </c>
    </row>
    <row r="7" spans="1:2" ht="24.95" customHeight="1">
      <c r="A7" s="15" t="s">
        <v>102</v>
      </c>
      <c r="B7" s="16" t="s">
        <v>103</v>
      </c>
    </row>
    <row r="8" spans="1:2" ht="24.95" customHeight="1">
      <c r="A8" s="15" t="s">
        <v>104</v>
      </c>
      <c r="B8" s="16" t="s">
        <v>105</v>
      </c>
    </row>
    <row r="9" spans="1:2" ht="24.95" customHeight="1">
      <c r="A9" s="15" t="s">
        <v>213</v>
      </c>
      <c r="B9" s="16" t="s">
        <v>212</v>
      </c>
    </row>
    <row r="10" spans="1:2" ht="24.95" customHeight="1">
      <c r="A10" s="15" t="s">
        <v>87</v>
      </c>
      <c r="B10" s="18" t="s">
        <v>205</v>
      </c>
    </row>
    <row r="11" spans="1:2" ht="24.95" customHeight="1">
      <c r="A11" s="15" t="s">
        <v>106</v>
      </c>
      <c r="B11" s="16" t="s">
        <v>107</v>
      </c>
    </row>
    <row r="12" spans="1:2" ht="24.95" customHeight="1">
      <c r="A12" s="15" t="s">
        <v>108</v>
      </c>
      <c r="B12" s="16" t="s">
        <v>109</v>
      </c>
    </row>
    <row r="13" spans="1:2" ht="24.95" customHeight="1">
      <c r="A13" s="15" t="s">
        <v>110</v>
      </c>
      <c r="B13" s="16" t="s">
        <v>111</v>
      </c>
    </row>
    <row r="14" spans="1:2" ht="24.95" customHeight="1">
      <c r="A14" s="15" t="s">
        <v>215</v>
      </c>
      <c r="B14" s="16" t="s">
        <v>216</v>
      </c>
    </row>
    <row r="15" spans="1:2" ht="24.95" customHeight="1">
      <c r="A15" s="15" t="s">
        <v>6</v>
      </c>
      <c r="B15" s="16" t="s">
        <v>112</v>
      </c>
    </row>
    <row r="16" spans="1:2" ht="24.95" customHeight="1">
      <c r="A16" s="15" t="s">
        <v>65</v>
      </c>
      <c r="B16" s="16" t="s">
        <v>206</v>
      </c>
    </row>
    <row r="17" spans="1:2" ht="24.95" customHeight="1">
      <c r="A17" s="15" t="s">
        <v>113</v>
      </c>
      <c r="B17" s="16" t="s">
        <v>207</v>
      </c>
    </row>
    <row r="18" spans="1:2" ht="24.95" customHeight="1">
      <c r="A18" s="15" t="s">
        <v>114</v>
      </c>
      <c r="B18" s="19" t="s">
        <v>115</v>
      </c>
    </row>
    <row r="19" spans="1:2" ht="24.95" customHeight="1">
      <c r="A19" s="13" t="s">
        <v>116</v>
      </c>
      <c r="B19" s="19" t="s">
        <v>117</v>
      </c>
    </row>
    <row r="20" spans="1:2" ht="39.950000000000003" customHeight="1">
      <c r="A20" s="15" t="s">
        <v>118</v>
      </c>
      <c r="B20" s="19" t="s">
        <v>119</v>
      </c>
    </row>
    <row r="21" spans="1:2" ht="24.75" customHeight="1">
      <c r="A21" s="15" t="s">
        <v>32</v>
      </c>
      <c r="B21" s="20" t="s">
        <v>120</v>
      </c>
    </row>
    <row r="22" spans="1:2" ht="24.95" customHeight="1">
      <c r="A22" s="15" t="s">
        <v>121</v>
      </c>
      <c r="B22" s="19" t="s">
        <v>122</v>
      </c>
    </row>
    <row r="23" spans="1:2" ht="24.95" customHeight="1">
      <c r="A23" s="15" t="s">
        <v>123</v>
      </c>
      <c r="B23" s="16" t="s">
        <v>124</v>
      </c>
    </row>
    <row r="24" spans="1:2" ht="24.95" customHeight="1">
      <c r="A24" s="15" t="s">
        <v>151</v>
      </c>
      <c r="B24" s="16" t="s">
        <v>152</v>
      </c>
    </row>
    <row r="25" spans="1:2" ht="24.95" customHeight="1">
      <c r="A25" s="15" t="s">
        <v>125</v>
      </c>
      <c r="B25" s="16" t="s">
        <v>126</v>
      </c>
    </row>
    <row r="26" spans="1:2" ht="39.950000000000003" customHeight="1">
      <c r="A26" s="15" t="s">
        <v>20</v>
      </c>
      <c r="B26" s="16" t="s">
        <v>208</v>
      </c>
    </row>
    <row r="27" spans="1:2" ht="24.95" customHeight="1">
      <c r="A27" s="15" t="s">
        <v>127</v>
      </c>
      <c r="B27" s="16" t="s">
        <v>128</v>
      </c>
    </row>
    <row r="28" spans="1:2" ht="24.95" customHeight="1">
      <c r="A28" s="15" t="s">
        <v>129</v>
      </c>
      <c r="B28" s="16" t="s">
        <v>130</v>
      </c>
    </row>
    <row r="29" spans="1:2" ht="24.95" customHeight="1">
      <c r="A29" s="15" t="s">
        <v>131</v>
      </c>
      <c r="B29" s="16" t="s">
        <v>132</v>
      </c>
    </row>
    <row r="30" spans="1:2" ht="39.950000000000003" customHeight="1">
      <c r="A30" s="15" t="s">
        <v>133</v>
      </c>
      <c r="B30" s="19" t="s">
        <v>149</v>
      </c>
    </row>
    <row r="31" spans="1:2" ht="24.95" customHeight="1">
      <c r="A31" s="15" t="s">
        <v>134</v>
      </c>
      <c r="B31" s="16" t="s">
        <v>135</v>
      </c>
    </row>
    <row r="32" spans="1:2" ht="24.95" customHeight="1">
      <c r="A32" s="15" t="s">
        <v>136</v>
      </c>
      <c r="B32" s="16" t="s">
        <v>137</v>
      </c>
    </row>
    <row r="33" spans="1:2" ht="24.95" customHeight="1">
      <c r="A33" s="15" t="s">
        <v>203</v>
      </c>
      <c r="B33" s="16" t="s">
        <v>209</v>
      </c>
    </row>
    <row r="34" spans="1:2" ht="24.95" customHeight="1">
      <c r="A34" s="15" t="s">
        <v>138</v>
      </c>
      <c r="B34" s="19" t="s">
        <v>139</v>
      </c>
    </row>
    <row r="35" spans="1:2" ht="24.95" customHeight="1">
      <c r="A35" s="15" t="s">
        <v>5</v>
      </c>
      <c r="B35" s="16" t="s">
        <v>140</v>
      </c>
    </row>
    <row r="36" spans="1:2" ht="24.95" customHeight="1">
      <c r="A36" s="15" t="s">
        <v>4</v>
      </c>
      <c r="B36" s="16" t="s">
        <v>141</v>
      </c>
    </row>
    <row r="37" spans="1:2" ht="24.95" customHeight="1">
      <c r="A37" s="15" t="s">
        <v>142</v>
      </c>
      <c r="B37" s="16" t="s">
        <v>143</v>
      </c>
    </row>
    <row r="38" spans="1:2" ht="24.95" customHeight="1">
      <c r="A38" s="15" t="s">
        <v>31</v>
      </c>
      <c r="B38" s="16" t="s">
        <v>144</v>
      </c>
    </row>
    <row r="39" spans="1:2" ht="24.95" customHeight="1">
      <c r="A39" s="15" t="s">
        <v>145</v>
      </c>
      <c r="B39" s="19" t="s">
        <v>146</v>
      </c>
    </row>
    <row r="40" spans="1:2" ht="24.95" customHeight="1">
      <c r="A40" s="15" t="s">
        <v>147</v>
      </c>
      <c r="B40" s="16" t="s">
        <v>148</v>
      </c>
    </row>
    <row r="41" spans="1:2" ht="24.95" customHeight="1">
      <c r="A41" s="23"/>
      <c r="B41" s="19"/>
    </row>
    <row r="42" spans="1:2" ht="24.95" customHeight="1">
      <c r="A42" s="23"/>
      <c r="B42" s="16"/>
    </row>
  </sheetData>
  <sortState ref="A5:B40">
    <sortCondition ref="A4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A9F4-9809-412C-812A-5ED8778E106C}">
  <sheetPr codeName="List5"/>
  <dimension ref="A1:J61"/>
  <sheetViews>
    <sheetView showGridLines="0" view="pageBreakPreview" topLeftCell="A22" zoomScaleNormal="100" zoomScaleSheetLayoutView="100" workbookViewId="0">
      <selection activeCell="C1" sqref="C1"/>
    </sheetView>
  </sheetViews>
  <sheetFormatPr defaultColWidth="9.140625" defaultRowHeight="14.25"/>
  <cols>
    <col min="1" max="1" width="14.7109375" style="25" customWidth="1"/>
    <col min="2" max="3" width="10.7109375" style="25" customWidth="1"/>
    <col min="4" max="4" width="31.5703125" style="25" customWidth="1"/>
    <col min="5" max="5" width="8" style="25" customWidth="1"/>
    <col min="6" max="6" width="7.28515625" style="25" customWidth="1"/>
    <col min="7" max="7" width="1.7109375" style="25" customWidth="1"/>
    <col min="8" max="8" width="9" style="25" customWidth="1"/>
    <col min="9" max="9" width="5.7109375" style="25" customWidth="1"/>
    <col min="10" max="10" width="9.140625" style="25" customWidth="1"/>
    <col min="11" max="16384" width="9.140625" style="25"/>
  </cols>
  <sheetData>
    <row r="1" spans="1:10" ht="20.25">
      <c r="A1" s="45" t="str">
        <f>"2 STRUČNÝ PŘEHLED ZA "&amp;UPPER('3.1'!G5)&amp;" "&amp;'3.1'!A4</f>
        <v>2 STRUČNÝ PŘEHLED ZA IV. ČTVRTLETÍ 2022</v>
      </c>
      <c r="C1" s="26"/>
      <c r="D1" s="26"/>
    </row>
    <row r="2" spans="1:10" s="28" customFormat="1" ht="6" customHeight="1">
      <c r="A2" s="27"/>
      <c r="B2" s="27"/>
      <c r="C2" s="27"/>
      <c r="D2" s="27"/>
    </row>
    <row r="3" spans="1:10" ht="15" customHeight="1">
      <c r="A3" s="413" t="s">
        <v>217</v>
      </c>
      <c r="B3" s="413"/>
      <c r="C3" s="413"/>
      <c r="D3" s="413"/>
      <c r="E3" s="413"/>
      <c r="F3" s="413"/>
      <c r="G3" s="413"/>
      <c r="H3" s="413"/>
      <c r="I3" s="413"/>
    </row>
    <row r="4" spans="1:10" ht="15" customHeight="1">
      <c r="A4" s="413"/>
      <c r="B4" s="413"/>
      <c r="C4" s="413"/>
      <c r="D4" s="413"/>
      <c r="E4" s="413"/>
      <c r="F4" s="413"/>
      <c r="G4" s="413"/>
      <c r="H4" s="413"/>
      <c r="I4" s="413"/>
    </row>
    <row r="5" spans="1:10" ht="15" customHeight="1">
      <c r="A5" s="413"/>
      <c r="B5" s="413"/>
      <c r="C5" s="413"/>
      <c r="D5" s="413"/>
      <c r="E5" s="413"/>
      <c r="F5" s="413"/>
      <c r="G5" s="413"/>
      <c r="H5" s="413"/>
      <c r="I5" s="413"/>
    </row>
    <row r="6" spans="1:10" ht="15" customHeight="1">
      <c r="A6" s="413"/>
      <c r="B6" s="413"/>
      <c r="C6" s="413"/>
      <c r="D6" s="413"/>
      <c r="E6" s="413"/>
      <c r="F6" s="413"/>
      <c r="G6" s="413"/>
      <c r="H6" s="413"/>
      <c r="I6" s="413"/>
    </row>
    <row r="7" spans="1:10" ht="30" customHeight="1">
      <c r="A7" s="414" t="s">
        <v>253</v>
      </c>
      <c r="B7" s="414"/>
      <c r="C7" s="414"/>
      <c r="D7" s="414"/>
      <c r="E7" s="414"/>
      <c r="F7" s="414"/>
      <c r="G7" s="414"/>
      <c r="H7" s="414"/>
      <c r="I7" s="414"/>
      <c r="J7" s="29"/>
    </row>
    <row r="8" spans="1:10" ht="9.9499999999999993" customHeight="1">
      <c r="A8" s="29"/>
      <c r="B8" s="29"/>
      <c r="C8" s="30"/>
      <c r="D8" s="30"/>
    </row>
    <row r="9" spans="1:10" ht="15.95" customHeight="1">
      <c r="A9" s="410" t="s">
        <v>218</v>
      </c>
      <c r="B9" s="410"/>
      <c r="C9" s="410"/>
      <c r="D9" s="410"/>
      <c r="E9" s="31">
        <f>'3.1'!G8/1000</f>
        <v>2905.0570859879035</v>
      </c>
      <c r="F9" s="32" t="s">
        <v>260</v>
      </c>
      <c r="G9" s="32" t="s">
        <v>219</v>
      </c>
      <c r="H9" s="31">
        <f>'3.1'!K8/1000</f>
        <v>31796.267120930999</v>
      </c>
      <c r="I9" s="32" t="s">
        <v>220</v>
      </c>
    </row>
    <row r="10" spans="1:10" ht="15.95" customHeight="1">
      <c r="A10" s="411" t="s">
        <v>221</v>
      </c>
      <c r="B10" s="411"/>
      <c r="C10" s="411"/>
      <c r="D10" s="411"/>
      <c r="E10" s="31">
        <f>'3.1'!G11/1000</f>
        <v>790.4618467648545</v>
      </c>
      <c r="F10" s="32" t="s">
        <v>260</v>
      </c>
      <c r="G10" s="32" t="s">
        <v>219</v>
      </c>
      <c r="H10" s="31">
        <f>'3.1'!K11/1000</f>
        <v>8651.7063884836007</v>
      </c>
      <c r="I10" s="32" t="s">
        <v>220</v>
      </c>
    </row>
    <row r="11" spans="1:10" ht="9.9499999999999993" customHeight="1">
      <c r="A11" s="33"/>
      <c r="B11" s="33"/>
      <c r="C11" s="34"/>
      <c r="D11" s="34"/>
      <c r="E11" s="35"/>
    </row>
    <row r="12" spans="1:10" ht="15.95" customHeight="1">
      <c r="A12" s="411" t="s">
        <v>222</v>
      </c>
      <c r="B12" s="411"/>
      <c r="C12" s="411"/>
      <c r="D12" s="411"/>
      <c r="E12" s="31">
        <f>'3.1'!G18/1000</f>
        <v>566.81349999999986</v>
      </c>
      <c r="F12" s="32" t="s">
        <v>260</v>
      </c>
      <c r="G12" s="32" t="s">
        <v>219</v>
      </c>
      <c r="H12" s="31">
        <f>'3.1'!K18/1000</f>
        <v>6137.2857899999999</v>
      </c>
      <c r="I12" s="32" t="s">
        <v>220</v>
      </c>
    </row>
    <row r="13" spans="1:10" ht="15.95" customHeight="1">
      <c r="A13" s="411" t="s">
        <v>223</v>
      </c>
      <c r="B13" s="411"/>
      <c r="C13" s="411"/>
      <c r="D13" s="411"/>
      <c r="E13" s="31">
        <f>'3.1'!G22/1000</f>
        <v>495.14356299999997</v>
      </c>
      <c r="F13" s="32" t="s">
        <v>260</v>
      </c>
      <c r="G13" s="32" t="s">
        <v>219</v>
      </c>
      <c r="H13" s="31">
        <f>'3.1'!K22/1000</f>
        <v>5425.3742057899999</v>
      </c>
      <c r="I13" s="32" t="s">
        <v>220</v>
      </c>
    </row>
    <row r="14" spans="1:10" ht="15.95" customHeight="1">
      <c r="A14" s="411" t="s">
        <v>224</v>
      </c>
      <c r="B14" s="411"/>
      <c r="C14" s="411"/>
      <c r="D14" s="411"/>
      <c r="E14" s="31">
        <f>'3.1'!G27/1000</f>
        <v>2922.1963637324902</v>
      </c>
      <c r="F14" s="32" t="s">
        <v>260</v>
      </c>
      <c r="G14" s="32" t="s">
        <v>219</v>
      </c>
      <c r="H14" s="31">
        <f>'3.1'!K27/1000</f>
        <v>31503.431705221905</v>
      </c>
      <c r="I14" s="32" t="s">
        <v>220</v>
      </c>
    </row>
    <row r="15" spans="1:10" ht="9.9499999999999993" customHeight="1">
      <c r="A15" s="33"/>
      <c r="B15" s="33"/>
      <c r="C15" s="34"/>
      <c r="D15" s="34"/>
      <c r="E15" s="35"/>
    </row>
    <row r="16" spans="1:10" ht="15.95" customHeight="1">
      <c r="A16" s="411" t="s">
        <v>225</v>
      </c>
      <c r="B16" s="411"/>
      <c r="C16" s="411"/>
      <c r="D16" s="411"/>
      <c r="E16" s="31">
        <f>'3.1'!G36/1000</f>
        <v>39.613596999999992</v>
      </c>
      <c r="F16" s="32" t="s">
        <v>260</v>
      </c>
      <c r="G16" s="32" t="s">
        <v>219</v>
      </c>
      <c r="H16" s="31">
        <f>'3.1'!K36/1000</f>
        <v>431.14593240906009</v>
      </c>
      <c r="I16" s="32" t="s">
        <v>220</v>
      </c>
    </row>
    <row r="17" spans="1:9" ht="30" customHeight="1">
      <c r="A17" s="414" t="s">
        <v>254</v>
      </c>
      <c r="B17" s="414"/>
      <c r="C17" s="414"/>
      <c r="D17" s="414"/>
      <c r="E17" s="414"/>
      <c r="F17" s="414"/>
      <c r="G17" s="414"/>
      <c r="H17" s="414"/>
      <c r="I17" s="414"/>
    </row>
    <row r="18" spans="1:9" ht="9.9499999999999993" customHeight="1">
      <c r="A18" s="29"/>
      <c r="B18" s="29"/>
      <c r="C18" s="30"/>
      <c r="D18" s="30"/>
    </row>
    <row r="19" spans="1:9" ht="15.95" customHeight="1">
      <c r="A19" s="410" t="s">
        <v>226</v>
      </c>
      <c r="B19" s="410"/>
      <c r="C19" s="410"/>
      <c r="D19" s="410"/>
      <c r="E19" s="31">
        <f>'4.1'!B22</f>
        <v>2216.7570814508604</v>
      </c>
      <c r="F19" s="32" t="s">
        <v>260</v>
      </c>
      <c r="G19" s="32" t="s">
        <v>219</v>
      </c>
      <c r="H19" s="31">
        <f>'4.1'!I22</f>
        <v>24212.527015947002</v>
      </c>
      <c r="I19" s="32" t="s">
        <v>220</v>
      </c>
    </row>
    <row r="20" spans="1:9" ht="15.95" customHeight="1">
      <c r="A20" s="411" t="s">
        <v>227</v>
      </c>
      <c r="B20" s="411"/>
      <c r="C20" s="411"/>
      <c r="D20" s="411"/>
      <c r="E20" s="36">
        <f>'4.1'!D22*100</f>
        <v>-22.185612454977903</v>
      </c>
      <c r="F20" s="32" t="s">
        <v>228</v>
      </c>
      <c r="G20" s="32"/>
      <c r="H20" s="31"/>
      <c r="I20" s="32"/>
    </row>
    <row r="21" spans="1:9" ht="9.9499999999999993" customHeight="1">
      <c r="A21" s="37"/>
      <c r="B21" s="37"/>
      <c r="C21" s="37"/>
      <c r="D21" s="37"/>
      <c r="E21" s="36"/>
      <c r="F21" s="32"/>
      <c r="G21" s="32"/>
      <c r="H21" s="31"/>
      <c r="I21" s="32"/>
    </row>
    <row r="22" spans="1:9" ht="15.95" customHeight="1">
      <c r="A22" s="411" t="s">
        <v>229</v>
      </c>
      <c r="B22" s="411"/>
      <c r="C22" s="411"/>
      <c r="D22" s="411"/>
      <c r="E22" s="31">
        <f>'4.1'!E22</f>
        <v>2340.4055543815821</v>
      </c>
      <c r="F22" s="32" t="s">
        <v>260</v>
      </c>
      <c r="G22" s="32" t="s">
        <v>219</v>
      </c>
      <c r="H22" s="31">
        <f>'4.1'!K22</f>
        <v>25565.333746798286</v>
      </c>
      <c r="I22" s="32" t="s">
        <v>220</v>
      </c>
    </row>
    <row r="23" spans="1:9" ht="15.95" customHeight="1">
      <c r="A23" s="411" t="s">
        <v>230</v>
      </c>
      <c r="B23" s="411"/>
      <c r="C23" s="411"/>
      <c r="D23" s="411"/>
      <c r="E23" s="36">
        <f>'4.1'!G22*100</f>
        <v>-18.892789022685768</v>
      </c>
      <c r="F23" s="32" t="s">
        <v>228</v>
      </c>
    </row>
    <row r="24" spans="1:9" ht="9.9499999999999993" customHeight="1">
      <c r="A24" s="37"/>
      <c r="B24" s="37"/>
      <c r="C24" s="37"/>
      <c r="D24" s="37"/>
      <c r="E24" s="36"/>
      <c r="F24" s="32"/>
      <c r="G24" s="32"/>
      <c r="H24" s="31"/>
      <c r="I24" s="32"/>
    </row>
    <row r="25" spans="1:9" ht="15.95" customHeight="1">
      <c r="A25" s="411" t="s">
        <v>231</v>
      </c>
      <c r="B25" s="411"/>
      <c r="C25" s="411"/>
      <c r="D25" s="411"/>
      <c r="E25" s="36">
        <f>'4.1'!N22</f>
        <v>5.1531899641577068</v>
      </c>
      <c r="F25" s="32" t="s">
        <v>232</v>
      </c>
      <c r="G25" s="32"/>
      <c r="H25" s="31"/>
      <c r="I25" s="32"/>
    </row>
    <row r="26" spans="1:9" ht="15.95" customHeight="1">
      <c r="A26" s="411" t="s">
        <v>233</v>
      </c>
      <c r="B26" s="411"/>
      <c r="C26" s="411"/>
      <c r="D26" s="411"/>
      <c r="E26" s="36">
        <f>'4.1'!Q22</f>
        <v>3.83921146953405</v>
      </c>
      <c r="F26" s="32" t="s">
        <v>232</v>
      </c>
      <c r="G26" s="32"/>
      <c r="H26" s="31"/>
      <c r="I26" s="32"/>
    </row>
    <row r="27" spans="1:9" ht="15.95" customHeight="1">
      <c r="A27" s="411" t="s">
        <v>234</v>
      </c>
      <c r="B27" s="411"/>
      <c r="C27" s="411"/>
      <c r="D27" s="411"/>
      <c r="E27" s="36">
        <f>'4.1'!R22</f>
        <v>1.3139784946236568</v>
      </c>
      <c r="F27" s="32" t="s">
        <v>232</v>
      </c>
      <c r="G27" s="32"/>
      <c r="H27" s="31"/>
      <c r="I27" s="32"/>
    </row>
    <row r="28" spans="1:9" ht="9.9499999999999993" customHeight="1">
      <c r="A28" s="37"/>
      <c r="B28" s="37"/>
      <c r="C28" s="37"/>
      <c r="D28" s="37"/>
      <c r="E28" s="31"/>
      <c r="F28" s="32"/>
      <c r="G28" s="32"/>
      <c r="H28" s="31"/>
      <c r="I28" s="32"/>
    </row>
    <row r="29" spans="1:9" ht="15.95" customHeight="1">
      <c r="A29" s="411" t="s">
        <v>235</v>
      </c>
      <c r="B29" s="411"/>
      <c r="C29" s="411"/>
      <c r="D29" s="411"/>
      <c r="E29" s="38">
        <f>MAX('4.3'!B38,'4.3'!E38,'4.3'!H38)/1000</f>
        <v>41.738842115884623</v>
      </c>
      <c r="F29" s="32" t="s">
        <v>260</v>
      </c>
      <c r="G29" s="32" t="s">
        <v>219</v>
      </c>
      <c r="H29" s="38">
        <f>MAX('4.3'!C38,'4.3'!F38,'4.3'!I38)/1000</f>
        <v>454.87738772993549</v>
      </c>
      <c r="I29" s="32" t="s">
        <v>220</v>
      </c>
    </row>
    <row r="30" spans="1:9" ht="15.95" customHeight="1">
      <c r="A30" s="411" t="s">
        <v>236</v>
      </c>
      <c r="B30" s="411"/>
      <c r="C30" s="411"/>
      <c r="D30" s="411"/>
      <c r="E30" s="38">
        <f>MIN('4.3'!B39,'4.3'!E39,'4.3'!H39)/1000</f>
        <v>12.449817864482105</v>
      </c>
      <c r="F30" s="32" t="s">
        <v>260</v>
      </c>
      <c r="G30" s="32" t="s">
        <v>219</v>
      </c>
      <c r="H30" s="38">
        <f>MIN('4.3'!C39,'4.3'!F39,'4.3'!I39)/1000</f>
        <v>136.44275582570967</v>
      </c>
      <c r="I30" s="32" t="s">
        <v>220</v>
      </c>
    </row>
    <row r="31" spans="1:9" ht="30" customHeight="1">
      <c r="A31" s="409" t="s">
        <v>255</v>
      </c>
      <c r="B31" s="409"/>
      <c r="C31" s="409"/>
      <c r="D31" s="409"/>
      <c r="E31" s="409"/>
      <c r="F31" s="409"/>
      <c r="G31" s="409"/>
      <c r="H31" s="409"/>
      <c r="I31" s="409"/>
    </row>
    <row r="32" spans="1:9" ht="9.9499999999999993" customHeight="1"/>
    <row r="33" spans="1:9" ht="15.95" customHeight="1">
      <c r="A33" s="410" t="s">
        <v>237</v>
      </c>
      <c r="B33" s="410"/>
      <c r="C33" s="410"/>
      <c r="D33" s="410"/>
      <c r="E33" s="38">
        <f>'5.9'!E7*100</f>
        <v>11.097562908082599</v>
      </c>
      <c r="F33" s="32" t="s">
        <v>228</v>
      </c>
      <c r="H33" s="38">
        <f>'5.9'!F7*100</f>
        <v>-18.49615962858719</v>
      </c>
      <c r="I33" s="32" t="s">
        <v>228</v>
      </c>
    </row>
    <row r="34" spans="1:9" ht="15.95" customHeight="1">
      <c r="A34" s="411" t="s">
        <v>238</v>
      </c>
      <c r="B34" s="411"/>
      <c r="C34" s="411"/>
      <c r="D34" s="411"/>
      <c r="E34" s="38">
        <f>'5.9'!E8*100</f>
        <v>79.909452456384983</v>
      </c>
      <c r="F34" s="32" t="s">
        <v>228</v>
      </c>
      <c r="H34" s="38">
        <f>'5.9'!F8*100</f>
        <v>-23.800790720985336</v>
      </c>
      <c r="I34" s="32" t="s">
        <v>228</v>
      </c>
    </row>
    <row r="35" spans="1:9" ht="15.95" customHeight="1">
      <c r="A35" s="411" t="s">
        <v>239</v>
      </c>
      <c r="B35" s="411"/>
      <c r="C35" s="411"/>
      <c r="D35" s="411"/>
      <c r="E35" s="38">
        <f>'5.9'!E9*100</f>
        <v>3.9288472279729598</v>
      </c>
      <c r="F35" s="32" t="s">
        <v>228</v>
      </c>
      <c r="H35" s="38">
        <f>'5.9'!F9*100</f>
        <v>-21.39435246573521</v>
      </c>
      <c r="I35" s="32" t="s">
        <v>228</v>
      </c>
    </row>
    <row r="36" spans="1:9" ht="15.95" customHeight="1">
      <c r="A36" s="411" t="s">
        <v>240</v>
      </c>
      <c r="B36" s="411"/>
      <c r="C36" s="411"/>
      <c r="D36" s="411"/>
      <c r="E36" s="38">
        <f>'5.9'!E10*100</f>
        <v>5.0641374075594587</v>
      </c>
      <c r="F36" s="32" t="s">
        <v>228</v>
      </c>
      <c r="H36" s="38">
        <f>'5.9'!F10*100</f>
        <v>0.72613071666092555</v>
      </c>
      <c r="I36" s="32" t="s">
        <v>228</v>
      </c>
    </row>
    <row r="37" spans="1:9" ht="15" customHeight="1">
      <c r="A37" s="37"/>
      <c r="B37" s="37"/>
      <c r="C37" s="37"/>
      <c r="D37" s="37"/>
      <c r="E37" s="38"/>
      <c r="F37" s="32"/>
      <c r="H37" s="38"/>
      <c r="I37" s="32"/>
    </row>
    <row r="38" spans="1:9" ht="15.95" customHeight="1">
      <c r="A38" s="411" t="s">
        <v>241</v>
      </c>
      <c r="B38" s="411"/>
      <c r="C38" s="411"/>
      <c r="D38" s="411"/>
      <c r="E38" s="408">
        <f>'5.1'!D35</f>
        <v>2781281.2080000001</v>
      </c>
      <c r="F38" s="408"/>
      <c r="H38" s="38"/>
      <c r="I38" s="32"/>
    </row>
    <row r="39" spans="1:9" ht="30" customHeight="1">
      <c r="A39" s="412"/>
      <c r="B39" s="412"/>
      <c r="C39" s="412"/>
      <c r="D39" s="412"/>
      <c r="E39" s="412"/>
      <c r="F39" s="412"/>
      <c r="G39" s="412"/>
      <c r="H39" s="412"/>
      <c r="I39" s="412"/>
    </row>
    <row r="40" spans="1:9" ht="15.95" customHeight="1">
      <c r="A40" s="29"/>
      <c r="B40" s="29"/>
    </row>
    <row r="41" spans="1:9" ht="15.95" customHeight="1">
      <c r="A41" s="407" t="s">
        <v>321</v>
      </c>
      <c r="B41" s="407"/>
      <c r="C41" s="407"/>
      <c r="D41" s="407"/>
      <c r="E41" s="407"/>
      <c r="F41" s="407"/>
      <c r="G41" s="407"/>
      <c r="H41" s="407"/>
      <c r="I41" s="407"/>
    </row>
    <row r="42" spans="1:9" ht="15.95" customHeight="1">
      <c r="A42" s="407"/>
      <c r="B42" s="407"/>
      <c r="C42" s="407"/>
      <c r="D42" s="407"/>
      <c r="E42" s="407"/>
      <c r="F42" s="407"/>
      <c r="G42" s="407"/>
      <c r="H42" s="407"/>
      <c r="I42" s="407"/>
    </row>
    <row r="43" spans="1:9" ht="15.95" customHeight="1">
      <c r="A43" s="407"/>
      <c r="B43" s="407"/>
      <c r="C43" s="407"/>
      <c r="D43" s="407"/>
      <c r="E43" s="407"/>
      <c r="F43" s="407"/>
      <c r="G43" s="407"/>
      <c r="H43" s="407"/>
      <c r="I43" s="407"/>
    </row>
    <row r="44" spans="1:9" ht="15.95" customHeight="1">
      <c r="A44" s="407"/>
      <c r="B44" s="407"/>
      <c r="C44" s="407"/>
      <c r="D44" s="407"/>
      <c r="E44" s="407"/>
      <c r="F44" s="407"/>
      <c r="G44" s="407"/>
      <c r="H44" s="407"/>
      <c r="I44" s="407"/>
    </row>
    <row r="45" spans="1:9" ht="15.95" customHeight="1">
      <c r="A45" s="407"/>
      <c r="B45" s="407"/>
      <c r="C45" s="407"/>
      <c r="D45" s="407"/>
      <c r="E45" s="407"/>
      <c r="F45" s="407"/>
      <c r="G45" s="407"/>
      <c r="H45" s="407"/>
      <c r="I45" s="407"/>
    </row>
    <row r="46" spans="1:9" ht="15.95" customHeight="1">
      <c r="A46" s="407"/>
      <c r="B46" s="407"/>
      <c r="C46" s="407"/>
      <c r="D46" s="407"/>
      <c r="E46" s="407"/>
      <c r="F46" s="407"/>
      <c r="G46" s="407"/>
      <c r="H46" s="407"/>
      <c r="I46" s="407"/>
    </row>
    <row r="47" spans="1:9" ht="15.95" customHeight="1">
      <c r="A47" s="407"/>
      <c r="B47" s="407"/>
      <c r="C47" s="407"/>
      <c r="D47" s="407"/>
      <c r="E47" s="407"/>
      <c r="F47" s="407"/>
      <c r="G47" s="407"/>
      <c r="H47" s="407"/>
      <c r="I47" s="407"/>
    </row>
    <row r="48" spans="1:9" ht="15" customHeight="1">
      <c r="A48" s="407"/>
      <c r="B48" s="407"/>
      <c r="C48" s="407"/>
      <c r="D48" s="407"/>
      <c r="E48" s="407"/>
      <c r="F48" s="407"/>
      <c r="G48" s="407"/>
      <c r="H48" s="407"/>
      <c r="I48" s="407"/>
    </row>
    <row r="49" spans="1:9" ht="15" customHeight="1">
      <c r="A49" s="407"/>
      <c r="B49" s="407"/>
      <c r="C49" s="407"/>
      <c r="D49" s="407"/>
      <c r="E49" s="407"/>
      <c r="F49" s="407"/>
      <c r="G49" s="407"/>
      <c r="H49" s="407"/>
      <c r="I49" s="407"/>
    </row>
    <row r="50" spans="1:9" ht="15" customHeight="1">
      <c r="A50" s="29"/>
      <c r="B50" s="29"/>
      <c r="C50" s="29"/>
      <c r="D50" s="29"/>
      <c r="E50" s="29"/>
      <c r="F50" s="29"/>
      <c r="G50" s="29"/>
      <c r="H50" s="29"/>
      <c r="I50" s="29"/>
    </row>
    <row r="51" spans="1:9" ht="15.95" customHeight="1">
      <c r="A51" s="29"/>
      <c r="B51" s="29"/>
      <c r="C51" s="29"/>
      <c r="D51" s="29"/>
      <c r="E51" s="29"/>
      <c r="F51" s="29"/>
      <c r="G51" s="29"/>
      <c r="H51" s="29"/>
      <c r="I51" s="29"/>
    </row>
    <row r="52" spans="1:9" ht="15.95" customHeight="1">
      <c r="A52" s="29"/>
      <c r="B52" s="29"/>
    </row>
    <row r="53" spans="1:9" ht="15.95" customHeight="1">
      <c r="A53" s="29"/>
      <c r="B53" s="29"/>
    </row>
    <row r="54" spans="1:9" ht="15.95" customHeight="1">
      <c r="A54" s="29"/>
      <c r="B54" s="29"/>
    </row>
    <row r="55" spans="1:9" ht="15" customHeight="1">
      <c r="A55" s="29"/>
      <c r="B55" s="29"/>
    </row>
    <row r="56" spans="1:9" ht="15" customHeight="1">
      <c r="A56" s="29"/>
      <c r="B56" s="29"/>
    </row>
    <row r="57" spans="1:9" ht="15" customHeight="1">
      <c r="A57" s="29"/>
      <c r="B57" s="29"/>
    </row>
    <row r="58" spans="1:9" ht="15" customHeight="1">
      <c r="A58" s="29"/>
      <c r="B58" s="29"/>
    </row>
    <row r="59" spans="1:9" ht="15" customHeight="1">
      <c r="A59" s="29"/>
      <c r="B59" s="29"/>
    </row>
    <row r="60" spans="1:9" ht="11.45" customHeight="1">
      <c r="A60" s="29"/>
      <c r="B60" s="29"/>
    </row>
    <row r="61" spans="1:9" ht="10.9" customHeight="1"/>
  </sheetData>
  <mergeCells count="27">
    <mergeCell ref="A22:D22"/>
    <mergeCell ref="A23:D23"/>
    <mergeCell ref="A14:D14"/>
    <mergeCell ref="A16:D16"/>
    <mergeCell ref="A17:I17"/>
    <mergeCell ref="A19:D19"/>
    <mergeCell ref="A20:D20"/>
    <mergeCell ref="A13:D13"/>
    <mergeCell ref="A3:I6"/>
    <mergeCell ref="A7:I7"/>
    <mergeCell ref="A9:D9"/>
    <mergeCell ref="A10:D10"/>
    <mergeCell ref="A12:D12"/>
    <mergeCell ref="A25:D25"/>
    <mergeCell ref="A26:D26"/>
    <mergeCell ref="A27:D27"/>
    <mergeCell ref="A29:D29"/>
    <mergeCell ref="A38:D38"/>
    <mergeCell ref="A30:D30"/>
    <mergeCell ref="A41:I49"/>
    <mergeCell ref="E38:F38"/>
    <mergeCell ref="A31:I31"/>
    <mergeCell ref="A33:D33"/>
    <mergeCell ref="A34:D34"/>
    <mergeCell ref="A35:D35"/>
    <mergeCell ref="A36:D36"/>
    <mergeCell ref="A39:I3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R56"/>
  <sheetViews>
    <sheetView showGridLines="0" topLeftCell="A13" zoomScaleNormal="100" zoomScaleSheetLayoutView="100" workbookViewId="0">
      <selection activeCell="C1" sqref="C1"/>
    </sheetView>
  </sheetViews>
  <sheetFormatPr defaultColWidth="9.140625" defaultRowHeight="11.25"/>
  <cols>
    <col min="1" max="1" width="6.85546875" style="39" customWidth="1"/>
    <col min="2" max="2" width="8.42578125" style="39" customWidth="1"/>
    <col min="3" max="3" width="13.140625" style="39" customWidth="1"/>
    <col min="4" max="6" width="8.28515625" style="39" customWidth="1"/>
    <col min="7" max="7" width="9.7109375" style="39" customWidth="1"/>
    <col min="8" max="10" width="8.7109375" style="39" customWidth="1"/>
    <col min="11" max="11" width="9.7109375" style="39" customWidth="1"/>
    <col min="12" max="16384" width="9.140625" style="39"/>
  </cols>
  <sheetData>
    <row r="1" spans="1:18" ht="20.25">
      <c r="A1" s="55" t="s">
        <v>289</v>
      </c>
    </row>
    <row r="2" spans="1:18" ht="18">
      <c r="A2" s="424" t="s">
        <v>294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</row>
    <row r="3" spans="1:18" ht="6" customHeight="1">
      <c r="A3" s="234"/>
      <c r="B3" s="234"/>
      <c r="C3" s="235"/>
      <c r="D3" s="425"/>
      <c r="E3" s="426"/>
      <c r="F3" s="426"/>
      <c r="G3" s="426"/>
      <c r="H3" s="426"/>
      <c r="I3" s="426"/>
      <c r="J3" s="426"/>
      <c r="K3" s="426"/>
    </row>
    <row r="4" spans="1:18" s="40" customFormat="1" ht="20.100000000000001" customHeight="1">
      <c r="A4" s="382">
        <v>2022</v>
      </c>
      <c r="B4" s="151"/>
      <c r="C4" s="199"/>
      <c r="D4" s="427" t="s">
        <v>263</v>
      </c>
      <c r="E4" s="428"/>
      <c r="F4" s="428"/>
      <c r="G4" s="429"/>
      <c r="H4" s="427" t="s">
        <v>264</v>
      </c>
      <c r="I4" s="428"/>
      <c r="J4" s="428"/>
      <c r="K4" s="428"/>
    </row>
    <row r="5" spans="1:18" ht="20.100000000000001" customHeight="1">
      <c r="A5" s="154"/>
      <c r="B5" s="154"/>
      <c r="C5" s="200"/>
      <c r="D5" s="201" t="s">
        <v>170</v>
      </c>
      <c r="E5" s="202" t="s">
        <v>171</v>
      </c>
      <c r="F5" s="202" t="s">
        <v>172</v>
      </c>
      <c r="G5" s="203" t="s">
        <v>57</v>
      </c>
      <c r="H5" s="201" t="str">
        <f>D5</f>
        <v>Říjen</v>
      </c>
      <c r="I5" s="202" t="str">
        <f>E5</f>
        <v>Listopad</v>
      </c>
      <c r="J5" s="202" t="str">
        <f>F5</f>
        <v>Prosinec</v>
      </c>
      <c r="K5" s="204" t="str">
        <f>G5</f>
        <v>IV. čtvrtletí</v>
      </c>
    </row>
    <row r="6" spans="1:18" ht="15" customHeight="1">
      <c r="A6" s="417" t="s">
        <v>49</v>
      </c>
      <c r="B6" s="430" t="s">
        <v>21</v>
      </c>
      <c r="C6" s="155" t="s">
        <v>23</v>
      </c>
      <c r="D6" s="156">
        <v>1243224.361</v>
      </c>
      <c r="E6" s="157">
        <v>1046388.916</v>
      </c>
      <c r="F6" s="157">
        <v>615016.94999999995</v>
      </c>
      <c r="G6" s="158">
        <f>SUM(D6:F6)</f>
        <v>2904630.227</v>
      </c>
      <c r="H6" s="156">
        <v>13612716.175000001</v>
      </c>
      <c r="I6" s="157">
        <v>11447168.937112</v>
      </c>
      <c r="J6" s="157">
        <v>6731455.2493549995</v>
      </c>
      <c r="K6" s="159">
        <f>SUM(H6:J6)</f>
        <v>31791340.361467</v>
      </c>
      <c r="L6" s="42"/>
      <c r="M6" s="42"/>
      <c r="N6" s="42"/>
      <c r="O6" s="42"/>
      <c r="P6" s="42"/>
      <c r="Q6" s="42"/>
      <c r="R6" s="42"/>
    </row>
    <row r="7" spans="1:18" ht="15" customHeight="1">
      <c r="A7" s="417"/>
      <c r="B7" s="430"/>
      <c r="C7" s="155" t="s">
        <v>24</v>
      </c>
      <c r="D7" s="156">
        <v>97.462270193749958</v>
      </c>
      <c r="E7" s="157">
        <v>141.76165773183905</v>
      </c>
      <c r="F7" s="157">
        <v>187.63505997805419</v>
      </c>
      <c r="G7" s="158">
        <f>SUM(D7:F7)</f>
        <v>426.8589879036432</v>
      </c>
      <c r="H7" s="156">
        <v>1123.3185799999999</v>
      </c>
      <c r="I7" s="157">
        <v>1639.5548600000002</v>
      </c>
      <c r="J7" s="157">
        <v>2163.8860239999999</v>
      </c>
      <c r="K7" s="159">
        <f t="shared" ref="K7:K47" si="0">SUM(H7:J7)</f>
        <v>4926.7594640000007</v>
      </c>
      <c r="L7" s="42"/>
      <c r="M7" s="42"/>
      <c r="N7" s="42"/>
      <c r="O7" s="42"/>
      <c r="P7" s="42"/>
      <c r="Q7" s="42"/>
    </row>
    <row r="8" spans="1:18" ht="15" customHeight="1">
      <c r="A8" s="417"/>
      <c r="B8" s="431"/>
      <c r="C8" s="160" t="s">
        <v>25</v>
      </c>
      <c r="D8" s="161">
        <v>1243321.8232701938</v>
      </c>
      <c r="E8" s="162">
        <v>1046530.6776577318</v>
      </c>
      <c r="F8" s="162">
        <v>615204.58505997795</v>
      </c>
      <c r="G8" s="163">
        <f t="shared" ref="G8" si="1">SUM(D8:F8)</f>
        <v>2905057.0859879036</v>
      </c>
      <c r="H8" s="161">
        <v>13613839.49358</v>
      </c>
      <c r="I8" s="162">
        <v>11448808.491971999</v>
      </c>
      <c r="J8" s="162">
        <v>6733619.1353789996</v>
      </c>
      <c r="K8" s="164">
        <f t="shared" si="0"/>
        <v>31796267.120931</v>
      </c>
      <c r="L8" s="42"/>
      <c r="M8" s="42"/>
      <c r="N8" s="42"/>
      <c r="O8" s="42"/>
      <c r="P8" s="42"/>
      <c r="Q8" s="42"/>
    </row>
    <row r="9" spans="1:18" ht="15" customHeight="1">
      <c r="A9" s="417"/>
      <c r="B9" s="432" t="s">
        <v>22</v>
      </c>
      <c r="C9" s="165" t="s">
        <v>23</v>
      </c>
      <c r="D9" s="166">
        <v>436374.12700000004</v>
      </c>
      <c r="E9" s="167">
        <v>298451.37599999999</v>
      </c>
      <c r="F9" s="167">
        <v>55525.896999999997</v>
      </c>
      <c r="G9" s="168">
        <f>SUM(D9:F9)</f>
        <v>790351.4</v>
      </c>
      <c r="H9" s="166">
        <v>4777692.6370000001</v>
      </c>
      <c r="I9" s="167">
        <v>3269260.4216440003</v>
      </c>
      <c r="J9" s="167">
        <v>603547.69499999995</v>
      </c>
      <c r="K9" s="169">
        <f t="shared" si="0"/>
        <v>8650500.7536440007</v>
      </c>
      <c r="L9" s="42"/>
      <c r="M9" s="42"/>
      <c r="N9" s="42"/>
      <c r="O9" s="42"/>
      <c r="P9" s="42"/>
      <c r="Q9" s="42"/>
    </row>
    <row r="10" spans="1:18" ht="15" customHeight="1">
      <c r="A10" s="417"/>
      <c r="B10" s="430"/>
      <c r="C10" s="155" t="s">
        <v>24</v>
      </c>
      <c r="D10" s="156">
        <v>23.65517979754026</v>
      </c>
      <c r="E10" s="157">
        <v>36.109536229804526</v>
      </c>
      <c r="F10" s="157">
        <v>50.682048827144321</v>
      </c>
      <c r="G10" s="158">
        <f>SUM(D10:F10)</f>
        <v>110.44676485448912</v>
      </c>
      <c r="H10" s="156">
        <v>259.25388470000001</v>
      </c>
      <c r="I10" s="157">
        <v>394.6112455</v>
      </c>
      <c r="J10" s="157">
        <v>551.76970940000001</v>
      </c>
      <c r="K10" s="159">
        <f t="shared" si="0"/>
        <v>1205.6348396000001</v>
      </c>
      <c r="L10" s="42"/>
      <c r="M10" s="42"/>
      <c r="N10" s="42"/>
      <c r="O10" s="42"/>
      <c r="P10" s="42"/>
      <c r="Q10" s="42"/>
    </row>
    <row r="11" spans="1:18" ht="15" customHeight="1">
      <c r="A11" s="417"/>
      <c r="B11" s="431"/>
      <c r="C11" s="160" t="s">
        <v>25</v>
      </c>
      <c r="D11" s="161">
        <v>436397.78217979759</v>
      </c>
      <c r="E11" s="162">
        <v>298487.4855362298</v>
      </c>
      <c r="F11" s="162">
        <v>55576.579048827145</v>
      </c>
      <c r="G11" s="163">
        <f t="shared" ref="G11" si="2">SUM(D11:F11)</f>
        <v>790461.8467648545</v>
      </c>
      <c r="H11" s="161">
        <v>4777951.8908847002</v>
      </c>
      <c r="I11" s="162">
        <v>3269655.0328895003</v>
      </c>
      <c r="J11" s="162">
        <v>604099.46470939997</v>
      </c>
      <c r="K11" s="164">
        <f t="shared" si="0"/>
        <v>8651706.3884836007</v>
      </c>
      <c r="L11" s="42"/>
      <c r="M11" s="42"/>
      <c r="N11" s="42"/>
      <c r="O11" s="42"/>
      <c r="P11" s="42"/>
      <c r="Q11" s="42"/>
    </row>
    <row r="12" spans="1:18" ht="15" customHeight="1">
      <c r="A12" s="417"/>
      <c r="B12" s="420" t="s">
        <v>51</v>
      </c>
      <c r="C12" s="155" t="s">
        <v>23</v>
      </c>
      <c r="D12" s="156">
        <v>806850.23399999994</v>
      </c>
      <c r="E12" s="157">
        <v>747937.54</v>
      </c>
      <c r="F12" s="157">
        <v>559491.05299999996</v>
      </c>
      <c r="G12" s="158">
        <f>SUM(D12:F12)</f>
        <v>2114278.827</v>
      </c>
      <c r="H12" s="156">
        <v>8835023.5380000006</v>
      </c>
      <c r="I12" s="157">
        <v>8177908.5154679995</v>
      </c>
      <c r="J12" s="157">
        <v>6127907.5543549992</v>
      </c>
      <c r="K12" s="159">
        <f t="shared" si="0"/>
        <v>23140839.607822999</v>
      </c>
      <c r="L12" s="42"/>
      <c r="M12" s="42"/>
      <c r="N12" s="42"/>
      <c r="O12" s="42"/>
      <c r="P12" s="42"/>
      <c r="Q12" s="42"/>
    </row>
    <row r="13" spans="1:18" ht="15" customHeight="1">
      <c r="A13" s="417"/>
      <c r="B13" s="430"/>
      <c r="C13" s="155" t="s">
        <v>24</v>
      </c>
      <c r="D13" s="156">
        <v>73.807090396209702</v>
      </c>
      <c r="E13" s="157">
        <v>105.65212150203453</v>
      </c>
      <c r="F13" s="157">
        <v>136.95301115090987</v>
      </c>
      <c r="G13" s="158">
        <f>SUM(D13:F13)</f>
        <v>316.41222304915414</v>
      </c>
      <c r="H13" s="156">
        <v>864.06469529999981</v>
      </c>
      <c r="I13" s="157">
        <v>1244.9436145000002</v>
      </c>
      <c r="J13" s="157">
        <v>1612.1163145999999</v>
      </c>
      <c r="K13" s="159">
        <f t="shared" si="0"/>
        <v>3721.1246243999999</v>
      </c>
      <c r="L13" s="42"/>
      <c r="M13" s="42"/>
      <c r="N13" s="42"/>
      <c r="O13" s="42"/>
      <c r="P13" s="42"/>
      <c r="Q13" s="42"/>
    </row>
    <row r="14" spans="1:18" ht="15" customHeight="1">
      <c r="A14" s="418"/>
      <c r="B14" s="431"/>
      <c r="C14" s="160" t="s">
        <v>25</v>
      </c>
      <c r="D14" s="161">
        <v>806924.04109039612</v>
      </c>
      <c r="E14" s="162">
        <v>748043.19212150213</v>
      </c>
      <c r="F14" s="162">
        <v>559628.00601115089</v>
      </c>
      <c r="G14" s="163">
        <f t="shared" ref="G14:G51" si="3">SUM(D14:F14)</f>
        <v>2114595.239223049</v>
      </c>
      <c r="H14" s="161">
        <v>8835887.6026953012</v>
      </c>
      <c r="I14" s="162">
        <v>8179153.4590824991</v>
      </c>
      <c r="J14" s="162">
        <v>6129519.6706695994</v>
      </c>
      <c r="K14" s="164">
        <f t="shared" si="0"/>
        <v>23144560.732447401</v>
      </c>
      <c r="L14" s="42"/>
      <c r="M14" s="42"/>
      <c r="N14" s="42"/>
      <c r="O14" s="42"/>
      <c r="P14" s="42"/>
      <c r="Q14" s="42"/>
    </row>
    <row r="15" spans="1:18" ht="15" customHeight="1">
      <c r="A15" s="416" t="s">
        <v>150</v>
      </c>
      <c r="B15" s="432" t="s">
        <v>26</v>
      </c>
      <c r="C15" s="165" t="s">
        <v>203</v>
      </c>
      <c r="D15" s="166">
        <v>43.354999999999997</v>
      </c>
      <c r="E15" s="167">
        <v>45506.773999999998</v>
      </c>
      <c r="F15" s="167">
        <v>319288.87199999997</v>
      </c>
      <c r="G15" s="168">
        <f t="shared" si="3"/>
        <v>364839.00099999999</v>
      </c>
      <c r="H15" s="166">
        <v>463.33199999999999</v>
      </c>
      <c r="I15" s="167">
        <v>491119.00699999998</v>
      </c>
      <c r="J15" s="167">
        <v>3449467.71</v>
      </c>
      <c r="K15" s="169">
        <f t="shared" si="0"/>
        <v>3941050.0490000001</v>
      </c>
      <c r="L15" s="42"/>
      <c r="M15" s="42"/>
      <c r="N15" s="42"/>
      <c r="O15" s="42"/>
      <c r="P15" s="42"/>
      <c r="Q15" s="42"/>
    </row>
    <row r="16" spans="1:18" ht="15" customHeight="1">
      <c r="A16" s="417"/>
      <c r="B16" s="430"/>
      <c r="C16" s="155" t="s">
        <v>215</v>
      </c>
      <c r="D16" s="156">
        <v>0</v>
      </c>
      <c r="E16" s="157">
        <v>13882.103999999998</v>
      </c>
      <c r="F16" s="157">
        <v>61466.213000000011</v>
      </c>
      <c r="G16" s="158">
        <f>SUM(D16:F16)</f>
        <v>75348.31700000001</v>
      </c>
      <c r="H16" s="156">
        <v>0</v>
      </c>
      <c r="I16" s="157">
        <v>150956.07282629999</v>
      </c>
      <c r="J16" s="157">
        <v>667734.57537749992</v>
      </c>
      <c r="K16" s="159">
        <f t="shared" si="0"/>
        <v>818690.64820379997</v>
      </c>
      <c r="L16" s="42"/>
      <c r="M16" s="42"/>
      <c r="N16" s="42"/>
      <c r="O16" s="42"/>
      <c r="P16" s="42"/>
      <c r="Q16" s="42"/>
    </row>
    <row r="17" spans="1:17" ht="15" customHeight="1">
      <c r="A17" s="417"/>
      <c r="B17" s="430"/>
      <c r="C17" s="155" t="s">
        <v>65</v>
      </c>
      <c r="D17" s="156">
        <v>0</v>
      </c>
      <c r="E17" s="157">
        <v>30968.027999999998</v>
      </c>
      <c r="F17" s="157">
        <v>95658.15399999998</v>
      </c>
      <c r="G17" s="158">
        <f>SUM(D17:F17)</f>
        <v>126626.18199999997</v>
      </c>
      <c r="H17" s="156">
        <v>0</v>
      </c>
      <c r="I17" s="157">
        <v>337734.00217370002</v>
      </c>
      <c r="J17" s="157">
        <v>1039811.0906225001</v>
      </c>
      <c r="K17" s="159">
        <f t="shared" si="0"/>
        <v>1377545.0927962</v>
      </c>
      <c r="L17" s="42"/>
      <c r="M17" s="42"/>
      <c r="N17" s="42"/>
      <c r="O17" s="42"/>
      <c r="P17" s="42"/>
      <c r="Q17" s="42"/>
    </row>
    <row r="18" spans="1:17" ht="15" customHeight="1">
      <c r="A18" s="417"/>
      <c r="B18" s="431"/>
      <c r="C18" s="160" t="s">
        <v>25</v>
      </c>
      <c r="D18" s="161">
        <v>43.354999999999997</v>
      </c>
      <c r="E18" s="162">
        <v>90356.905999999988</v>
      </c>
      <c r="F18" s="162">
        <v>476413.23899999994</v>
      </c>
      <c r="G18" s="163">
        <f>SUM(D18:F18)</f>
        <v>566813.49999999988</v>
      </c>
      <c r="H18" s="161">
        <v>463.33199999999999</v>
      </c>
      <c r="I18" s="162">
        <v>979809.08200000005</v>
      </c>
      <c r="J18" s="162">
        <v>5157013.3760000002</v>
      </c>
      <c r="K18" s="164">
        <f>SUM(H18:J18)</f>
        <v>6137285.79</v>
      </c>
      <c r="L18" s="42"/>
      <c r="M18" s="42"/>
      <c r="N18" s="42"/>
      <c r="O18" s="42"/>
      <c r="P18" s="42"/>
      <c r="Q18" s="42"/>
    </row>
    <row r="19" spans="1:17" ht="15" customHeight="1">
      <c r="A19" s="417"/>
      <c r="B19" s="432" t="s">
        <v>27</v>
      </c>
      <c r="C19" s="165" t="s">
        <v>203</v>
      </c>
      <c r="D19" s="166">
        <v>140814.44900000002</v>
      </c>
      <c r="E19" s="167">
        <v>26640.554</v>
      </c>
      <c r="F19" s="167">
        <v>32327.777999999998</v>
      </c>
      <c r="G19" s="168">
        <f t="shared" si="3"/>
        <v>199782.78100000002</v>
      </c>
      <c r="H19" s="166">
        <v>1544940.0642210001</v>
      </c>
      <c r="I19" s="167">
        <v>291213.01063400001</v>
      </c>
      <c r="J19" s="167">
        <v>353999.35993500001</v>
      </c>
      <c r="K19" s="169">
        <f t="shared" si="0"/>
        <v>2190152.4347899999</v>
      </c>
      <c r="L19" s="42"/>
      <c r="M19" s="42"/>
      <c r="N19" s="42"/>
      <c r="O19" s="42"/>
      <c r="P19" s="42"/>
      <c r="Q19" s="42"/>
    </row>
    <row r="20" spans="1:17" ht="15" customHeight="1">
      <c r="A20" s="417"/>
      <c r="B20" s="430"/>
      <c r="C20" s="155" t="s">
        <v>215</v>
      </c>
      <c r="D20" s="156">
        <v>22946.114000000001</v>
      </c>
      <c r="E20" s="157">
        <v>9183.8579999999965</v>
      </c>
      <c r="F20" s="157">
        <v>20957.726999999999</v>
      </c>
      <c r="G20" s="158">
        <f t="shared" si="3"/>
        <v>53087.698999999993</v>
      </c>
      <c r="H20" s="156">
        <v>251624.65301200002</v>
      </c>
      <c r="I20" s="157">
        <v>100483.90639379997</v>
      </c>
      <c r="J20" s="157">
        <v>228976.99042829999</v>
      </c>
      <c r="K20" s="159">
        <f t="shared" si="0"/>
        <v>581085.54983410006</v>
      </c>
      <c r="L20" s="42"/>
      <c r="M20" s="42"/>
      <c r="N20" s="42"/>
      <c r="O20" s="42"/>
      <c r="P20" s="42"/>
      <c r="Q20" s="42"/>
    </row>
    <row r="21" spans="1:17" ht="15" customHeight="1">
      <c r="A21" s="417"/>
      <c r="B21" s="430"/>
      <c r="C21" s="155" t="s">
        <v>65</v>
      </c>
      <c r="D21" s="156">
        <v>148293.83100000001</v>
      </c>
      <c r="E21" s="157">
        <v>62777.993000000002</v>
      </c>
      <c r="F21" s="157">
        <v>31201.258999999998</v>
      </c>
      <c r="G21" s="158">
        <f t="shared" si="3"/>
        <v>242273.08300000001</v>
      </c>
      <c r="H21" s="156">
        <v>1625915.8049880001</v>
      </c>
      <c r="I21" s="157">
        <v>686717.28460620006</v>
      </c>
      <c r="J21" s="157">
        <v>341503.13157169998</v>
      </c>
      <c r="K21" s="159">
        <f t="shared" si="0"/>
        <v>2654136.2211659001</v>
      </c>
      <c r="L21" s="42"/>
      <c r="M21" s="42"/>
      <c r="N21" s="42"/>
      <c r="O21" s="42"/>
      <c r="P21" s="42"/>
      <c r="Q21" s="42"/>
    </row>
    <row r="22" spans="1:17" ht="15" customHeight="1">
      <c r="A22" s="417"/>
      <c r="B22" s="431"/>
      <c r="C22" s="160" t="s">
        <v>25</v>
      </c>
      <c r="D22" s="161">
        <v>312054.39400000003</v>
      </c>
      <c r="E22" s="162">
        <v>98602.404999999999</v>
      </c>
      <c r="F22" s="162">
        <v>84486.763999999996</v>
      </c>
      <c r="G22" s="163">
        <f t="shared" si="3"/>
        <v>495143.56299999997</v>
      </c>
      <c r="H22" s="161">
        <v>3422480.5222209999</v>
      </c>
      <c r="I22" s="162">
        <v>1078414.2016340001</v>
      </c>
      <c r="J22" s="162">
        <v>924479.48193499993</v>
      </c>
      <c r="K22" s="164">
        <f t="shared" si="0"/>
        <v>5425374.20579</v>
      </c>
      <c r="L22" s="42"/>
      <c r="M22" s="42"/>
      <c r="N22" s="42"/>
      <c r="O22" s="42"/>
      <c r="P22" s="42"/>
      <c r="Q22" s="42"/>
    </row>
    <row r="23" spans="1:17" ht="15" customHeight="1">
      <c r="A23" s="417"/>
      <c r="B23" s="420" t="s">
        <v>52</v>
      </c>
      <c r="C23" s="155" t="s">
        <v>203</v>
      </c>
      <c r="D23" s="156">
        <v>-140771.09400000001</v>
      </c>
      <c r="E23" s="157">
        <v>18866.219999999998</v>
      </c>
      <c r="F23" s="157">
        <v>286961.09399999998</v>
      </c>
      <c r="G23" s="158">
        <f t="shared" si="3"/>
        <v>165056.21999999997</v>
      </c>
      <c r="H23" s="156">
        <v>-1544476.7322210001</v>
      </c>
      <c r="I23" s="157">
        <v>199905.99636599998</v>
      </c>
      <c r="J23" s="157">
        <v>3095468.3500649999</v>
      </c>
      <c r="K23" s="159">
        <f t="shared" si="0"/>
        <v>1750897.6142099998</v>
      </c>
      <c r="L23" s="42"/>
      <c r="M23" s="42"/>
      <c r="N23" s="42"/>
      <c r="O23" s="42"/>
      <c r="P23" s="42"/>
      <c r="Q23" s="42"/>
    </row>
    <row r="24" spans="1:17" ht="15" customHeight="1">
      <c r="A24" s="417"/>
      <c r="B24" s="430"/>
      <c r="C24" s="155" t="s">
        <v>215</v>
      </c>
      <c r="D24" s="156">
        <v>-22946.114000000001</v>
      </c>
      <c r="E24" s="157">
        <v>4698.246000000001</v>
      </c>
      <c r="F24" s="157">
        <v>40508.486000000012</v>
      </c>
      <c r="G24" s="158">
        <f t="shared" si="3"/>
        <v>22260.618000000009</v>
      </c>
      <c r="H24" s="156">
        <v>-251624.65301200002</v>
      </c>
      <c r="I24" s="157">
        <v>50472.166432500017</v>
      </c>
      <c r="J24" s="157">
        <v>438757.58494919993</v>
      </c>
      <c r="K24" s="159">
        <f t="shared" si="0"/>
        <v>237605.0983696999</v>
      </c>
      <c r="L24" s="42"/>
      <c r="M24" s="42"/>
      <c r="N24" s="42"/>
      <c r="O24" s="42"/>
      <c r="P24" s="42"/>
      <c r="Q24" s="42"/>
    </row>
    <row r="25" spans="1:17" ht="15" customHeight="1">
      <c r="A25" s="417"/>
      <c r="B25" s="430"/>
      <c r="C25" s="155" t="s">
        <v>65</v>
      </c>
      <c r="D25" s="156">
        <v>-148293.83100000001</v>
      </c>
      <c r="E25" s="157">
        <v>-31809.965000000004</v>
      </c>
      <c r="F25" s="157">
        <v>64456.894999999982</v>
      </c>
      <c r="G25" s="158">
        <f t="shared" si="3"/>
        <v>-115646.90100000001</v>
      </c>
      <c r="H25" s="156">
        <v>-1625915.8049880001</v>
      </c>
      <c r="I25" s="157">
        <v>-348983.28243250004</v>
      </c>
      <c r="J25" s="157">
        <v>698307.95905080007</v>
      </c>
      <c r="K25" s="159">
        <f t="shared" si="0"/>
        <v>-1276591.1283697002</v>
      </c>
      <c r="L25" s="42"/>
      <c r="M25" s="42"/>
      <c r="N25" s="42"/>
      <c r="O25" s="42"/>
      <c r="P25" s="42"/>
      <c r="Q25" s="42"/>
    </row>
    <row r="26" spans="1:17" ht="15" customHeight="1">
      <c r="A26" s="417"/>
      <c r="B26" s="431"/>
      <c r="C26" s="160" t="s">
        <v>25</v>
      </c>
      <c r="D26" s="161">
        <v>-312011.03899999999</v>
      </c>
      <c r="E26" s="162">
        <v>-8245.4990000000034</v>
      </c>
      <c r="F26" s="162">
        <v>391926.47499999998</v>
      </c>
      <c r="G26" s="163">
        <f t="shared" si="3"/>
        <v>71669.936999999976</v>
      </c>
      <c r="H26" s="161">
        <v>-3422017.1902210005</v>
      </c>
      <c r="I26" s="162">
        <v>-98605.119634000061</v>
      </c>
      <c r="J26" s="162">
        <v>4232533.8940650001</v>
      </c>
      <c r="K26" s="164">
        <f t="shared" si="0"/>
        <v>711911.58420999954</v>
      </c>
      <c r="L26" s="42"/>
      <c r="M26" s="42"/>
      <c r="N26" s="42"/>
      <c r="O26" s="42"/>
      <c r="P26" s="42"/>
      <c r="Q26" s="42"/>
    </row>
    <row r="27" spans="1:17" ht="15" customHeight="1">
      <c r="A27" s="418"/>
      <c r="B27" s="415" t="s">
        <v>54</v>
      </c>
      <c r="C27" s="415"/>
      <c r="D27" s="161">
        <v>3310084.1067324905</v>
      </c>
      <c r="E27" s="162">
        <v>3315861.2157324906</v>
      </c>
      <c r="F27" s="162">
        <v>2922196.3637324902</v>
      </c>
      <c r="G27" s="163">
        <f>F27</f>
        <v>2922196.3637324902</v>
      </c>
      <c r="H27" s="161">
        <v>35683468.183496907</v>
      </c>
      <c r="I27" s="162">
        <v>35754915.629320107</v>
      </c>
      <c r="J27" s="162">
        <v>31503431.705221906</v>
      </c>
      <c r="K27" s="164">
        <f>J27</f>
        <v>31503431.705221906</v>
      </c>
      <c r="L27" s="42"/>
      <c r="M27" s="42"/>
      <c r="N27" s="42"/>
      <c r="O27" s="42"/>
      <c r="P27" s="42"/>
      <c r="Q27" s="42"/>
    </row>
    <row r="28" spans="1:17" ht="15" customHeight="1">
      <c r="A28" s="416" t="s">
        <v>50</v>
      </c>
      <c r="B28" s="419" t="s">
        <v>196</v>
      </c>
      <c r="C28" s="165" t="s">
        <v>28</v>
      </c>
      <c r="D28" s="166">
        <v>12404.044</v>
      </c>
      <c r="E28" s="167">
        <v>11883.048000000001</v>
      </c>
      <c r="F28" s="167">
        <v>11968.001999999999</v>
      </c>
      <c r="G28" s="168">
        <f t="shared" si="3"/>
        <v>36255.093999999997</v>
      </c>
      <c r="H28" s="166">
        <v>135111.56541400001</v>
      </c>
      <c r="I28" s="167">
        <v>129030.50650969999</v>
      </c>
      <c r="J28" s="167">
        <v>130978.82443536002</v>
      </c>
      <c r="K28" s="169">
        <f t="shared" si="0"/>
        <v>395120.89635906002</v>
      </c>
      <c r="L28" s="42"/>
      <c r="M28" s="42"/>
      <c r="N28" s="42"/>
      <c r="O28" s="42"/>
      <c r="P28" s="42"/>
      <c r="Q28" s="42"/>
    </row>
    <row r="29" spans="1:17" ht="15" customHeight="1">
      <c r="A29" s="417"/>
      <c r="B29" s="420"/>
      <c r="C29" s="155" t="s">
        <v>31</v>
      </c>
      <c r="D29" s="156">
        <v>136.98000000000138</v>
      </c>
      <c r="E29" s="157">
        <v>162.48399999999859</v>
      </c>
      <c r="F29" s="157">
        <v>202.40499999999884</v>
      </c>
      <c r="G29" s="158">
        <f t="shared" si="3"/>
        <v>501.86899999999878</v>
      </c>
      <c r="H29" s="156">
        <v>1690.9795000000158</v>
      </c>
      <c r="I29" s="157">
        <v>2228.2820000000065</v>
      </c>
      <c r="J29" s="157">
        <v>2138.8974000000162</v>
      </c>
      <c r="K29" s="159">
        <f t="shared" si="0"/>
        <v>6058.1589000000386</v>
      </c>
      <c r="L29" s="42"/>
      <c r="M29" s="42"/>
      <c r="N29" s="42"/>
      <c r="O29" s="42"/>
      <c r="P29" s="42"/>
      <c r="Q29" s="42"/>
    </row>
    <row r="30" spans="1:17" ht="15" customHeight="1">
      <c r="A30" s="417"/>
      <c r="B30" s="421"/>
      <c r="C30" s="160" t="s">
        <v>25</v>
      </c>
      <c r="D30" s="161">
        <v>12541.024000000001</v>
      </c>
      <c r="E30" s="162">
        <v>12045.531999999999</v>
      </c>
      <c r="F30" s="162">
        <v>12170.406999999997</v>
      </c>
      <c r="G30" s="163">
        <f t="shared" si="3"/>
        <v>36756.962999999996</v>
      </c>
      <c r="H30" s="161">
        <v>136802.54491400003</v>
      </c>
      <c r="I30" s="162">
        <v>131258.78850969998</v>
      </c>
      <c r="J30" s="162">
        <v>133117.72183536005</v>
      </c>
      <c r="K30" s="164">
        <f t="shared" si="0"/>
        <v>401179.05525906006</v>
      </c>
      <c r="L30" s="42"/>
      <c r="M30" s="42"/>
      <c r="N30" s="42"/>
      <c r="O30" s="42"/>
      <c r="P30" s="42"/>
      <c r="Q30" s="42"/>
    </row>
    <row r="31" spans="1:17" ht="15" customHeight="1">
      <c r="A31" s="417"/>
      <c r="B31" s="420" t="s">
        <v>197</v>
      </c>
      <c r="C31" s="155" t="s">
        <v>28</v>
      </c>
      <c r="D31" s="156">
        <v>817.07900000000006</v>
      </c>
      <c r="E31" s="157">
        <v>910.89800000000002</v>
      </c>
      <c r="F31" s="157">
        <v>1113.3149999999998</v>
      </c>
      <c r="G31" s="158">
        <f t="shared" si="3"/>
        <v>2841.2919999999999</v>
      </c>
      <c r="H31" s="156">
        <v>8544.4953999999998</v>
      </c>
      <c r="I31" s="157">
        <v>9548.4715999999989</v>
      </c>
      <c r="J31" s="157">
        <v>11711.83015</v>
      </c>
      <c r="K31" s="159">
        <f t="shared" si="0"/>
        <v>29804.797149999999</v>
      </c>
      <c r="L31" s="42"/>
      <c r="M31" s="42"/>
      <c r="N31" s="42"/>
      <c r="O31" s="42"/>
      <c r="P31" s="42"/>
      <c r="Q31" s="42"/>
    </row>
    <row r="32" spans="1:17" ht="15" customHeight="1">
      <c r="A32" s="417"/>
      <c r="B32" s="420"/>
      <c r="C32" s="155" t="s">
        <v>31</v>
      </c>
      <c r="D32" s="156">
        <v>0</v>
      </c>
      <c r="E32" s="157">
        <v>0</v>
      </c>
      <c r="F32" s="157">
        <v>15.342000000000001</v>
      </c>
      <c r="G32" s="158">
        <f t="shared" si="3"/>
        <v>15.342000000000001</v>
      </c>
      <c r="H32" s="156">
        <v>0</v>
      </c>
      <c r="I32" s="157">
        <v>0</v>
      </c>
      <c r="J32" s="157">
        <v>162.08000000000001</v>
      </c>
      <c r="K32" s="159">
        <f t="shared" si="0"/>
        <v>162.08000000000001</v>
      </c>
      <c r="L32" s="42"/>
      <c r="M32" s="42"/>
      <c r="N32" s="42"/>
      <c r="O32" s="42"/>
      <c r="P32" s="42"/>
      <c r="Q32" s="42"/>
    </row>
    <row r="33" spans="1:17" ht="15" customHeight="1">
      <c r="A33" s="417"/>
      <c r="B33" s="421"/>
      <c r="C33" s="160" t="s">
        <v>25</v>
      </c>
      <c r="D33" s="161">
        <v>817.07900000000006</v>
      </c>
      <c r="E33" s="162">
        <v>910.89800000000002</v>
      </c>
      <c r="F33" s="162">
        <v>1128.6569999999999</v>
      </c>
      <c r="G33" s="163">
        <f t="shared" si="3"/>
        <v>2856.634</v>
      </c>
      <c r="H33" s="161">
        <v>8544.4953999999998</v>
      </c>
      <c r="I33" s="162">
        <v>9548.4715999999989</v>
      </c>
      <c r="J33" s="162">
        <v>11873.91015</v>
      </c>
      <c r="K33" s="164">
        <f t="shared" si="0"/>
        <v>29966.877149999997</v>
      </c>
      <c r="L33" s="42"/>
      <c r="M33" s="42"/>
      <c r="N33" s="42"/>
      <c r="O33" s="42"/>
      <c r="P33" s="42"/>
      <c r="Q33" s="42"/>
    </row>
    <row r="34" spans="1:17" ht="15" customHeight="1">
      <c r="A34" s="417"/>
      <c r="B34" s="420" t="s">
        <v>25</v>
      </c>
      <c r="C34" s="155" t="s">
        <v>28</v>
      </c>
      <c r="D34" s="156">
        <v>13221.123</v>
      </c>
      <c r="E34" s="157">
        <v>12793.946</v>
      </c>
      <c r="F34" s="157">
        <v>13081.316999999999</v>
      </c>
      <c r="G34" s="158">
        <f t="shared" si="3"/>
        <v>39096.385999999999</v>
      </c>
      <c r="H34" s="156">
        <v>143656.06081400003</v>
      </c>
      <c r="I34" s="157">
        <v>138578.97810969999</v>
      </c>
      <c r="J34" s="157">
        <v>142690.65458536003</v>
      </c>
      <c r="K34" s="159">
        <f t="shared" si="0"/>
        <v>424925.69350906002</v>
      </c>
      <c r="L34" s="42"/>
      <c r="M34" s="42"/>
      <c r="N34" s="42"/>
      <c r="O34" s="42"/>
      <c r="P34" s="42"/>
      <c r="Q34" s="42"/>
    </row>
    <row r="35" spans="1:17" ht="15" customHeight="1">
      <c r="A35" s="417"/>
      <c r="B35" s="420"/>
      <c r="C35" s="155" t="s">
        <v>31</v>
      </c>
      <c r="D35" s="156">
        <v>136.98000000000138</v>
      </c>
      <c r="E35" s="157">
        <v>162.48399999999859</v>
      </c>
      <c r="F35" s="157">
        <v>217.74699999999885</v>
      </c>
      <c r="G35" s="158">
        <f t="shared" si="3"/>
        <v>517.21099999999876</v>
      </c>
      <c r="H35" s="156">
        <v>1690.9795000000158</v>
      </c>
      <c r="I35" s="157">
        <v>2228.2820000000065</v>
      </c>
      <c r="J35" s="157">
        <v>2300.9774000000161</v>
      </c>
      <c r="K35" s="159">
        <f t="shared" si="0"/>
        <v>6220.2389000000385</v>
      </c>
      <c r="L35" s="42"/>
      <c r="M35" s="42"/>
      <c r="N35" s="42"/>
      <c r="O35" s="42"/>
      <c r="P35" s="42"/>
      <c r="Q35" s="42"/>
    </row>
    <row r="36" spans="1:17" ht="15" customHeight="1">
      <c r="A36" s="418"/>
      <c r="B36" s="421"/>
      <c r="C36" s="160" t="s">
        <v>25</v>
      </c>
      <c r="D36" s="161">
        <v>13358.103000000001</v>
      </c>
      <c r="E36" s="162">
        <v>12956.429999999998</v>
      </c>
      <c r="F36" s="162">
        <v>13299.063999999998</v>
      </c>
      <c r="G36" s="163">
        <f t="shared" si="3"/>
        <v>39613.596999999994</v>
      </c>
      <c r="H36" s="161">
        <v>145347.04031400004</v>
      </c>
      <c r="I36" s="162">
        <v>140807.2601097</v>
      </c>
      <c r="J36" s="162">
        <v>144991.63198536003</v>
      </c>
      <c r="K36" s="164">
        <f t="shared" si="0"/>
        <v>431145.93240906007</v>
      </c>
      <c r="L36" s="42"/>
      <c r="M36" s="42"/>
      <c r="N36" s="42"/>
      <c r="O36" s="42"/>
      <c r="P36" s="42"/>
      <c r="Q36" s="42"/>
    </row>
    <row r="37" spans="1:17" ht="15" customHeight="1">
      <c r="A37" s="416" t="s">
        <v>64</v>
      </c>
      <c r="B37" s="419" t="s">
        <v>53</v>
      </c>
      <c r="C37" s="165" t="s">
        <v>67</v>
      </c>
      <c r="D37" s="166">
        <v>463533.60338020598</v>
      </c>
      <c r="E37" s="167">
        <v>698842.42035234417</v>
      </c>
      <c r="F37" s="167">
        <v>903482.01156990568</v>
      </c>
      <c r="G37" s="168">
        <f t="shared" si="3"/>
        <v>2065858.035302456</v>
      </c>
      <c r="H37" s="166">
        <v>5080331.5897729918</v>
      </c>
      <c r="I37" s="167">
        <v>7638044.8395059118</v>
      </c>
      <c r="J37" s="167">
        <v>9842322.7846530415</v>
      </c>
      <c r="K37" s="169">
        <f t="shared" si="0"/>
        <v>22560699.213931944</v>
      </c>
      <c r="L37" s="42"/>
      <c r="M37" s="42"/>
      <c r="N37" s="42"/>
      <c r="O37" s="42"/>
      <c r="P37" s="42"/>
      <c r="Q37" s="42"/>
    </row>
    <row r="38" spans="1:17" ht="15" customHeight="1">
      <c r="A38" s="417"/>
      <c r="B38" s="420"/>
      <c r="C38" s="155" t="s">
        <v>29</v>
      </c>
      <c r="D38" s="156">
        <v>7784.6035138044863</v>
      </c>
      <c r="E38" s="157">
        <v>13323.929339370472</v>
      </c>
      <c r="F38" s="157">
        <v>17530.861019695421</v>
      </c>
      <c r="G38" s="158">
        <f t="shared" si="3"/>
        <v>38639.39387287038</v>
      </c>
      <c r="H38" s="156">
        <v>85321.665839999885</v>
      </c>
      <c r="I38" s="157">
        <v>145624.95781000005</v>
      </c>
      <c r="J38" s="157">
        <v>190966.93034000002</v>
      </c>
      <c r="K38" s="159">
        <f t="shared" si="0"/>
        <v>421913.55398999993</v>
      </c>
      <c r="L38" s="42"/>
      <c r="M38" s="42"/>
      <c r="N38" s="42"/>
      <c r="O38" s="42"/>
      <c r="P38" s="42"/>
      <c r="Q38" s="42"/>
    </row>
    <row r="39" spans="1:17" ht="15" customHeight="1">
      <c r="A39" s="417"/>
      <c r="B39" s="421"/>
      <c r="C39" s="160" t="s">
        <v>25</v>
      </c>
      <c r="D39" s="161">
        <v>471318.20689401048</v>
      </c>
      <c r="E39" s="162">
        <v>712166.34969171463</v>
      </c>
      <c r="F39" s="162">
        <v>921012.87258960109</v>
      </c>
      <c r="G39" s="163">
        <f t="shared" si="3"/>
        <v>2104497.4291753261</v>
      </c>
      <c r="H39" s="161">
        <v>5165653.2556129918</v>
      </c>
      <c r="I39" s="162">
        <v>7783669.7973159123</v>
      </c>
      <c r="J39" s="162">
        <v>10033289.714993041</v>
      </c>
      <c r="K39" s="164">
        <f t="shared" si="0"/>
        <v>22982612.767921947</v>
      </c>
      <c r="L39" s="42"/>
      <c r="M39" s="42"/>
      <c r="N39" s="42"/>
      <c r="O39" s="42"/>
      <c r="P39" s="42"/>
      <c r="Q39" s="42"/>
    </row>
    <row r="40" spans="1:17" ht="15" customHeight="1">
      <c r="A40" s="417"/>
      <c r="B40" s="419" t="s">
        <v>319</v>
      </c>
      <c r="C40" s="165" t="s">
        <v>67</v>
      </c>
      <c r="D40" s="166">
        <v>817.07899999999995</v>
      </c>
      <c r="E40" s="167">
        <v>910.89800000000002</v>
      </c>
      <c r="F40" s="167">
        <v>1113.3149999999998</v>
      </c>
      <c r="G40" s="168">
        <f t="shared" si="3"/>
        <v>2841.2919999999995</v>
      </c>
      <c r="H40" s="166">
        <v>8544.4953999999998</v>
      </c>
      <c r="I40" s="167">
        <v>9548.4715999999989</v>
      </c>
      <c r="J40" s="167">
        <v>11711.830150000002</v>
      </c>
      <c r="K40" s="169">
        <f t="shared" si="0"/>
        <v>29804.797149999999</v>
      </c>
      <c r="L40" s="42"/>
      <c r="M40" s="42"/>
      <c r="N40" s="42"/>
      <c r="O40" s="42"/>
      <c r="P40" s="42"/>
      <c r="Q40" s="42"/>
    </row>
    <row r="41" spans="1:17" ht="15" customHeight="1">
      <c r="A41" s="417"/>
      <c r="B41" s="420"/>
      <c r="C41" s="155" t="s">
        <v>29</v>
      </c>
      <c r="D41" s="156">
        <v>0</v>
      </c>
      <c r="E41" s="157">
        <v>0</v>
      </c>
      <c r="F41" s="157">
        <v>15.342000000000001</v>
      </c>
      <c r="G41" s="158">
        <f t="shared" si="3"/>
        <v>15.342000000000001</v>
      </c>
      <c r="H41" s="156">
        <v>0</v>
      </c>
      <c r="I41" s="157">
        <v>0</v>
      </c>
      <c r="J41" s="157">
        <v>162.08000000000001</v>
      </c>
      <c r="K41" s="159">
        <f t="shared" si="0"/>
        <v>162.08000000000001</v>
      </c>
      <c r="L41" s="42"/>
      <c r="M41" s="42"/>
      <c r="N41" s="42"/>
      <c r="O41" s="42"/>
      <c r="P41" s="42"/>
      <c r="Q41" s="42"/>
    </row>
    <row r="42" spans="1:17" ht="15" customHeight="1">
      <c r="A42" s="417"/>
      <c r="B42" s="421"/>
      <c r="C42" s="160" t="s">
        <v>25</v>
      </c>
      <c r="D42" s="161">
        <v>817.07899999999995</v>
      </c>
      <c r="E42" s="162">
        <v>910.89800000000002</v>
      </c>
      <c r="F42" s="162">
        <v>1128.6569999999999</v>
      </c>
      <c r="G42" s="163">
        <f t="shared" si="3"/>
        <v>2856.634</v>
      </c>
      <c r="H42" s="161">
        <v>8544.4953999999998</v>
      </c>
      <c r="I42" s="162">
        <v>9548.4715999999989</v>
      </c>
      <c r="J42" s="162">
        <v>11873.910150000002</v>
      </c>
      <c r="K42" s="164">
        <f t="shared" si="0"/>
        <v>29966.87715</v>
      </c>
      <c r="L42" s="42"/>
      <c r="M42" s="42"/>
      <c r="N42" s="42"/>
      <c r="O42" s="42"/>
      <c r="P42" s="42"/>
      <c r="Q42" s="42"/>
    </row>
    <row r="43" spans="1:17" ht="15" customHeight="1">
      <c r="A43" s="417"/>
      <c r="B43" s="422" t="s">
        <v>86</v>
      </c>
      <c r="C43" s="422"/>
      <c r="D43" s="170">
        <v>136.98000000000138</v>
      </c>
      <c r="E43" s="171">
        <v>162.48399999999859</v>
      </c>
      <c r="F43" s="171">
        <v>202.40499999999884</v>
      </c>
      <c r="G43" s="172">
        <f t="shared" si="3"/>
        <v>501.86899999999878</v>
      </c>
      <c r="H43" s="170">
        <v>1690.9795000000158</v>
      </c>
      <c r="I43" s="171">
        <v>2228.2820000000065</v>
      </c>
      <c r="J43" s="171">
        <v>2138.8974000000162</v>
      </c>
      <c r="K43" s="173">
        <f t="shared" si="0"/>
        <v>6058.1589000000386</v>
      </c>
      <c r="L43" s="42"/>
      <c r="M43" s="42"/>
      <c r="N43" s="42"/>
      <c r="O43" s="42"/>
      <c r="P43" s="42"/>
      <c r="Q43" s="42"/>
    </row>
    <row r="44" spans="1:17" ht="15" customHeight="1">
      <c r="A44" s="417"/>
      <c r="B44" s="422" t="s">
        <v>85</v>
      </c>
      <c r="C44" s="422"/>
      <c r="D44" s="170">
        <v>33699.078999999998</v>
      </c>
      <c r="E44" s="171">
        <v>29009.056</v>
      </c>
      <c r="F44" s="171">
        <v>43630.424999999988</v>
      </c>
      <c r="G44" s="172">
        <f t="shared" si="3"/>
        <v>106338.55999999998</v>
      </c>
      <c r="H44" s="170">
        <v>369781.83228100004</v>
      </c>
      <c r="I44" s="171">
        <v>317739.48930300004</v>
      </c>
      <c r="J44" s="171">
        <v>478287.87200999999</v>
      </c>
      <c r="K44" s="173">
        <f t="shared" si="0"/>
        <v>1165809.1935940001</v>
      </c>
      <c r="L44" s="42"/>
      <c r="M44" s="42"/>
      <c r="N44" s="42"/>
      <c r="O44" s="42"/>
      <c r="P44" s="42"/>
      <c r="Q44" s="42"/>
    </row>
    <row r="45" spans="1:17" ht="15" customHeight="1">
      <c r="A45" s="417"/>
      <c r="B45" s="420" t="s">
        <v>30</v>
      </c>
      <c r="C45" s="155" t="s">
        <v>67</v>
      </c>
      <c r="D45" s="156">
        <v>498049.76138020598</v>
      </c>
      <c r="E45" s="157">
        <v>728762.3743523442</v>
      </c>
      <c r="F45" s="157">
        <v>948225.75156990555</v>
      </c>
      <c r="G45" s="158">
        <f t="shared" si="3"/>
        <v>2175037.8873024555</v>
      </c>
      <c r="H45" s="156">
        <v>5458657.9174539922</v>
      </c>
      <c r="I45" s="157">
        <v>7965332.8004089119</v>
      </c>
      <c r="J45" s="157">
        <v>10332322.486813042</v>
      </c>
      <c r="K45" s="159">
        <f t="shared" si="0"/>
        <v>23756313.204675946</v>
      </c>
      <c r="L45" s="42"/>
      <c r="M45" s="42"/>
      <c r="N45" s="42"/>
      <c r="O45" s="42"/>
      <c r="P45" s="42"/>
      <c r="Q45" s="42"/>
    </row>
    <row r="46" spans="1:17" ht="15" customHeight="1">
      <c r="A46" s="417"/>
      <c r="B46" s="420"/>
      <c r="C46" s="155" t="s">
        <v>94</v>
      </c>
      <c r="D46" s="156">
        <v>9562.7275538044869</v>
      </c>
      <c r="E46" s="157">
        <v>14208.29542937047</v>
      </c>
      <c r="F46" s="157">
        <v>17948.142009695421</v>
      </c>
      <c r="G46" s="158">
        <f t="shared" si="3"/>
        <v>41719.164992870377</v>
      </c>
      <c r="H46" s="156">
        <v>105004.85303699991</v>
      </c>
      <c r="I46" s="157">
        <v>155762.86193200006</v>
      </c>
      <c r="J46" s="157">
        <v>195446.11581800002</v>
      </c>
      <c r="K46" s="159">
        <f t="shared" si="0"/>
        <v>456213.83078700001</v>
      </c>
      <c r="L46" s="42"/>
      <c r="M46" s="42"/>
      <c r="N46" s="42"/>
      <c r="O46" s="42"/>
      <c r="P46" s="42"/>
      <c r="Q46" s="42"/>
    </row>
    <row r="47" spans="1:17" ht="15" customHeight="1">
      <c r="A47" s="418"/>
      <c r="B47" s="421"/>
      <c r="C47" s="160" t="s">
        <v>25</v>
      </c>
      <c r="D47" s="161">
        <v>507612.48893401044</v>
      </c>
      <c r="E47" s="162">
        <v>742970.66978171468</v>
      </c>
      <c r="F47" s="162">
        <v>966173.89357960096</v>
      </c>
      <c r="G47" s="163">
        <f>SUM(D47:F47)</f>
        <v>2216757.0522953263</v>
      </c>
      <c r="H47" s="161">
        <v>5563662.7704909919</v>
      </c>
      <c r="I47" s="162">
        <v>8121095.662340912</v>
      </c>
      <c r="J47" s="162">
        <v>10527768.602631042</v>
      </c>
      <c r="K47" s="164">
        <f t="shared" si="0"/>
        <v>24212527.035462946</v>
      </c>
      <c r="L47" s="42"/>
      <c r="M47" s="42"/>
      <c r="N47" s="42"/>
      <c r="O47" s="42"/>
      <c r="P47" s="42"/>
      <c r="Q47" s="42"/>
    </row>
    <row r="48" spans="1:17" ht="0.95" customHeight="1">
      <c r="A48" s="152"/>
      <c r="B48" s="153"/>
      <c r="C48" s="174"/>
      <c r="D48" s="156"/>
      <c r="E48" s="157"/>
      <c r="F48" s="157"/>
      <c r="G48" s="158"/>
      <c r="H48" s="156"/>
      <c r="I48" s="157"/>
      <c r="J48" s="157"/>
      <c r="K48" s="159"/>
      <c r="L48" s="42"/>
      <c r="M48" s="42"/>
      <c r="N48" s="42"/>
      <c r="O48" s="42"/>
      <c r="P48" s="42"/>
      <c r="Q48" s="42"/>
    </row>
    <row r="49" spans="1:17" ht="0.95" customHeight="1">
      <c r="A49" s="152"/>
      <c r="B49" s="153"/>
      <c r="C49" s="174"/>
      <c r="D49" s="156"/>
      <c r="E49" s="157"/>
      <c r="F49" s="157"/>
      <c r="G49" s="158"/>
      <c r="H49" s="156"/>
      <c r="I49" s="157"/>
      <c r="J49" s="157"/>
      <c r="K49" s="159"/>
      <c r="L49" s="42"/>
      <c r="M49" s="42"/>
      <c r="N49" s="42"/>
      <c r="O49" s="42"/>
      <c r="P49" s="42"/>
      <c r="Q49" s="42"/>
    </row>
    <row r="50" spans="1:17" ht="0.95" customHeight="1">
      <c r="A50" s="152"/>
      <c r="B50" s="153"/>
      <c r="C50" s="174"/>
      <c r="D50" s="156"/>
      <c r="E50" s="157"/>
      <c r="F50" s="157"/>
      <c r="G50" s="158"/>
      <c r="H50" s="156"/>
      <c r="I50" s="157"/>
      <c r="J50" s="157"/>
      <c r="K50" s="159"/>
      <c r="L50" s="42"/>
      <c r="M50" s="42"/>
      <c r="N50" s="42"/>
      <c r="O50" s="42"/>
      <c r="P50" s="42"/>
      <c r="Q50" s="42"/>
    </row>
    <row r="51" spans="1:17" ht="15" customHeight="1">
      <c r="A51" s="415" t="s">
        <v>97</v>
      </c>
      <c r="B51" s="415"/>
      <c r="C51" s="415"/>
      <c r="D51" s="161">
        <v>-658.61615638574585</v>
      </c>
      <c r="E51" s="162">
        <v>-9783.4533397873165</v>
      </c>
      <c r="F51" s="162">
        <v>1320.3485684501939</v>
      </c>
      <c r="G51" s="163">
        <f t="shared" si="3"/>
        <v>-9121.7209277228685</v>
      </c>
      <c r="H51" s="161">
        <v>4445.3177026901394</v>
      </c>
      <c r="I51" s="162">
        <v>-100259.93721728772</v>
      </c>
      <c r="J51" s="162">
        <v>20723.405911082402</v>
      </c>
      <c r="K51" s="164">
        <f>SUM(H51:J51)</f>
        <v>-75091.213603515178</v>
      </c>
      <c r="L51" s="42"/>
      <c r="M51" s="42"/>
      <c r="N51" s="42"/>
      <c r="O51" s="42"/>
      <c r="P51" s="42"/>
      <c r="Q51" s="42"/>
    </row>
    <row r="52" spans="1:17" ht="5.0999999999999996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M52" s="42"/>
    </row>
    <row r="53" spans="1:17">
      <c r="A53" s="423" t="s">
        <v>202</v>
      </c>
      <c r="B53" s="423"/>
      <c r="C53" s="423"/>
      <c r="D53" s="423"/>
      <c r="E53" s="423"/>
      <c r="F53" s="423"/>
      <c r="G53" s="423"/>
      <c r="H53" s="423"/>
      <c r="I53" s="423"/>
      <c r="J53" s="423"/>
      <c r="K53" s="423"/>
    </row>
    <row r="54" spans="1:17">
      <c r="A54" s="423"/>
      <c r="B54" s="423"/>
      <c r="C54" s="423"/>
      <c r="D54" s="423"/>
      <c r="E54" s="423"/>
      <c r="F54" s="423"/>
      <c r="G54" s="423"/>
      <c r="H54" s="423"/>
      <c r="I54" s="423"/>
      <c r="J54" s="423"/>
      <c r="K54" s="423"/>
    </row>
    <row r="55" spans="1:17">
      <c r="A55" s="423"/>
      <c r="B55" s="423"/>
      <c r="C55" s="423"/>
      <c r="D55" s="423"/>
      <c r="E55" s="423"/>
      <c r="F55" s="423"/>
      <c r="G55" s="423"/>
      <c r="H55" s="423"/>
      <c r="I55" s="423"/>
      <c r="J55" s="423"/>
      <c r="K55" s="423"/>
    </row>
    <row r="56" spans="1:17">
      <c r="A56" s="423"/>
      <c r="B56" s="423"/>
      <c r="C56" s="423"/>
      <c r="D56" s="423"/>
      <c r="E56" s="423"/>
      <c r="F56" s="423"/>
      <c r="G56" s="423"/>
      <c r="H56" s="423"/>
      <c r="I56" s="423"/>
      <c r="J56" s="423"/>
      <c r="K56" s="423"/>
    </row>
  </sheetData>
  <mergeCells count="25">
    <mergeCell ref="A53:K56"/>
    <mergeCell ref="A2:K2"/>
    <mergeCell ref="D3:K3"/>
    <mergeCell ref="D4:G4"/>
    <mergeCell ref="H4:K4"/>
    <mergeCell ref="B6:B8"/>
    <mergeCell ref="B9:B11"/>
    <mergeCell ref="B12:B14"/>
    <mergeCell ref="A6:A14"/>
    <mergeCell ref="B15:B18"/>
    <mergeCell ref="B19:B22"/>
    <mergeCell ref="B23:B26"/>
    <mergeCell ref="A15:A27"/>
    <mergeCell ref="B27:C27"/>
    <mergeCell ref="B45:B47"/>
    <mergeCell ref="A37:A47"/>
    <mergeCell ref="A51:C51"/>
    <mergeCell ref="A28:A36"/>
    <mergeCell ref="B28:B30"/>
    <mergeCell ref="B31:B33"/>
    <mergeCell ref="B34:B36"/>
    <mergeCell ref="B37:B39"/>
    <mergeCell ref="B40:B42"/>
    <mergeCell ref="B43:C43"/>
    <mergeCell ref="B44:C4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3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28515625" style="12" customWidth="1"/>
    <col min="2" max="7" width="7.28515625" style="12" customWidth="1"/>
    <col min="8" max="8" width="6.7109375" style="12" customWidth="1"/>
    <col min="9" max="10" width="8.28515625" style="12" customWidth="1"/>
    <col min="11" max="11" width="8" style="12" customWidth="1"/>
    <col min="12" max="12" width="7.7109375" style="12" customWidth="1"/>
    <col min="13" max="16" width="7.42578125" style="12" customWidth="1"/>
    <col min="17" max="17" width="6.7109375" style="12" customWidth="1"/>
    <col min="18" max="18" width="8.28515625" style="12" customWidth="1"/>
    <col min="19" max="19" width="8.140625" style="12" customWidth="1"/>
    <col min="20" max="20" width="9.28515625" style="12" bestFit="1" customWidth="1"/>
    <col min="21" max="21" width="11.42578125" style="12" bestFit="1" customWidth="1"/>
    <col min="22" max="260" width="9.140625" style="12"/>
    <col min="261" max="273" width="10.7109375" style="12" customWidth="1"/>
    <col min="274" max="516" width="9.140625" style="12"/>
    <col min="517" max="529" width="10.7109375" style="12" customWidth="1"/>
    <col min="530" max="772" width="9.140625" style="12"/>
    <col min="773" max="785" width="10.7109375" style="12" customWidth="1"/>
    <col min="786" max="1028" width="9.140625" style="12"/>
    <col min="1029" max="1041" width="10.7109375" style="12" customWidth="1"/>
    <col min="1042" max="1284" width="9.140625" style="12"/>
    <col min="1285" max="1297" width="10.7109375" style="12" customWidth="1"/>
    <col min="1298" max="1540" width="9.140625" style="12"/>
    <col min="1541" max="1553" width="10.7109375" style="12" customWidth="1"/>
    <col min="1554" max="1796" width="9.140625" style="12"/>
    <col min="1797" max="1809" width="10.7109375" style="12" customWidth="1"/>
    <col min="1810" max="2052" width="9.140625" style="12"/>
    <col min="2053" max="2065" width="10.7109375" style="12" customWidth="1"/>
    <col min="2066" max="2308" width="9.140625" style="12"/>
    <col min="2309" max="2321" width="10.7109375" style="12" customWidth="1"/>
    <col min="2322" max="2564" width="9.140625" style="12"/>
    <col min="2565" max="2577" width="10.7109375" style="12" customWidth="1"/>
    <col min="2578" max="2820" width="9.140625" style="12"/>
    <col min="2821" max="2833" width="10.7109375" style="12" customWidth="1"/>
    <col min="2834" max="3076" width="9.140625" style="12"/>
    <col min="3077" max="3089" width="10.7109375" style="12" customWidth="1"/>
    <col min="3090" max="3332" width="9.140625" style="12"/>
    <col min="3333" max="3345" width="10.7109375" style="12" customWidth="1"/>
    <col min="3346" max="3588" width="9.140625" style="12"/>
    <col min="3589" max="3601" width="10.7109375" style="12" customWidth="1"/>
    <col min="3602" max="3844" width="9.140625" style="12"/>
    <col min="3845" max="3857" width="10.7109375" style="12" customWidth="1"/>
    <col min="3858" max="4100" width="9.140625" style="12"/>
    <col min="4101" max="4113" width="10.7109375" style="12" customWidth="1"/>
    <col min="4114" max="4356" width="9.140625" style="12"/>
    <col min="4357" max="4369" width="10.7109375" style="12" customWidth="1"/>
    <col min="4370" max="4612" width="9.140625" style="12"/>
    <col min="4613" max="4625" width="10.7109375" style="12" customWidth="1"/>
    <col min="4626" max="4868" width="9.140625" style="12"/>
    <col min="4869" max="4881" width="10.7109375" style="12" customWidth="1"/>
    <col min="4882" max="5124" width="9.140625" style="12"/>
    <col min="5125" max="5137" width="10.7109375" style="12" customWidth="1"/>
    <col min="5138" max="5380" width="9.140625" style="12"/>
    <col min="5381" max="5393" width="10.7109375" style="12" customWidth="1"/>
    <col min="5394" max="5636" width="9.140625" style="12"/>
    <col min="5637" max="5649" width="10.7109375" style="12" customWidth="1"/>
    <col min="5650" max="5892" width="9.140625" style="12"/>
    <col min="5893" max="5905" width="10.7109375" style="12" customWidth="1"/>
    <col min="5906" max="6148" width="9.140625" style="12"/>
    <col min="6149" max="6161" width="10.7109375" style="12" customWidth="1"/>
    <col min="6162" max="6404" width="9.140625" style="12"/>
    <col min="6405" max="6417" width="10.7109375" style="12" customWidth="1"/>
    <col min="6418" max="6660" width="9.140625" style="12"/>
    <col min="6661" max="6673" width="10.7109375" style="12" customWidth="1"/>
    <col min="6674" max="6916" width="9.140625" style="12"/>
    <col min="6917" max="6929" width="10.7109375" style="12" customWidth="1"/>
    <col min="6930" max="7172" width="9.140625" style="12"/>
    <col min="7173" max="7185" width="10.7109375" style="12" customWidth="1"/>
    <col min="7186" max="7428" width="9.140625" style="12"/>
    <col min="7429" max="7441" width="10.7109375" style="12" customWidth="1"/>
    <col min="7442" max="7684" width="9.140625" style="12"/>
    <col min="7685" max="7697" width="10.7109375" style="12" customWidth="1"/>
    <col min="7698" max="7940" width="9.140625" style="12"/>
    <col min="7941" max="7953" width="10.7109375" style="12" customWidth="1"/>
    <col min="7954" max="8196" width="9.140625" style="12"/>
    <col min="8197" max="8209" width="10.7109375" style="12" customWidth="1"/>
    <col min="8210" max="8452" width="9.140625" style="12"/>
    <col min="8453" max="8465" width="10.7109375" style="12" customWidth="1"/>
    <col min="8466" max="8708" width="9.140625" style="12"/>
    <col min="8709" max="8721" width="10.7109375" style="12" customWidth="1"/>
    <col min="8722" max="8964" width="9.140625" style="12"/>
    <col min="8965" max="8977" width="10.7109375" style="12" customWidth="1"/>
    <col min="8978" max="9220" width="9.140625" style="12"/>
    <col min="9221" max="9233" width="10.7109375" style="12" customWidth="1"/>
    <col min="9234" max="9476" width="9.140625" style="12"/>
    <col min="9477" max="9489" width="10.7109375" style="12" customWidth="1"/>
    <col min="9490" max="9732" width="9.140625" style="12"/>
    <col min="9733" max="9745" width="10.7109375" style="12" customWidth="1"/>
    <col min="9746" max="9988" width="9.140625" style="12"/>
    <col min="9989" max="10001" width="10.7109375" style="12" customWidth="1"/>
    <col min="10002" max="10244" width="9.140625" style="12"/>
    <col min="10245" max="10257" width="10.7109375" style="12" customWidth="1"/>
    <col min="10258" max="10500" width="9.140625" style="12"/>
    <col min="10501" max="10513" width="10.7109375" style="12" customWidth="1"/>
    <col min="10514" max="10756" width="9.140625" style="12"/>
    <col min="10757" max="10769" width="10.7109375" style="12" customWidth="1"/>
    <col min="10770" max="11012" width="9.140625" style="12"/>
    <col min="11013" max="11025" width="10.7109375" style="12" customWidth="1"/>
    <col min="11026" max="11268" width="9.140625" style="12"/>
    <col min="11269" max="11281" width="10.7109375" style="12" customWidth="1"/>
    <col min="11282" max="11524" width="9.140625" style="12"/>
    <col min="11525" max="11537" width="10.7109375" style="12" customWidth="1"/>
    <col min="11538" max="11780" width="9.140625" style="12"/>
    <col min="11781" max="11793" width="10.7109375" style="12" customWidth="1"/>
    <col min="11794" max="12036" width="9.140625" style="12"/>
    <col min="12037" max="12049" width="10.7109375" style="12" customWidth="1"/>
    <col min="12050" max="12292" width="9.140625" style="12"/>
    <col min="12293" max="12305" width="10.7109375" style="12" customWidth="1"/>
    <col min="12306" max="12548" width="9.140625" style="12"/>
    <col min="12549" max="12561" width="10.7109375" style="12" customWidth="1"/>
    <col min="12562" max="12804" width="9.140625" style="12"/>
    <col min="12805" max="12817" width="10.7109375" style="12" customWidth="1"/>
    <col min="12818" max="13060" width="9.140625" style="12"/>
    <col min="13061" max="13073" width="10.7109375" style="12" customWidth="1"/>
    <col min="13074" max="13316" width="9.140625" style="12"/>
    <col min="13317" max="13329" width="10.7109375" style="12" customWidth="1"/>
    <col min="13330" max="13572" width="9.140625" style="12"/>
    <col min="13573" max="13585" width="10.7109375" style="12" customWidth="1"/>
    <col min="13586" max="13828" width="9.140625" style="12"/>
    <col min="13829" max="13841" width="10.7109375" style="12" customWidth="1"/>
    <col min="13842" max="14084" width="9.140625" style="12"/>
    <col min="14085" max="14097" width="10.7109375" style="12" customWidth="1"/>
    <col min="14098" max="14340" width="9.140625" style="12"/>
    <col min="14341" max="14353" width="10.7109375" style="12" customWidth="1"/>
    <col min="14354" max="14596" width="9.140625" style="12"/>
    <col min="14597" max="14609" width="10.7109375" style="12" customWidth="1"/>
    <col min="14610" max="14852" width="9.140625" style="12"/>
    <col min="14853" max="14865" width="10.7109375" style="12" customWidth="1"/>
    <col min="14866" max="15108" width="9.140625" style="12"/>
    <col min="15109" max="15121" width="10.7109375" style="12" customWidth="1"/>
    <col min="15122" max="15364" width="9.140625" style="12"/>
    <col min="15365" max="15377" width="10.7109375" style="12" customWidth="1"/>
    <col min="15378" max="15620" width="9.140625" style="12"/>
    <col min="15621" max="15633" width="10.7109375" style="12" customWidth="1"/>
    <col min="15634" max="15876" width="9.140625" style="12"/>
    <col min="15877" max="15889" width="10.7109375" style="12" customWidth="1"/>
    <col min="15890" max="16132" width="9.140625" style="12"/>
    <col min="16133" max="16145" width="10.7109375" style="12" customWidth="1"/>
    <col min="16146" max="16384" width="9.140625" style="12"/>
  </cols>
  <sheetData>
    <row r="1" spans="1:23" ht="18">
      <c r="A1" s="438" t="s">
        <v>295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</row>
    <row r="2" spans="1:23" ht="6" customHeight="1">
      <c r="A2" s="176"/>
      <c r="B2" s="436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</row>
    <row r="3" spans="1:23" ht="15.95" customHeight="1">
      <c r="A3" s="206">
        <f>'3.1'!A4</f>
        <v>2022</v>
      </c>
      <c r="B3" s="444" t="s">
        <v>262</v>
      </c>
      <c r="C3" s="445"/>
      <c r="D3" s="445"/>
      <c r="E3" s="445"/>
      <c r="F3" s="445"/>
      <c r="G3" s="445"/>
      <c r="H3" s="445"/>
      <c r="I3" s="445"/>
      <c r="J3" s="446"/>
      <c r="K3" s="445" t="s">
        <v>220</v>
      </c>
      <c r="L3" s="445"/>
      <c r="M3" s="445"/>
      <c r="N3" s="445"/>
      <c r="O3" s="445"/>
      <c r="P3" s="445"/>
      <c r="Q3" s="445"/>
      <c r="R3" s="445"/>
      <c r="S3" s="445"/>
    </row>
    <row r="4" spans="1:23" ht="34.5" customHeight="1">
      <c r="A4" s="192"/>
      <c r="B4" s="433" t="s">
        <v>193</v>
      </c>
      <c r="C4" s="434"/>
      <c r="D4" s="434"/>
      <c r="E4" s="433" t="s">
        <v>194</v>
      </c>
      <c r="F4" s="434"/>
      <c r="G4" s="439"/>
      <c r="H4" s="440" t="s">
        <v>249</v>
      </c>
      <c r="I4" s="440" t="s">
        <v>190</v>
      </c>
      <c r="J4" s="442" t="s">
        <v>64</v>
      </c>
      <c r="K4" s="433" t="s">
        <v>193</v>
      </c>
      <c r="L4" s="434"/>
      <c r="M4" s="434"/>
      <c r="N4" s="433" t="s">
        <v>194</v>
      </c>
      <c r="O4" s="434"/>
      <c r="P4" s="439"/>
      <c r="Q4" s="440" t="s">
        <v>249</v>
      </c>
      <c r="R4" s="440" t="s">
        <v>190</v>
      </c>
      <c r="S4" s="440" t="s">
        <v>64</v>
      </c>
    </row>
    <row r="5" spans="1:23" ht="33.75">
      <c r="A5" s="193"/>
      <c r="B5" s="194" t="s">
        <v>21</v>
      </c>
      <c r="C5" s="195" t="s">
        <v>22</v>
      </c>
      <c r="D5" s="195" t="s">
        <v>192</v>
      </c>
      <c r="E5" s="194" t="s">
        <v>26</v>
      </c>
      <c r="F5" s="195" t="s">
        <v>27</v>
      </c>
      <c r="G5" s="196" t="s">
        <v>191</v>
      </c>
      <c r="H5" s="441"/>
      <c r="I5" s="441"/>
      <c r="J5" s="443"/>
      <c r="K5" s="195" t="s">
        <v>21</v>
      </c>
      <c r="L5" s="195" t="s">
        <v>22</v>
      </c>
      <c r="M5" s="195" t="s">
        <v>192</v>
      </c>
      <c r="N5" s="194" t="s">
        <v>26</v>
      </c>
      <c r="O5" s="195" t="s">
        <v>27</v>
      </c>
      <c r="P5" s="196" t="s">
        <v>191</v>
      </c>
      <c r="Q5" s="441"/>
      <c r="R5" s="441"/>
      <c r="S5" s="441"/>
    </row>
    <row r="6" spans="1:23" ht="12" customHeight="1">
      <c r="A6" s="177" t="s">
        <v>161</v>
      </c>
      <c r="B6" s="184">
        <v>3368.4318376071833</v>
      </c>
      <c r="C6" s="178">
        <v>2936.875920396245</v>
      </c>
      <c r="D6" s="179">
        <v>431.55591721093833</v>
      </c>
      <c r="E6" s="190">
        <v>678.60557000000006</v>
      </c>
      <c r="F6" s="179">
        <v>2.2123170000000001</v>
      </c>
      <c r="G6" s="186">
        <v>676.39325300000007</v>
      </c>
      <c r="H6" s="179">
        <v>12.437685999999999</v>
      </c>
      <c r="I6" s="179">
        <v>13.875976986970054</v>
      </c>
      <c r="J6" s="186">
        <v>1134.2628331979085</v>
      </c>
      <c r="K6" s="178">
        <v>35946.549281425003</v>
      </c>
      <c r="L6" s="178">
        <v>31350.171766865897</v>
      </c>
      <c r="M6" s="179">
        <v>4596.3775145591062</v>
      </c>
      <c r="N6" s="190">
        <v>7240.7298269999992</v>
      </c>
      <c r="O6" s="179">
        <v>23.541039282000007</v>
      </c>
      <c r="P6" s="186">
        <v>7217.1887877179988</v>
      </c>
      <c r="Q6" s="179">
        <v>134.89672163059998</v>
      </c>
      <c r="R6" s="179">
        <v>170.32658545830287</v>
      </c>
      <c r="S6" s="179">
        <v>12118.789609366004</v>
      </c>
      <c r="T6" s="56"/>
      <c r="U6" s="57"/>
      <c r="V6" s="57"/>
      <c r="W6" s="57"/>
    </row>
    <row r="7" spans="1:23" ht="12" customHeight="1">
      <c r="A7" s="177" t="s">
        <v>162</v>
      </c>
      <c r="B7" s="184">
        <v>3030.8876179384415</v>
      </c>
      <c r="C7" s="179">
        <v>2527.7966007449631</v>
      </c>
      <c r="D7" s="179">
        <v>503.09101719347836</v>
      </c>
      <c r="E7" s="190">
        <v>384.90369700000002</v>
      </c>
      <c r="F7" s="179">
        <v>13.730227999999999</v>
      </c>
      <c r="G7" s="186">
        <v>371.17346900000001</v>
      </c>
      <c r="H7" s="179">
        <v>10.942409000000001</v>
      </c>
      <c r="I7" s="179">
        <v>5.2935049002591983</v>
      </c>
      <c r="J7" s="186">
        <v>890.50040009373777</v>
      </c>
      <c r="K7" s="178">
        <v>32344.353733057</v>
      </c>
      <c r="L7" s="179">
        <v>26981.2211958148</v>
      </c>
      <c r="M7" s="179">
        <v>5363.1325372421998</v>
      </c>
      <c r="N7" s="190">
        <v>4108.8620759999994</v>
      </c>
      <c r="O7" s="179">
        <v>146.79278078699997</v>
      </c>
      <c r="P7" s="186">
        <v>3962.0692952129994</v>
      </c>
      <c r="Q7" s="179">
        <v>118.67620429339999</v>
      </c>
      <c r="R7" s="179">
        <v>83.090755469398573</v>
      </c>
      <c r="S7" s="179">
        <v>9526.9687922179983</v>
      </c>
      <c r="T7" s="58"/>
      <c r="U7" s="57"/>
      <c r="V7" s="57"/>
      <c r="W7" s="57"/>
    </row>
    <row r="8" spans="1:23" ht="12" customHeight="1">
      <c r="A8" s="180" t="s">
        <v>163</v>
      </c>
      <c r="B8" s="185">
        <v>3740.0577454539725</v>
      </c>
      <c r="C8" s="182">
        <v>3041.2181782033535</v>
      </c>
      <c r="D8" s="182">
        <v>698.83956725061898</v>
      </c>
      <c r="E8" s="191">
        <v>267.33676600000001</v>
      </c>
      <c r="F8" s="182">
        <v>82.844617999999983</v>
      </c>
      <c r="G8" s="187">
        <v>184.49214800000004</v>
      </c>
      <c r="H8" s="182">
        <v>12.209565000000001</v>
      </c>
      <c r="I8" s="182">
        <v>27.078212184076548</v>
      </c>
      <c r="J8" s="187">
        <v>922.6194924346953</v>
      </c>
      <c r="K8" s="181">
        <v>39968.925224856801</v>
      </c>
      <c r="L8" s="182">
        <v>32474.878708074899</v>
      </c>
      <c r="M8" s="182">
        <v>7494.046516781902</v>
      </c>
      <c r="N8" s="191">
        <v>2860.9300859999998</v>
      </c>
      <c r="O8" s="182">
        <v>885.91493354699992</v>
      </c>
      <c r="P8" s="187">
        <v>1975.0151524529999</v>
      </c>
      <c r="Q8" s="182">
        <v>132.15311265240004</v>
      </c>
      <c r="R8" s="182">
        <v>308.23921136252767</v>
      </c>
      <c r="S8" s="182">
        <v>9909.4539932498319</v>
      </c>
      <c r="T8" s="59"/>
      <c r="U8" s="57"/>
      <c r="V8" s="57"/>
      <c r="W8" s="57"/>
    </row>
    <row r="9" spans="1:23" ht="12" customHeight="1">
      <c r="A9" s="177" t="s">
        <v>164</v>
      </c>
      <c r="B9" s="184">
        <v>3646.2681503652043</v>
      </c>
      <c r="C9" s="179">
        <v>2450.724807779794</v>
      </c>
      <c r="D9" s="179">
        <v>1195.5433425854103</v>
      </c>
      <c r="E9" s="190">
        <v>58.112975999999996</v>
      </c>
      <c r="F9" s="179">
        <v>583.95101499999998</v>
      </c>
      <c r="G9" s="186">
        <v>-525.83803899999998</v>
      </c>
      <c r="H9" s="179">
        <v>11.408387000000001</v>
      </c>
      <c r="I9" s="179">
        <v>-9.7515409764110803</v>
      </c>
      <c r="J9" s="186">
        <v>671.36214960899895</v>
      </c>
      <c r="K9" s="178">
        <v>38983.402848524005</v>
      </c>
      <c r="L9" s="179">
        <v>26179.454943267701</v>
      </c>
      <c r="M9" s="179">
        <v>12803.947905256304</v>
      </c>
      <c r="N9" s="190">
        <v>622.81438000000003</v>
      </c>
      <c r="O9" s="179">
        <v>6238.6961637600007</v>
      </c>
      <c r="P9" s="186">
        <v>-5615.8817837600009</v>
      </c>
      <c r="Q9" s="179">
        <v>123.4549095963</v>
      </c>
      <c r="R9" s="179">
        <v>-73.537115569694905</v>
      </c>
      <c r="S9" s="179">
        <v>7237.9839155229056</v>
      </c>
      <c r="T9" s="58"/>
      <c r="U9" s="57"/>
      <c r="V9" s="57"/>
      <c r="W9" s="57"/>
    </row>
    <row r="10" spans="1:23" ht="12" customHeight="1">
      <c r="A10" s="177" t="s">
        <v>165</v>
      </c>
      <c r="B10" s="184">
        <v>3600.6119231410016</v>
      </c>
      <c r="C10" s="179">
        <v>2386.8278837610524</v>
      </c>
      <c r="D10" s="179">
        <v>1213.7840393799493</v>
      </c>
      <c r="E10" s="190">
        <v>0</v>
      </c>
      <c r="F10" s="179">
        <v>843.36109899999997</v>
      </c>
      <c r="G10" s="186">
        <v>-843.36109899999997</v>
      </c>
      <c r="H10" s="179">
        <v>12.335933000000001</v>
      </c>
      <c r="I10" s="179">
        <v>6.1372987744699348</v>
      </c>
      <c r="J10" s="186">
        <v>388.89617215441922</v>
      </c>
      <c r="K10" s="178">
        <v>38454.287771183997</v>
      </c>
      <c r="L10" s="179">
        <v>25494.575609104802</v>
      </c>
      <c r="M10" s="179">
        <v>12959.712162079195</v>
      </c>
      <c r="N10" s="190">
        <v>0</v>
      </c>
      <c r="O10" s="179">
        <v>9010.155727571002</v>
      </c>
      <c r="P10" s="186">
        <v>-9010.155727571002</v>
      </c>
      <c r="Q10" s="179">
        <v>133.47845841560002</v>
      </c>
      <c r="R10" s="179">
        <v>96.62239976518228</v>
      </c>
      <c r="S10" s="179">
        <v>4179.6572926889776</v>
      </c>
      <c r="T10" s="58"/>
      <c r="U10" s="57"/>
      <c r="V10" s="57"/>
      <c r="W10" s="57"/>
    </row>
    <row r="11" spans="1:23" ht="12" customHeight="1">
      <c r="A11" s="180" t="s">
        <v>166</v>
      </c>
      <c r="B11" s="185">
        <v>2992.0868665099147</v>
      </c>
      <c r="C11" s="182">
        <v>2183.7793839814467</v>
      </c>
      <c r="D11" s="182">
        <v>808.30748252846797</v>
      </c>
      <c r="E11" s="191">
        <v>1.0541230000000001</v>
      </c>
      <c r="F11" s="182">
        <v>488.84463900000003</v>
      </c>
      <c r="G11" s="187">
        <v>-487.79051600000003</v>
      </c>
      <c r="H11" s="182">
        <v>12.345179000000002</v>
      </c>
      <c r="I11" s="182">
        <v>3.4923493485855288</v>
      </c>
      <c r="J11" s="187">
        <v>336.35449487705364</v>
      </c>
      <c r="K11" s="181">
        <v>32016.791148502998</v>
      </c>
      <c r="L11" s="182">
        <v>23344.806600269101</v>
      </c>
      <c r="M11" s="182">
        <v>8671.9845482338969</v>
      </c>
      <c r="N11" s="191">
        <v>11.281193999999999</v>
      </c>
      <c r="O11" s="182">
        <v>5233.3445628020008</v>
      </c>
      <c r="P11" s="187">
        <v>-5222.0633688020007</v>
      </c>
      <c r="Q11" s="182">
        <v>133.70256810759997</v>
      </c>
      <c r="R11" s="182">
        <v>65.899671437519132</v>
      </c>
      <c r="S11" s="182">
        <v>3649.5234189770149</v>
      </c>
      <c r="T11" s="58"/>
      <c r="U11" s="57"/>
      <c r="V11" s="57"/>
      <c r="W11" s="57"/>
    </row>
    <row r="12" spans="1:23" ht="12" customHeight="1">
      <c r="A12" s="177" t="s">
        <v>167</v>
      </c>
      <c r="B12" s="184">
        <v>1764.5666832355819</v>
      </c>
      <c r="C12" s="179">
        <v>1059.5208547861516</v>
      </c>
      <c r="D12" s="179">
        <v>705.04582844943025</v>
      </c>
      <c r="E12" s="190">
        <v>0.967611</v>
      </c>
      <c r="F12" s="179">
        <v>419.18194199999999</v>
      </c>
      <c r="G12" s="186">
        <v>-418.21433100000002</v>
      </c>
      <c r="H12" s="179">
        <v>12.772386000000001</v>
      </c>
      <c r="I12" s="179">
        <v>-11.034673241898068</v>
      </c>
      <c r="J12" s="186">
        <v>288.56921020753236</v>
      </c>
      <c r="K12" s="178">
        <v>18995.561568838006</v>
      </c>
      <c r="L12" s="179">
        <v>11372.5320243442</v>
      </c>
      <c r="M12" s="179">
        <v>7623.0295444938056</v>
      </c>
      <c r="N12" s="190">
        <v>10.460077</v>
      </c>
      <c r="O12" s="179">
        <v>4537.4323403870003</v>
      </c>
      <c r="P12" s="186">
        <v>-4526.9722633870006</v>
      </c>
      <c r="Q12" s="179">
        <v>138.44255704649996</v>
      </c>
      <c r="R12" s="179">
        <v>-95.534134264307568</v>
      </c>
      <c r="S12" s="179">
        <v>3138.965703888995</v>
      </c>
      <c r="T12" s="58"/>
      <c r="U12" s="57"/>
      <c r="V12" s="57"/>
      <c r="W12" s="57"/>
    </row>
    <row r="13" spans="1:23" ht="12" customHeight="1">
      <c r="A13" s="177" t="s">
        <v>168</v>
      </c>
      <c r="B13" s="184">
        <v>1260.4085447814048</v>
      </c>
      <c r="C13" s="179">
        <v>841.7128717077677</v>
      </c>
      <c r="D13" s="179">
        <v>418.69567307363707</v>
      </c>
      <c r="E13" s="190">
        <v>1.9614500000000001</v>
      </c>
      <c r="F13" s="179">
        <v>132.453382</v>
      </c>
      <c r="G13" s="186">
        <v>-130.49193199999999</v>
      </c>
      <c r="H13" s="179">
        <v>12.147532999999999</v>
      </c>
      <c r="I13" s="179">
        <v>10.753440024764627</v>
      </c>
      <c r="J13" s="186">
        <v>311.10471409840164</v>
      </c>
      <c r="K13" s="178">
        <v>13573.808559102999</v>
      </c>
      <c r="L13" s="179">
        <v>9053.6707668315012</v>
      </c>
      <c r="M13" s="179">
        <v>4520.1377922714983</v>
      </c>
      <c r="N13" s="190">
        <v>21.151826999999997</v>
      </c>
      <c r="O13" s="179">
        <v>1427.7682443289998</v>
      </c>
      <c r="P13" s="186">
        <v>-1406.6164173289999</v>
      </c>
      <c r="Q13" s="179">
        <v>131.47756648400002</v>
      </c>
      <c r="R13" s="179">
        <v>132.62345489248634</v>
      </c>
      <c r="S13" s="179">
        <v>3377.6223963189846</v>
      </c>
      <c r="T13" s="58"/>
      <c r="U13" s="57"/>
      <c r="V13" s="57"/>
      <c r="W13" s="57"/>
    </row>
    <row r="14" spans="1:23" ht="12" customHeight="1">
      <c r="A14" s="180" t="s">
        <v>169</v>
      </c>
      <c r="B14" s="185">
        <v>776.19697855963193</v>
      </c>
      <c r="C14" s="182">
        <v>253.64251109221692</v>
      </c>
      <c r="D14" s="182">
        <v>522.55446746741495</v>
      </c>
      <c r="E14" s="191">
        <v>3.5981879999999999</v>
      </c>
      <c r="F14" s="182">
        <v>156.05039400000001</v>
      </c>
      <c r="G14" s="187">
        <v>-152.45220600000002</v>
      </c>
      <c r="H14" s="182">
        <v>11.981399999999999</v>
      </c>
      <c r="I14" s="182">
        <v>1.2742991751217632</v>
      </c>
      <c r="J14" s="187">
        <v>383.3579606425368</v>
      </c>
      <c r="K14" s="181">
        <v>8502.546646529001</v>
      </c>
      <c r="L14" s="182">
        <v>2770.1322471067997</v>
      </c>
      <c r="M14" s="182">
        <v>5732.4143994222013</v>
      </c>
      <c r="N14" s="191">
        <v>38.712868</v>
      </c>
      <c r="O14" s="182">
        <v>1700.5748317279999</v>
      </c>
      <c r="P14" s="187">
        <v>-1661.8619637279999</v>
      </c>
      <c r="Q14" s="182">
        <v>130.33476221099997</v>
      </c>
      <c r="R14" s="182">
        <v>-5.5975247472310441</v>
      </c>
      <c r="S14" s="182">
        <v>4195.2896731579685</v>
      </c>
      <c r="T14" s="58"/>
      <c r="U14" s="57"/>
      <c r="V14" s="57"/>
      <c r="W14" s="57"/>
    </row>
    <row r="15" spans="1:23" ht="12" customHeight="1">
      <c r="A15" s="177" t="s">
        <v>170</v>
      </c>
      <c r="B15" s="184">
        <v>1243.3218232701938</v>
      </c>
      <c r="C15" s="179">
        <v>436.39778217979762</v>
      </c>
      <c r="D15" s="179">
        <v>806.92404109039626</v>
      </c>
      <c r="E15" s="190">
        <v>4.3354999999999998E-2</v>
      </c>
      <c r="F15" s="179">
        <v>312.054394</v>
      </c>
      <c r="G15" s="186">
        <v>-312.01103899999998</v>
      </c>
      <c r="H15" s="179">
        <v>13.358103000000002</v>
      </c>
      <c r="I15" s="179">
        <v>-0.65861615638574589</v>
      </c>
      <c r="J15" s="186">
        <v>507.61248893401046</v>
      </c>
      <c r="K15" s="178">
        <v>13613.839493580001</v>
      </c>
      <c r="L15" s="179">
        <v>4777.9518908847003</v>
      </c>
      <c r="M15" s="179">
        <v>8835.8876026953003</v>
      </c>
      <c r="N15" s="190">
        <v>0.46333199999999997</v>
      </c>
      <c r="O15" s="179">
        <v>3422.4805222209998</v>
      </c>
      <c r="P15" s="186">
        <v>-3422.017190221</v>
      </c>
      <c r="Q15" s="179">
        <v>145.34704031400005</v>
      </c>
      <c r="R15" s="179">
        <v>4.4453177026901391</v>
      </c>
      <c r="S15" s="179">
        <v>5563.6627704909915</v>
      </c>
      <c r="T15" s="58"/>
      <c r="U15" s="57"/>
      <c r="V15" s="57"/>
      <c r="W15" s="57"/>
    </row>
    <row r="16" spans="1:23" ht="12" customHeight="1">
      <c r="A16" s="177" t="s">
        <v>171</v>
      </c>
      <c r="B16" s="184">
        <v>1046.5306776577318</v>
      </c>
      <c r="C16" s="179">
        <v>298.48748553622977</v>
      </c>
      <c r="D16" s="179">
        <v>748.04319212150199</v>
      </c>
      <c r="E16" s="190">
        <v>90.356905999999995</v>
      </c>
      <c r="F16" s="179">
        <v>98.602405000000005</v>
      </c>
      <c r="G16" s="186">
        <v>-8.2454990000000095</v>
      </c>
      <c r="H16" s="179">
        <v>12.956429999999999</v>
      </c>
      <c r="I16" s="179">
        <v>-9.7834533397873162</v>
      </c>
      <c r="J16" s="186">
        <v>742.97066978171472</v>
      </c>
      <c r="K16" s="178">
        <v>11448.808491971999</v>
      </c>
      <c r="L16" s="179">
        <v>3269.6550328895</v>
      </c>
      <c r="M16" s="179">
        <v>8179.1534590824986</v>
      </c>
      <c r="N16" s="190">
        <v>979.8090820000001</v>
      </c>
      <c r="O16" s="179">
        <v>1078.4142016340002</v>
      </c>
      <c r="P16" s="186">
        <v>-98.605119634000062</v>
      </c>
      <c r="Q16" s="179">
        <v>140.8072601097</v>
      </c>
      <c r="R16" s="179">
        <v>-100.25993721728771</v>
      </c>
      <c r="S16" s="179">
        <v>8121.095662340912</v>
      </c>
      <c r="T16" s="58"/>
      <c r="U16" s="57"/>
      <c r="V16" s="57"/>
      <c r="W16" s="57"/>
    </row>
    <row r="17" spans="1:23" ht="12" customHeight="1">
      <c r="A17" s="180" t="s">
        <v>172</v>
      </c>
      <c r="B17" s="185">
        <v>615.20458505997794</v>
      </c>
      <c r="C17" s="182">
        <v>55.576579048827142</v>
      </c>
      <c r="D17" s="182">
        <v>559.62800601115077</v>
      </c>
      <c r="E17" s="191">
        <v>476.41323899999992</v>
      </c>
      <c r="F17" s="182">
        <v>84.486763999999994</v>
      </c>
      <c r="G17" s="187">
        <v>391.92647499999993</v>
      </c>
      <c r="H17" s="182">
        <v>13.299063999999998</v>
      </c>
      <c r="I17" s="182">
        <v>1.3203485684501939</v>
      </c>
      <c r="J17" s="187">
        <v>966.17389357960099</v>
      </c>
      <c r="K17" s="181">
        <v>6733.619135379</v>
      </c>
      <c r="L17" s="182">
        <v>604.09946470939997</v>
      </c>
      <c r="M17" s="182">
        <v>6129.5196706695997</v>
      </c>
      <c r="N17" s="191">
        <v>5157.0133759999999</v>
      </c>
      <c r="O17" s="182">
        <v>924.47948193499997</v>
      </c>
      <c r="P17" s="187">
        <v>4232.5338940649999</v>
      </c>
      <c r="Q17" s="182">
        <v>144.99163198536002</v>
      </c>
      <c r="R17" s="182">
        <v>20.723405911082402</v>
      </c>
      <c r="S17" s="182">
        <v>10527.768602631042</v>
      </c>
      <c r="T17" s="58"/>
      <c r="U17" s="57"/>
      <c r="V17" s="57"/>
      <c r="W17" s="57"/>
    </row>
    <row r="18" spans="1:23" ht="12" customHeight="1">
      <c r="A18" s="177" t="s">
        <v>48</v>
      </c>
      <c r="B18" s="184">
        <f>SUM(B6:B8)</f>
        <v>10139.377200999597</v>
      </c>
      <c r="C18" s="178">
        <f>SUM(C6:C8)</f>
        <v>8505.8906993445617</v>
      </c>
      <c r="D18" s="178">
        <f>SUM(D6:D8)</f>
        <v>1633.4865016550357</v>
      </c>
      <c r="E18" s="184">
        <f t="shared" ref="E18:J18" si="0">SUM(E6:E8)</f>
        <v>1330.8460330000003</v>
      </c>
      <c r="F18" s="178">
        <f t="shared" si="0"/>
        <v>98.787162999999978</v>
      </c>
      <c r="G18" s="188">
        <f>SUM(G6:G8)</f>
        <v>1232.0588700000001</v>
      </c>
      <c r="H18" s="178">
        <f t="shared" si="0"/>
        <v>35.589660000000002</v>
      </c>
      <c r="I18" s="178">
        <f t="shared" si="0"/>
        <v>46.247694071305801</v>
      </c>
      <c r="J18" s="188">
        <f t="shared" si="0"/>
        <v>2947.382725726342</v>
      </c>
      <c r="K18" s="178">
        <f>SUM(K6:K8)</f>
        <v>108259.82823933879</v>
      </c>
      <c r="L18" s="178">
        <f>SUM(L6:L8)</f>
        <v>90806.271670755596</v>
      </c>
      <c r="M18" s="178">
        <f t="shared" ref="M18:S18" si="1">SUM(M6:M8)</f>
        <v>17453.556568583208</v>
      </c>
      <c r="N18" s="184">
        <f t="shared" si="1"/>
        <v>14210.521988999999</v>
      </c>
      <c r="O18" s="178">
        <f t="shared" si="1"/>
        <v>1056.2487536159999</v>
      </c>
      <c r="P18" s="188">
        <f t="shared" si="1"/>
        <v>13154.273235383998</v>
      </c>
      <c r="Q18" s="178">
        <f t="shared" si="1"/>
        <v>385.72603857640001</v>
      </c>
      <c r="R18" s="178">
        <f>SUM(R6:R8)</f>
        <v>561.65655229022911</v>
      </c>
      <c r="S18" s="178">
        <f t="shared" si="1"/>
        <v>31555.212394833834</v>
      </c>
    </row>
    <row r="19" spans="1:23" ht="12" customHeight="1">
      <c r="A19" s="177" t="s">
        <v>56</v>
      </c>
      <c r="B19" s="184">
        <f>SUM(B9:B11)</f>
        <v>10238.96694001612</v>
      </c>
      <c r="C19" s="178">
        <f>SUM(C9:C11)</f>
        <v>7021.3320755222931</v>
      </c>
      <c r="D19" s="178">
        <f t="shared" ref="D19:J19" si="2">SUM(D9:D11)</f>
        <v>3217.6348644938275</v>
      </c>
      <c r="E19" s="184">
        <f t="shared" si="2"/>
        <v>59.167098999999993</v>
      </c>
      <c r="F19" s="178">
        <f t="shared" si="2"/>
        <v>1916.1567529999998</v>
      </c>
      <c r="G19" s="188">
        <f t="shared" si="2"/>
        <v>-1856.989654</v>
      </c>
      <c r="H19" s="178">
        <f t="shared" si="2"/>
        <v>36.089499000000004</v>
      </c>
      <c r="I19" s="178">
        <f t="shared" si="2"/>
        <v>-0.12189285335561673</v>
      </c>
      <c r="J19" s="188">
        <f t="shared" si="2"/>
        <v>1396.6128166404719</v>
      </c>
      <c r="K19" s="178">
        <f>SUM(K9:K11)</f>
        <v>109454.481768211</v>
      </c>
      <c r="L19" s="178">
        <f t="shared" ref="L19:S19" si="3">SUM(L9:L11)</f>
        <v>75018.837152641601</v>
      </c>
      <c r="M19" s="178">
        <f t="shared" si="3"/>
        <v>34435.644615569399</v>
      </c>
      <c r="N19" s="184">
        <f t="shared" si="3"/>
        <v>634.09557400000006</v>
      </c>
      <c r="O19" s="178">
        <f>SUM(O9:O11)</f>
        <v>20482.196454133005</v>
      </c>
      <c r="P19" s="188">
        <f t="shared" si="3"/>
        <v>-19848.100880133003</v>
      </c>
      <c r="Q19" s="178">
        <f t="shared" si="3"/>
        <v>390.6359361195</v>
      </c>
      <c r="R19" s="178">
        <f t="shared" si="3"/>
        <v>88.984955633006507</v>
      </c>
      <c r="S19" s="178">
        <f t="shared" si="3"/>
        <v>15067.164627188899</v>
      </c>
    </row>
    <row r="20" spans="1:23" ht="12" customHeight="1">
      <c r="A20" s="177" t="s">
        <v>63</v>
      </c>
      <c r="B20" s="184">
        <f>SUM(B12:B14)</f>
        <v>3801.1722065766189</v>
      </c>
      <c r="C20" s="178">
        <f>SUM(C12:C14)</f>
        <v>2154.8762375861361</v>
      </c>
      <c r="D20" s="178">
        <f t="shared" ref="D20:J20" si="4">SUM(D12:D14)</f>
        <v>1646.2959689904822</v>
      </c>
      <c r="E20" s="184">
        <f t="shared" si="4"/>
        <v>6.5272489999999994</v>
      </c>
      <c r="F20" s="178">
        <f t="shared" si="4"/>
        <v>707.68571799999995</v>
      </c>
      <c r="G20" s="188">
        <f t="shared" si="4"/>
        <v>-701.15846900000008</v>
      </c>
      <c r="H20" s="178">
        <f t="shared" si="4"/>
        <v>36.901319000000001</v>
      </c>
      <c r="I20" s="178">
        <f>SUM(I12:I14)</f>
        <v>0.99306595798832276</v>
      </c>
      <c r="J20" s="188">
        <f t="shared" si="4"/>
        <v>983.03188494847075</v>
      </c>
      <c r="K20" s="178">
        <f>SUM(K12:K14)</f>
        <v>41071.91677447001</v>
      </c>
      <c r="L20" s="178">
        <f t="shared" ref="L20:S20" si="5">SUM(L12:L14)</f>
        <v>23196.335038282501</v>
      </c>
      <c r="M20" s="178">
        <f t="shared" si="5"/>
        <v>17875.581736187505</v>
      </c>
      <c r="N20" s="184">
        <f t="shared" si="5"/>
        <v>70.324771999999996</v>
      </c>
      <c r="O20" s="178">
        <f t="shared" si="5"/>
        <v>7665.7754164439993</v>
      </c>
      <c r="P20" s="188">
        <f t="shared" si="5"/>
        <v>-7595.4506444440003</v>
      </c>
      <c r="Q20" s="178">
        <f t="shared" si="5"/>
        <v>400.25488574149995</v>
      </c>
      <c r="R20" s="178">
        <f t="shared" si="5"/>
        <v>31.491795880947723</v>
      </c>
      <c r="S20" s="178">
        <f t="shared" si="5"/>
        <v>10711.877773365948</v>
      </c>
    </row>
    <row r="21" spans="1:23" ht="12" customHeight="1">
      <c r="A21" s="180" t="s">
        <v>57</v>
      </c>
      <c r="B21" s="185">
        <f>SUM(B15:B17)</f>
        <v>2905.0570859879035</v>
      </c>
      <c r="C21" s="181">
        <f>SUM(C15:C17)</f>
        <v>790.4618467648545</v>
      </c>
      <c r="D21" s="181">
        <f t="shared" ref="D21:J21" si="6">SUM(D15:D17)</f>
        <v>2114.5952392230492</v>
      </c>
      <c r="E21" s="185">
        <f t="shared" si="6"/>
        <v>566.81349999999998</v>
      </c>
      <c r="F21" s="181">
        <f t="shared" si="6"/>
        <v>495.14356299999997</v>
      </c>
      <c r="G21" s="189">
        <f t="shared" si="6"/>
        <v>71.669936999999948</v>
      </c>
      <c r="H21" s="181">
        <f t="shared" si="6"/>
        <v>39.613596999999999</v>
      </c>
      <c r="I21" s="181">
        <f t="shared" si="6"/>
        <v>-9.1217209277228672</v>
      </c>
      <c r="J21" s="189">
        <f t="shared" si="6"/>
        <v>2216.757052295326</v>
      </c>
      <c r="K21" s="181">
        <f>SUM(K15:K17)</f>
        <v>31796.267120930999</v>
      </c>
      <c r="L21" s="181">
        <f t="shared" ref="L21:R21" si="7">SUM(L15:L17)</f>
        <v>8651.7063884836007</v>
      </c>
      <c r="M21" s="181">
        <f t="shared" si="7"/>
        <v>23144.5607324474</v>
      </c>
      <c r="N21" s="185">
        <f t="shared" si="7"/>
        <v>6137.2857899999999</v>
      </c>
      <c r="O21" s="181">
        <f t="shared" si="7"/>
        <v>5425.3742057899999</v>
      </c>
      <c r="P21" s="189">
        <f t="shared" si="7"/>
        <v>711.91158421</v>
      </c>
      <c r="Q21" s="181">
        <f t="shared" si="7"/>
        <v>431.14593240906009</v>
      </c>
      <c r="R21" s="181">
        <f t="shared" si="7"/>
        <v>-75.091213603515172</v>
      </c>
      <c r="S21" s="181">
        <f>SUM(S15:S17)</f>
        <v>24212.527035462947</v>
      </c>
    </row>
    <row r="22" spans="1:23" ht="12" customHeight="1">
      <c r="A22" s="177" t="s">
        <v>58</v>
      </c>
      <c r="B22" s="184">
        <f>SUM(B6:B11)</f>
        <v>20378.344141015717</v>
      </c>
      <c r="C22" s="178">
        <f>SUM(C6:C11)</f>
        <v>15527.222774866856</v>
      </c>
      <c r="D22" s="178">
        <f t="shared" ref="D22:J22" si="8">SUM(D6:D11)</f>
        <v>4851.1213661488637</v>
      </c>
      <c r="E22" s="184">
        <f t="shared" si="8"/>
        <v>1390.013132</v>
      </c>
      <c r="F22" s="178">
        <f t="shared" si="8"/>
        <v>2014.9439159999997</v>
      </c>
      <c r="G22" s="188">
        <f t="shared" si="8"/>
        <v>-624.9307839999999</v>
      </c>
      <c r="H22" s="178">
        <f t="shared" si="8"/>
        <v>71.679158999999999</v>
      </c>
      <c r="I22" s="178">
        <f t="shared" si="8"/>
        <v>46.125801217950183</v>
      </c>
      <c r="J22" s="188">
        <f t="shared" si="8"/>
        <v>4343.9955423668143</v>
      </c>
      <c r="K22" s="178">
        <f>SUM(K6:K11)</f>
        <v>217714.31000754979</v>
      </c>
      <c r="L22" s="178">
        <f t="shared" ref="L22:S22" si="9">SUM(L6:L11)</f>
        <v>165825.1088233972</v>
      </c>
      <c r="M22" s="178">
        <f t="shared" si="9"/>
        <v>51889.201184152611</v>
      </c>
      <c r="N22" s="184">
        <f t="shared" si="9"/>
        <v>14844.617562999998</v>
      </c>
      <c r="O22" s="178">
        <f t="shared" si="9"/>
        <v>21538.445207749002</v>
      </c>
      <c r="P22" s="188">
        <f t="shared" si="9"/>
        <v>-6693.8276447490052</v>
      </c>
      <c r="Q22" s="178">
        <f t="shared" si="9"/>
        <v>776.36197469590002</v>
      </c>
      <c r="R22" s="178">
        <f t="shared" si="9"/>
        <v>650.64150792323562</v>
      </c>
      <c r="S22" s="178">
        <f t="shared" si="9"/>
        <v>46622.377022022731</v>
      </c>
    </row>
    <row r="23" spans="1:23" ht="12" customHeight="1">
      <c r="A23" s="180" t="s">
        <v>59</v>
      </c>
      <c r="B23" s="185">
        <f>SUM(B12:B17)</f>
        <v>6706.2292925645224</v>
      </c>
      <c r="C23" s="181">
        <f>SUM(C12:C17)</f>
        <v>2945.3380843509908</v>
      </c>
      <c r="D23" s="181">
        <f t="shared" ref="D23:J23" si="10">SUM(D12:D17)</f>
        <v>3760.8912082135316</v>
      </c>
      <c r="E23" s="185">
        <f t="shared" si="10"/>
        <v>573.34074899999996</v>
      </c>
      <c r="F23" s="181">
        <f t="shared" si="10"/>
        <v>1202.829281</v>
      </c>
      <c r="G23" s="189">
        <f t="shared" si="10"/>
        <v>-629.48853200000008</v>
      </c>
      <c r="H23" s="181">
        <f t="shared" si="10"/>
        <v>76.514915999999999</v>
      </c>
      <c r="I23" s="181">
        <f t="shared" si="10"/>
        <v>-8.1286549697345443</v>
      </c>
      <c r="J23" s="189">
        <f t="shared" si="10"/>
        <v>3199.7889372437971</v>
      </c>
      <c r="K23" s="181">
        <f>SUM(K12:K17)</f>
        <v>72868.183895401016</v>
      </c>
      <c r="L23" s="181">
        <f t="shared" ref="L23:S23" si="11">SUM(L12:L17)</f>
        <v>31848.041426766104</v>
      </c>
      <c r="M23" s="181">
        <f t="shared" si="11"/>
        <v>41020.142468634906</v>
      </c>
      <c r="N23" s="185">
        <f t="shared" si="11"/>
        <v>6207.6105619999998</v>
      </c>
      <c r="O23" s="181">
        <f t="shared" si="11"/>
        <v>13091.149622233999</v>
      </c>
      <c r="P23" s="189">
        <f t="shared" si="11"/>
        <v>-6883.5390602339994</v>
      </c>
      <c r="Q23" s="181">
        <f t="shared" si="11"/>
        <v>831.4008181505601</v>
      </c>
      <c r="R23" s="181">
        <f t="shared" si="11"/>
        <v>-43.599417722567445</v>
      </c>
      <c r="S23" s="181">
        <f t="shared" si="11"/>
        <v>34924.404808828891</v>
      </c>
    </row>
    <row r="24" spans="1:23" ht="12" customHeight="1">
      <c r="A24" s="183" t="s">
        <v>173</v>
      </c>
      <c r="B24" s="389">
        <f>SUM(B6:B17)</f>
        <v>27084.573433580237</v>
      </c>
      <c r="C24" s="390">
        <f>SUM(C6:C17)</f>
        <v>18472.560859217843</v>
      </c>
      <c r="D24" s="390">
        <f t="shared" ref="D24:J24" si="12">SUM(D6:D17)</f>
        <v>8612.0125743623958</v>
      </c>
      <c r="E24" s="389">
        <f t="shared" si="12"/>
        <v>1963.353881</v>
      </c>
      <c r="F24" s="390">
        <f t="shared" si="12"/>
        <v>3217.7731969999995</v>
      </c>
      <c r="G24" s="391">
        <f t="shared" si="12"/>
        <v>-1254.4193159999998</v>
      </c>
      <c r="H24" s="390">
        <f t="shared" si="12"/>
        <v>148.19407499999997</v>
      </c>
      <c r="I24" s="390">
        <f t="shared" si="12"/>
        <v>37.997146248215635</v>
      </c>
      <c r="J24" s="391">
        <f t="shared" si="12"/>
        <v>7543.7844796106119</v>
      </c>
      <c r="K24" s="390">
        <f>SUM(K6:K17)</f>
        <v>290582.49390295072</v>
      </c>
      <c r="L24" s="390">
        <f t="shared" ref="L24:S24" si="13">SUM(L6:L17)</f>
        <v>197673.15025016331</v>
      </c>
      <c r="M24" s="390">
        <f t="shared" si="13"/>
        <v>92909.343652787531</v>
      </c>
      <c r="N24" s="389">
        <f t="shared" si="13"/>
        <v>21052.228124999998</v>
      </c>
      <c r="O24" s="390">
        <f t="shared" si="13"/>
        <v>34629.594829982998</v>
      </c>
      <c r="P24" s="391">
        <f t="shared" si="13"/>
        <v>-13577.366704983007</v>
      </c>
      <c r="Q24" s="390">
        <f t="shared" si="13"/>
        <v>1607.7627928464599</v>
      </c>
      <c r="R24" s="390">
        <f t="shared" si="13"/>
        <v>607.04209020066799</v>
      </c>
      <c r="S24" s="390">
        <f t="shared" si="13"/>
        <v>81546.781830851614</v>
      </c>
    </row>
    <row r="25" spans="1:23" ht="8.1" customHeight="1"/>
    <row r="26" spans="1:23" ht="13.5" customHeight="1">
      <c r="A26" s="435" t="s">
        <v>250</v>
      </c>
      <c r="B26" s="435"/>
      <c r="C26" s="435"/>
      <c r="D26" s="435"/>
      <c r="E26" s="435"/>
      <c r="F26" s="435"/>
      <c r="G26" s="435"/>
      <c r="H26" s="435"/>
      <c r="I26" s="435"/>
      <c r="J26" s="60"/>
      <c r="K26" s="435" t="s">
        <v>251</v>
      </c>
      <c r="L26" s="435"/>
      <c r="M26" s="435"/>
      <c r="N26" s="435"/>
      <c r="O26" s="435"/>
      <c r="P26" s="435"/>
      <c r="Q26" s="435"/>
      <c r="R26" s="435"/>
      <c r="S26" s="435"/>
    </row>
    <row r="27" spans="1:23" ht="8.1" customHeight="1">
      <c r="D27" s="61"/>
      <c r="E27" s="62" t="s">
        <v>198</v>
      </c>
      <c r="F27" s="62" t="s">
        <v>199</v>
      </c>
      <c r="G27" s="63"/>
      <c r="H27" s="63"/>
      <c r="L27" s="63"/>
      <c r="M27" s="62"/>
      <c r="N27" s="62" t="s">
        <v>200</v>
      </c>
      <c r="O27" s="61" t="s">
        <v>201</v>
      </c>
    </row>
    <row r="28" spans="1:23" ht="8.1" customHeight="1">
      <c r="D28" s="61" t="str">
        <f>A6</f>
        <v>Leden</v>
      </c>
      <c r="E28" s="62">
        <f>B6</f>
        <v>3368.4318376071833</v>
      </c>
      <c r="F28" s="62">
        <f>C6*-1</f>
        <v>-2936.875920396245</v>
      </c>
      <c r="G28" s="63"/>
      <c r="L28" s="63"/>
      <c r="M28" s="62" t="str">
        <f>A6</f>
        <v>Leden</v>
      </c>
      <c r="N28" s="62">
        <f>E6</f>
        <v>678.60557000000006</v>
      </c>
      <c r="O28" s="62">
        <f>F6*-1</f>
        <v>-2.2123170000000001</v>
      </c>
    </row>
    <row r="29" spans="1:23" ht="8.1" customHeight="1">
      <c r="D29" s="61" t="str">
        <f t="shared" ref="D29:D39" si="14">A7</f>
        <v>Únor</v>
      </c>
      <c r="E29" s="62">
        <f t="shared" ref="E29:E39" si="15">B7</f>
        <v>3030.8876179384415</v>
      </c>
      <c r="F29" s="62">
        <f t="shared" ref="F29:F39" si="16">C7*-1</f>
        <v>-2527.7966007449631</v>
      </c>
      <c r="G29" s="63"/>
      <c r="L29" s="63"/>
      <c r="M29" s="62" t="str">
        <f t="shared" ref="M29:M39" si="17">A7</f>
        <v>Únor</v>
      </c>
      <c r="N29" s="62">
        <f t="shared" ref="N29:N39" si="18">E7</f>
        <v>384.90369700000002</v>
      </c>
      <c r="O29" s="62">
        <f t="shared" ref="O29:O39" si="19">F7*-1</f>
        <v>-13.730227999999999</v>
      </c>
    </row>
    <row r="30" spans="1:23" ht="8.1" customHeight="1">
      <c r="D30" s="61" t="str">
        <f t="shared" si="14"/>
        <v>Březen</v>
      </c>
      <c r="E30" s="62">
        <f t="shared" si="15"/>
        <v>3740.0577454539725</v>
      </c>
      <c r="F30" s="62">
        <f t="shared" si="16"/>
        <v>-3041.2181782033535</v>
      </c>
      <c r="G30" s="63"/>
      <c r="L30" s="63"/>
      <c r="M30" s="62" t="str">
        <f t="shared" si="17"/>
        <v>Březen</v>
      </c>
      <c r="N30" s="62">
        <f t="shared" si="18"/>
        <v>267.33676600000001</v>
      </c>
      <c r="O30" s="62">
        <f t="shared" si="19"/>
        <v>-82.844617999999983</v>
      </c>
    </row>
    <row r="31" spans="1:23" ht="8.1" customHeight="1">
      <c r="D31" s="61" t="str">
        <f t="shared" si="14"/>
        <v>Duben</v>
      </c>
      <c r="E31" s="62">
        <f t="shared" si="15"/>
        <v>3646.2681503652043</v>
      </c>
      <c r="F31" s="62">
        <f t="shared" si="16"/>
        <v>-2450.724807779794</v>
      </c>
      <c r="G31" s="63"/>
      <c r="L31" s="63"/>
      <c r="M31" s="62" t="str">
        <f t="shared" si="17"/>
        <v>Duben</v>
      </c>
      <c r="N31" s="62">
        <f t="shared" si="18"/>
        <v>58.112975999999996</v>
      </c>
      <c r="O31" s="62">
        <f t="shared" si="19"/>
        <v>-583.95101499999998</v>
      </c>
    </row>
    <row r="32" spans="1:23" ht="8.1" customHeight="1">
      <c r="D32" s="61" t="str">
        <f t="shared" si="14"/>
        <v>Květen</v>
      </c>
      <c r="E32" s="62">
        <f t="shared" si="15"/>
        <v>3600.6119231410016</v>
      </c>
      <c r="F32" s="62">
        <f t="shared" si="16"/>
        <v>-2386.8278837610524</v>
      </c>
      <c r="G32" s="63"/>
      <c r="L32" s="63"/>
      <c r="M32" s="62" t="str">
        <f t="shared" si="17"/>
        <v>Květen</v>
      </c>
      <c r="N32" s="62">
        <f t="shared" si="18"/>
        <v>0</v>
      </c>
      <c r="O32" s="62">
        <f t="shared" si="19"/>
        <v>-843.36109899999997</v>
      </c>
    </row>
    <row r="33" spans="4:15" ht="8.1" customHeight="1">
      <c r="D33" s="61" t="str">
        <f t="shared" si="14"/>
        <v>Červen</v>
      </c>
      <c r="E33" s="62">
        <f t="shared" si="15"/>
        <v>2992.0868665099147</v>
      </c>
      <c r="F33" s="62">
        <f t="shared" si="16"/>
        <v>-2183.7793839814467</v>
      </c>
      <c r="G33" s="63"/>
      <c r="L33" s="63"/>
      <c r="M33" s="62" t="str">
        <f t="shared" si="17"/>
        <v>Červen</v>
      </c>
      <c r="N33" s="62">
        <f t="shared" si="18"/>
        <v>1.0541230000000001</v>
      </c>
      <c r="O33" s="62">
        <f t="shared" si="19"/>
        <v>-488.84463900000003</v>
      </c>
    </row>
    <row r="34" spans="4:15" ht="8.1" customHeight="1">
      <c r="D34" s="61" t="str">
        <f t="shared" si="14"/>
        <v>Červenec</v>
      </c>
      <c r="E34" s="62">
        <f t="shared" si="15"/>
        <v>1764.5666832355819</v>
      </c>
      <c r="F34" s="62">
        <f t="shared" si="16"/>
        <v>-1059.5208547861516</v>
      </c>
      <c r="G34" s="63"/>
      <c r="L34" s="63"/>
      <c r="M34" s="62" t="str">
        <f t="shared" si="17"/>
        <v>Červenec</v>
      </c>
      <c r="N34" s="62">
        <f t="shared" si="18"/>
        <v>0.967611</v>
      </c>
      <c r="O34" s="62">
        <f t="shared" si="19"/>
        <v>-419.18194199999999</v>
      </c>
    </row>
    <row r="35" spans="4:15" ht="8.1" customHeight="1">
      <c r="D35" s="61" t="str">
        <f t="shared" si="14"/>
        <v>Srpen</v>
      </c>
      <c r="E35" s="62">
        <f t="shared" si="15"/>
        <v>1260.4085447814048</v>
      </c>
      <c r="F35" s="62">
        <f t="shared" si="16"/>
        <v>-841.7128717077677</v>
      </c>
      <c r="G35" s="63"/>
      <c r="L35" s="63"/>
      <c r="M35" s="62" t="str">
        <f t="shared" si="17"/>
        <v>Srpen</v>
      </c>
      <c r="N35" s="62">
        <f t="shared" si="18"/>
        <v>1.9614500000000001</v>
      </c>
      <c r="O35" s="62">
        <f t="shared" si="19"/>
        <v>-132.453382</v>
      </c>
    </row>
    <row r="36" spans="4:15" ht="8.1" customHeight="1">
      <c r="D36" s="61" t="str">
        <f t="shared" si="14"/>
        <v>Září</v>
      </c>
      <c r="E36" s="62">
        <f t="shared" si="15"/>
        <v>776.19697855963193</v>
      </c>
      <c r="F36" s="62">
        <f t="shared" si="16"/>
        <v>-253.64251109221692</v>
      </c>
      <c r="G36" s="63"/>
      <c r="L36" s="63"/>
      <c r="M36" s="62" t="str">
        <f t="shared" si="17"/>
        <v>Září</v>
      </c>
      <c r="N36" s="62">
        <f t="shared" si="18"/>
        <v>3.5981879999999999</v>
      </c>
      <c r="O36" s="62">
        <f t="shared" si="19"/>
        <v>-156.05039400000001</v>
      </c>
    </row>
    <row r="37" spans="4:15" ht="8.1" customHeight="1">
      <c r="D37" s="61" t="str">
        <f t="shared" si="14"/>
        <v>Říjen</v>
      </c>
      <c r="E37" s="62">
        <f t="shared" si="15"/>
        <v>1243.3218232701938</v>
      </c>
      <c r="F37" s="62">
        <f t="shared" si="16"/>
        <v>-436.39778217979762</v>
      </c>
      <c r="G37" s="63"/>
      <c r="L37" s="63"/>
      <c r="M37" s="62" t="str">
        <f t="shared" si="17"/>
        <v>Říjen</v>
      </c>
      <c r="N37" s="62">
        <f t="shared" si="18"/>
        <v>4.3354999999999998E-2</v>
      </c>
      <c r="O37" s="62">
        <f t="shared" si="19"/>
        <v>-312.054394</v>
      </c>
    </row>
    <row r="38" spans="4:15" ht="8.1" customHeight="1">
      <c r="D38" s="61" t="str">
        <f t="shared" si="14"/>
        <v>Listopad</v>
      </c>
      <c r="E38" s="62">
        <f t="shared" si="15"/>
        <v>1046.5306776577318</v>
      </c>
      <c r="F38" s="62">
        <f t="shared" si="16"/>
        <v>-298.48748553622977</v>
      </c>
      <c r="G38" s="63"/>
      <c r="L38" s="63"/>
      <c r="M38" s="62" t="str">
        <f t="shared" si="17"/>
        <v>Listopad</v>
      </c>
      <c r="N38" s="62">
        <f t="shared" si="18"/>
        <v>90.356905999999995</v>
      </c>
      <c r="O38" s="62">
        <f t="shared" si="19"/>
        <v>-98.602405000000005</v>
      </c>
    </row>
    <row r="39" spans="4:15" ht="8.1" customHeight="1">
      <c r="D39" s="61" t="str">
        <f t="shared" si="14"/>
        <v>Prosinec</v>
      </c>
      <c r="E39" s="62">
        <f t="shared" si="15"/>
        <v>615.20458505997794</v>
      </c>
      <c r="F39" s="62">
        <f t="shared" si="16"/>
        <v>-55.576579048827142</v>
      </c>
      <c r="M39" s="62" t="str">
        <f t="shared" si="17"/>
        <v>Prosinec</v>
      </c>
      <c r="N39" s="62">
        <f t="shared" si="18"/>
        <v>476.41323899999992</v>
      </c>
      <c r="O39" s="62">
        <f t="shared" si="19"/>
        <v>-84.486763999999994</v>
      </c>
    </row>
    <row r="40" spans="4:15" ht="12" customHeight="1">
      <c r="M40" s="63"/>
    </row>
    <row r="41" spans="4:15" ht="12" customHeight="1"/>
    <row r="42" spans="4:15" ht="12" customHeight="1"/>
    <row r="43" spans="4:15" ht="12" customHeight="1"/>
  </sheetData>
  <mergeCells count="16">
    <mergeCell ref="K4:M4"/>
    <mergeCell ref="A26:I26"/>
    <mergeCell ref="K26:S26"/>
    <mergeCell ref="B2:S2"/>
    <mergeCell ref="A1:S1"/>
    <mergeCell ref="N4:P4"/>
    <mergeCell ref="H4:H5"/>
    <mergeCell ref="I4:I5"/>
    <mergeCell ref="J4:J5"/>
    <mergeCell ref="B3:J3"/>
    <mergeCell ref="K3:S3"/>
    <mergeCell ref="Q4:Q5"/>
    <mergeCell ref="R4:R5"/>
    <mergeCell ref="S4:S5"/>
    <mergeCell ref="B4:D4"/>
    <mergeCell ref="E4:G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1 B23:S23 C22:S22 C18 E18:F18 H18:K18 M18:Q18 B19:N19 P19:S19 S1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V56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140625" style="12" customWidth="1"/>
    <col min="2" max="3" width="7.7109375" style="12" customWidth="1"/>
    <col min="4" max="4" width="7.28515625" style="12" customWidth="1"/>
    <col min="5" max="6" width="7.7109375" style="12" customWidth="1"/>
    <col min="7" max="7" width="7.42578125" style="12" customWidth="1"/>
    <col min="8" max="8" width="9.140625" style="12" customWidth="1"/>
    <col min="9" max="12" width="7.7109375" style="12" customWidth="1"/>
    <col min="13" max="13" width="9" style="12" customWidth="1"/>
    <col min="14" max="18" width="4.7109375" style="12" customWidth="1"/>
    <col min="19" max="20" width="6.7109375" style="12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20.25">
      <c r="A1" s="69" t="s">
        <v>290</v>
      </c>
    </row>
    <row r="2" spans="1:22" ht="18">
      <c r="A2" s="378" t="s">
        <v>296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2" ht="6" customHeight="1">
      <c r="A3" s="207"/>
      <c r="B3" s="208"/>
      <c r="C3" s="208"/>
      <c r="D3" s="208"/>
      <c r="E3" s="208"/>
      <c r="F3" s="208"/>
      <c r="G3" s="208"/>
      <c r="H3" s="208"/>
      <c r="I3" s="208"/>
      <c r="J3" s="208"/>
      <c r="K3" s="209"/>
      <c r="L3" s="208"/>
      <c r="M3" s="208"/>
      <c r="N3" s="208"/>
      <c r="O3" s="208"/>
      <c r="P3" s="208"/>
      <c r="Q3" s="208"/>
      <c r="R3" s="208"/>
    </row>
    <row r="4" spans="1:22" ht="15.95" customHeight="1">
      <c r="A4" s="206">
        <f>'3.1'!A4</f>
        <v>2022</v>
      </c>
      <c r="B4" s="444" t="s">
        <v>262</v>
      </c>
      <c r="C4" s="447"/>
      <c r="D4" s="447"/>
      <c r="E4" s="447"/>
      <c r="F4" s="447"/>
      <c r="G4" s="447"/>
      <c r="H4" s="446"/>
      <c r="I4" s="444" t="s">
        <v>220</v>
      </c>
      <c r="J4" s="447"/>
      <c r="K4" s="447"/>
      <c r="L4" s="447"/>
      <c r="M4" s="447"/>
      <c r="N4" s="444" t="s">
        <v>232</v>
      </c>
      <c r="O4" s="447"/>
      <c r="P4" s="447"/>
      <c r="Q4" s="447"/>
      <c r="R4" s="446"/>
      <c r="S4" s="233" t="s">
        <v>262</v>
      </c>
      <c r="T4" s="233" t="s">
        <v>220</v>
      </c>
    </row>
    <row r="5" spans="1:22" ht="36.75" customHeight="1">
      <c r="A5" s="220"/>
      <c r="B5" s="448" t="s">
        <v>155</v>
      </c>
      <c r="C5" s="441"/>
      <c r="D5" s="441"/>
      <c r="E5" s="441" t="s">
        <v>156</v>
      </c>
      <c r="F5" s="441"/>
      <c r="G5" s="441"/>
      <c r="H5" s="198" t="s">
        <v>153</v>
      </c>
      <c r="I5" s="448" t="s">
        <v>155</v>
      </c>
      <c r="J5" s="441"/>
      <c r="K5" s="441" t="s">
        <v>156</v>
      </c>
      <c r="L5" s="441"/>
      <c r="M5" s="197" t="s">
        <v>153</v>
      </c>
      <c r="N5" s="448" t="s">
        <v>265</v>
      </c>
      <c r="O5" s="441"/>
      <c r="P5" s="441"/>
      <c r="Q5" s="441"/>
      <c r="R5" s="443"/>
      <c r="S5" s="440" t="s">
        <v>154</v>
      </c>
      <c r="T5" s="440"/>
    </row>
    <row r="6" spans="1:22" ht="44.25" customHeight="1">
      <c r="A6" s="229"/>
      <c r="B6" s="236">
        <f>A4</f>
        <v>2022</v>
      </c>
      <c r="C6" s="237">
        <f>B6-1</f>
        <v>2021</v>
      </c>
      <c r="D6" s="195" t="s">
        <v>266</v>
      </c>
      <c r="E6" s="237">
        <f>B6</f>
        <v>2022</v>
      </c>
      <c r="F6" s="237">
        <f>C6</f>
        <v>2021</v>
      </c>
      <c r="G6" s="195" t="s">
        <v>267</v>
      </c>
      <c r="H6" s="238">
        <f>B6</f>
        <v>2022</v>
      </c>
      <c r="I6" s="236">
        <f>B6</f>
        <v>2022</v>
      </c>
      <c r="J6" s="237">
        <f>C6</f>
        <v>2021</v>
      </c>
      <c r="K6" s="237">
        <f>B6</f>
        <v>2022</v>
      </c>
      <c r="L6" s="237">
        <f>C6</f>
        <v>2021</v>
      </c>
      <c r="M6" s="237">
        <f>B6</f>
        <v>2022</v>
      </c>
      <c r="N6" s="230" t="s">
        <v>62</v>
      </c>
      <c r="O6" s="231" t="s">
        <v>174</v>
      </c>
      <c r="P6" s="231" t="s">
        <v>175</v>
      </c>
      <c r="Q6" s="231" t="s">
        <v>114</v>
      </c>
      <c r="R6" s="232" t="s">
        <v>116</v>
      </c>
      <c r="S6" s="441"/>
      <c r="T6" s="441"/>
    </row>
    <row r="7" spans="1:22" ht="12" customHeight="1">
      <c r="A7" s="177" t="s">
        <v>161</v>
      </c>
      <c r="B7" s="184">
        <v>1134.2625732048143</v>
      </c>
      <c r="C7" s="178">
        <v>1273.1091500516641</v>
      </c>
      <c r="D7" s="212">
        <v>-0.10906101557844841</v>
      </c>
      <c r="E7" s="179">
        <v>1205.7431048765241</v>
      </c>
      <c r="F7" s="179">
        <v>1283.925619090659</v>
      </c>
      <c r="G7" s="212">
        <v>-6.089333607153017E-2</v>
      </c>
      <c r="H7" s="186">
        <v>1205.7431048765241</v>
      </c>
      <c r="I7" s="190">
        <v>12118.789925745998</v>
      </c>
      <c r="J7" s="179">
        <v>13598.778336891666</v>
      </c>
      <c r="K7" s="179">
        <v>12882.508633895299</v>
      </c>
      <c r="L7" s="178">
        <v>13714.314985766725</v>
      </c>
      <c r="M7" s="178">
        <v>12882.508633895299</v>
      </c>
      <c r="N7" s="184">
        <v>0.78709677419354818</v>
      </c>
      <c r="O7" s="178">
        <v>8.6</v>
      </c>
      <c r="P7" s="178">
        <v>-3.8</v>
      </c>
      <c r="Q7" s="178">
        <v>-1.2258064516129035</v>
      </c>
      <c r="R7" s="188">
        <v>2.0129032258064514</v>
      </c>
      <c r="S7" s="210">
        <v>74.624275932857174</v>
      </c>
      <c r="T7" s="210">
        <v>797.307178999999</v>
      </c>
      <c r="U7" s="57"/>
      <c r="V7" s="68"/>
    </row>
    <row r="8" spans="1:22" ht="12" customHeight="1">
      <c r="A8" s="177" t="s">
        <v>162</v>
      </c>
      <c r="B8" s="184">
        <v>890.50037327489224</v>
      </c>
      <c r="C8" s="179">
        <v>1165.2067587806339</v>
      </c>
      <c r="D8" s="212">
        <v>-0.23575763136940306</v>
      </c>
      <c r="E8" s="179">
        <v>992.34776233082323</v>
      </c>
      <c r="F8" s="179">
        <v>1146.9243592637986</v>
      </c>
      <c r="G8" s="212">
        <v>-0.13477488352605643</v>
      </c>
      <c r="H8" s="186">
        <v>992.34776233082323</v>
      </c>
      <c r="I8" s="190">
        <v>9526.9687340309974</v>
      </c>
      <c r="J8" s="179">
        <v>12450.501212999245</v>
      </c>
      <c r="K8" s="179">
        <v>10616.577363402139</v>
      </c>
      <c r="L8" s="178">
        <v>12255.149584933597</v>
      </c>
      <c r="M8" s="178">
        <v>10616.577363402139</v>
      </c>
      <c r="N8" s="190">
        <v>3.0892857142857144</v>
      </c>
      <c r="O8" s="179">
        <v>6.7</v>
      </c>
      <c r="P8" s="179">
        <v>-2</v>
      </c>
      <c r="Q8" s="179">
        <v>-0.15517241379310354</v>
      </c>
      <c r="R8" s="188">
        <v>3.2444581280788181</v>
      </c>
      <c r="S8" s="210">
        <v>41.797281820219396</v>
      </c>
      <c r="T8" s="210">
        <v>447.16588500000057</v>
      </c>
      <c r="U8" s="57"/>
      <c r="V8" s="68"/>
    </row>
    <row r="9" spans="1:22" ht="12" customHeight="1">
      <c r="A9" s="180" t="s">
        <v>163</v>
      </c>
      <c r="B9" s="185">
        <v>922.61982519439664</v>
      </c>
      <c r="C9" s="182">
        <v>1091.1742333659163</v>
      </c>
      <c r="D9" s="215">
        <v>-0.15447066382018967</v>
      </c>
      <c r="E9" s="182">
        <v>915.4910560358029</v>
      </c>
      <c r="F9" s="182">
        <v>1071.0224170552283</v>
      </c>
      <c r="G9" s="215">
        <v>-0.1452176523504132</v>
      </c>
      <c r="H9" s="187">
        <v>915.4910560358029</v>
      </c>
      <c r="I9" s="191">
        <v>9909.4544420370003</v>
      </c>
      <c r="J9" s="182">
        <v>11642.422582350146</v>
      </c>
      <c r="K9" s="182">
        <v>9832.8874625771787</v>
      </c>
      <c r="L9" s="181">
        <v>11427.410209333224</v>
      </c>
      <c r="M9" s="189">
        <v>9832.8874625771787</v>
      </c>
      <c r="N9" s="191">
        <v>3.3161290322580643</v>
      </c>
      <c r="O9" s="182">
        <v>9.8000000000000007</v>
      </c>
      <c r="P9" s="182">
        <v>-2.1</v>
      </c>
      <c r="Q9" s="182">
        <v>3.512903225806451</v>
      </c>
      <c r="R9" s="189">
        <v>-0.19677419354838666</v>
      </c>
      <c r="S9" s="216">
        <v>71.652965030747765</v>
      </c>
      <c r="T9" s="216">
        <v>769.59327900000153</v>
      </c>
      <c r="U9" s="57"/>
      <c r="V9" s="68"/>
    </row>
    <row r="10" spans="1:22" ht="12" customHeight="1">
      <c r="A10" s="177" t="s">
        <v>164</v>
      </c>
      <c r="B10" s="184">
        <v>671.36203982845257</v>
      </c>
      <c r="C10" s="179">
        <v>882.21591334015864</v>
      </c>
      <c r="D10" s="212">
        <v>-0.23900484033822514</v>
      </c>
      <c r="E10" s="179">
        <v>605.2961340668877</v>
      </c>
      <c r="F10" s="179">
        <v>783.3973331043785</v>
      </c>
      <c r="G10" s="212">
        <v>-0.22734465833796871</v>
      </c>
      <c r="H10" s="186">
        <v>605.2961340668877</v>
      </c>
      <c r="I10" s="190">
        <v>7237.9839086889997</v>
      </c>
      <c r="J10" s="179">
        <v>9418.4088102613405</v>
      </c>
      <c r="K10" s="179">
        <v>6525.7244503833781</v>
      </c>
      <c r="L10" s="178">
        <v>8363.4360165986054</v>
      </c>
      <c r="M10" s="178">
        <v>6525.7244503833781</v>
      </c>
      <c r="N10" s="184">
        <v>6.6166666666666663</v>
      </c>
      <c r="O10" s="178">
        <v>13.3</v>
      </c>
      <c r="P10" s="178">
        <v>-1</v>
      </c>
      <c r="Q10" s="178">
        <v>8.6366666666666667</v>
      </c>
      <c r="R10" s="188">
        <v>-2.0200000000000005</v>
      </c>
      <c r="S10" s="210">
        <v>20.144951341097272</v>
      </c>
      <c r="T10" s="210">
        <v>217.18357799999998</v>
      </c>
      <c r="U10" s="57"/>
      <c r="V10" s="68"/>
    </row>
    <row r="11" spans="1:22" ht="12" customHeight="1">
      <c r="A11" s="177" t="s">
        <v>165</v>
      </c>
      <c r="B11" s="184">
        <v>388.89642773175905</v>
      </c>
      <c r="C11" s="179">
        <v>583.12096512511641</v>
      </c>
      <c r="D11" s="212">
        <v>-0.33307760998043329</v>
      </c>
      <c r="E11" s="179">
        <v>408.72629326716236</v>
      </c>
      <c r="F11" s="179">
        <v>531.23739759003411</v>
      </c>
      <c r="G11" s="212">
        <v>-0.23061460823098126</v>
      </c>
      <c r="H11" s="186">
        <v>408.72629326716236</v>
      </c>
      <c r="I11" s="190">
        <v>4179.6571014479996</v>
      </c>
      <c r="J11" s="179">
        <v>6226.3806927155729</v>
      </c>
      <c r="K11" s="179">
        <v>4392.7782113260655</v>
      </c>
      <c r="L11" s="178">
        <v>5672.3844166593235</v>
      </c>
      <c r="M11" s="178">
        <v>4392.7782113260655</v>
      </c>
      <c r="N11" s="190">
        <v>14.500000000000002</v>
      </c>
      <c r="O11" s="179">
        <v>20.6</v>
      </c>
      <c r="P11" s="179">
        <v>9.6999999999999993</v>
      </c>
      <c r="Q11" s="179">
        <v>13.522580645161288</v>
      </c>
      <c r="R11" s="188">
        <v>0.97741935483871423</v>
      </c>
      <c r="S11" s="210">
        <v>41.189720334021821</v>
      </c>
      <c r="T11" s="210">
        <v>442.68606199999959</v>
      </c>
      <c r="U11" s="57"/>
      <c r="V11" s="68"/>
    </row>
    <row r="12" spans="1:22" ht="12" customHeight="1">
      <c r="A12" s="180" t="s">
        <v>166</v>
      </c>
      <c r="B12" s="185">
        <v>336.35371810523372</v>
      </c>
      <c r="C12" s="182">
        <v>415.25958095448908</v>
      </c>
      <c r="D12" s="215">
        <v>-0.19001575512812346</v>
      </c>
      <c r="E12" s="182">
        <v>343.04053123321125</v>
      </c>
      <c r="F12" s="182">
        <v>423.47888333731743</v>
      </c>
      <c r="G12" s="215">
        <v>-0.18994654814944784</v>
      </c>
      <c r="H12" s="187">
        <v>343.04053123321125</v>
      </c>
      <c r="I12" s="191">
        <v>3649.5234233930014</v>
      </c>
      <c r="J12" s="182">
        <v>4436.5117991174047</v>
      </c>
      <c r="K12" s="182">
        <v>3722.0770472264999</v>
      </c>
      <c r="L12" s="181">
        <v>4524.3244196428977</v>
      </c>
      <c r="M12" s="189">
        <v>3722.0770472264999</v>
      </c>
      <c r="N12" s="191">
        <v>18.956666666666667</v>
      </c>
      <c r="O12" s="182">
        <v>25</v>
      </c>
      <c r="P12" s="182">
        <v>14.7</v>
      </c>
      <c r="Q12" s="182">
        <v>16.59</v>
      </c>
      <c r="R12" s="189">
        <v>2.3666666666666671</v>
      </c>
      <c r="S12" s="216">
        <v>54.094859195698191</v>
      </c>
      <c r="T12" s="216">
        <v>586.94163000000049</v>
      </c>
      <c r="U12" s="66"/>
      <c r="V12" s="68"/>
    </row>
    <row r="13" spans="1:22" ht="12" customHeight="1">
      <c r="A13" s="177" t="s">
        <v>167</v>
      </c>
      <c r="B13" s="184">
        <v>288.56926119243906</v>
      </c>
      <c r="C13" s="179">
        <v>382.26749122851908</v>
      </c>
      <c r="D13" s="212">
        <v>-0.24511168798308125</v>
      </c>
      <c r="E13" s="179">
        <v>290.00651385366569</v>
      </c>
      <c r="F13" s="179">
        <v>385.01381832880293</v>
      </c>
      <c r="G13" s="212">
        <v>-0.24676336264378104</v>
      </c>
      <c r="H13" s="186">
        <v>280</v>
      </c>
      <c r="I13" s="190">
        <v>3138.9657122920003</v>
      </c>
      <c r="J13" s="179">
        <v>4081.9397439643967</v>
      </c>
      <c r="K13" s="179">
        <v>3154.5996949443738</v>
      </c>
      <c r="L13" s="178">
        <v>4111.2656531714492</v>
      </c>
      <c r="M13" s="178">
        <v>2980</v>
      </c>
      <c r="N13" s="184">
        <v>18.874193548387094</v>
      </c>
      <c r="O13" s="178">
        <v>24.9</v>
      </c>
      <c r="P13" s="178">
        <v>13.3</v>
      </c>
      <c r="Q13" s="178">
        <v>18.522580645161291</v>
      </c>
      <c r="R13" s="188">
        <v>0.35161290322580285</v>
      </c>
      <c r="S13" s="210">
        <v>31.227703551804204</v>
      </c>
      <c r="T13" s="210">
        <v>339.68520199999955</v>
      </c>
      <c r="U13" s="57"/>
      <c r="V13" s="65"/>
    </row>
    <row r="14" spans="1:22" ht="12" customHeight="1">
      <c r="A14" s="177" t="s">
        <v>168</v>
      </c>
      <c r="B14" s="184">
        <v>311.10451066410326</v>
      </c>
      <c r="C14" s="179">
        <v>363.44071679746889</v>
      </c>
      <c r="D14" s="212">
        <v>-0.14400204411475043</v>
      </c>
      <c r="E14" s="179">
        <v>316.66361055716817</v>
      </c>
      <c r="F14" s="179">
        <v>355.73549433169762</v>
      </c>
      <c r="G14" s="212">
        <v>-0.10983408852111268</v>
      </c>
      <c r="H14" s="186">
        <v>290</v>
      </c>
      <c r="I14" s="190">
        <v>3377.6223941210001</v>
      </c>
      <c r="J14" s="179">
        <v>3873.7501156336721</v>
      </c>
      <c r="K14" s="179">
        <v>3437.9768398019391</v>
      </c>
      <c r="L14" s="178">
        <v>3791.6236365732707</v>
      </c>
      <c r="M14" s="178">
        <v>3090</v>
      </c>
      <c r="N14" s="190">
        <v>19.361290322580643</v>
      </c>
      <c r="O14" s="179">
        <v>25.2</v>
      </c>
      <c r="P14" s="179">
        <v>15</v>
      </c>
      <c r="Q14" s="179">
        <v>18.119354838709679</v>
      </c>
      <c r="R14" s="188">
        <v>1.2419354838709644</v>
      </c>
      <c r="S14" s="210">
        <v>53.527349882236706</v>
      </c>
      <c r="T14" s="210">
        <v>581.13929999999925</v>
      </c>
      <c r="U14" s="57"/>
      <c r="V14" s="65"/>
    </row>
    <row r="15" spans="1:22" ht="12" customHeight="1">
      <c r="A15" s="180" t="s">
        <v>169</v>
      </c>
      <c r="B15" s="185">
        <v>383.35752637665405</v>
      </c>
      <c r="C15" s="182">
        <v>429.16409860486493</v>
      </c>
      <c r="D15" s="215">
        <v>-0.10673439921260838</v>
      </c>
      <c r="E15" s="182">
        <v>364.5525872537109</v>
      </c>
      <c r="F15" s="182">
        <v>453.30654023794932</v>
      </c>
      <c r="G15" s="215">
        <v>-0.19579235044270432</v>
      </c>
      <c r="H15" s="187">
        <v>400</v>
      </c>
      <c r="I15" s="191">
        <v>4195.2896770559992</v>
      </c>
      <c r="J15" s="182">
        <v>4575.0590896934445</v>
      </c>
      <c r="K15" s="182">
        <v>3989.4970121100205</v>
      </c>
      <c r="L15" s="181">
        <v>4832.4270694473416</v>
      </c>
      <c r="M15" s="181">
        <v>4260</v>
      </c>
      <c r="N15" s="191">
        <v>12.16</v>
      </c>
      <c r="O15" s="182">
        <v>18.100000000000001</v>
      </c>
      <c r="P15" s="182">
        <v>7.7</v>
      </c>
      <c r="Q15" s="182">
        <v>13.223333333333333</v>
      </c>
      <c r="R15" s="189">
        <v>-1.0633333333333326</v>
      </c>
      <c r="S15" s="216">
        <v>46.027365517677886</v>
      </c>
      <c r="T15" s="216">
        <v>503.70189500000004</v>
      </c>
      <c r="U15" s="57"/>
      <c r="V15" s="65"/>
    </row>
    <row r="16" spans="1:22" ht="12" customHeight="1">
      <c r="A16" s="177" t="s">
        <v>170</v>
      </c>
      <c r="B16" s="184">
        <v>507.61226713839142</v>
      </c>
      <c r="C16" s="179">
        <v>710.64530506306801</v>
      </c>
      <c r="D16" s="212">
        <v>-0.2857023559828597</v>
      </c>
      <c r="E16" s="179">
        <v>577.43339153499517</v>
      </c>
      <c r="F16" s="179">
        <v>706.09674405398198</v>
      </c>
      <c r="G16" s="212">
        <v>-0.18221773942799874</v>
      </c>
      <c r="H16" s="186">
        <v>670</v>
      </c>
      <c r="I16" s="190">
        <v>5563.662828597001</v>
      </c>
      <c r="J16" s="179">
        <v>7601.8089078956318</v>
      </c>
      <c r="K16" s="179">
        <v>6328.9343155256738</v>
      </c>
      <c r="L16" s="178">
        <v>7553.1527198498834</v>
      </c>
      <c r="M16" s="178">
        <v>7140</v>
      </c>
      <c r="N16" s="184">
        <v>10.777419354838711</v>
      </c>
      <c r="O16" s="178">
        <v>14.9</v>
      </c>
      <c r="P16" s="178">
        <v>6.4</v>
      </c>
      <c r="Q16" s="178">
        <v>8.3548387096774199</v>
      </c>
      <c r="R16" s="188">
        <v>2.4225806451612915</v>
      </c>
      <c r="S16" s="210">
        <v>53.016686529305034</v>
      </c>
      <c r="T16" s="210">
        <v>581.08689499999946</v>
      </c>
      <c r="U16" s="57"/>
      <c r="V16" s="65"/>
    </row>
    <row r="17" spans="1:22" ht="12" customHeight="1">
      <c r="A17" s="177" t="s">
        <v>171</v>
      </c>
      <c r="B17" s="184">
        <v>742.97073046417756</v>
      </c>
      <c r="C17" s="179">
        <v>976.24192688788401</v>
      </c>
      <c r="D17" s="212">
        <v>-0.23894814389640157</v>
      </c>
      <c r="E17" s="179">
        <v>772.59063952517204</v>
      </c>
      <c r="F17" s="179">
        <v>986.6655418940195</v>
      </c>
      <c r="G17" s="212">
        <v>-0.21696805379247941</v>
      </c>
      <c r="H17" s="186">
        <v>890</v>
      </c>
      <c r="I17" s="190">
        <v>8121.0956477219997</v>
      </c>
      <c r="J17" s="179">
        <v>10424.295084390295</v>
      </c>
      <c r="K17" s="179">
        <v>8444.8582196484604</v>
      </c>
      <c r="L17" s="178">
        <v>10535.598272337184</v>
      </c>
      <c r="M17" s="178">
        <v>9480</v>
      </c>
      <c r="N17" s="190">
        <v>4.2466666666666661</v>
      </c>
      <c r="O17" s="179">
        <v>10.4</v>
      </c>
      <c r="P17" s="179">
        <v>-3.5</v>
      </c>
      <c r="Q17" s="179">
        <v>3.5466666666666664</v>
      </c>
      <c r="R17" s="188">
        <v>0.69999999999999973</v>
      </c>
      <c r="S17" s="210">
        <v>53.000555958569521</v>
      </c>
      <c r="T17" s="210">
        <v>579.32648300000074</v>
      </c>
      <c r="U17" s="57"/>
      <c r="V17" s="65"/>
    </row>
    <row r="18" spans="1:22" ht="12" customHeight="1">
      <c r="A18" s="180" t="s">
        <v>172</v>
      </c>
      <c r="B18" s="185">
        <v>966.1740838482915</v>
      </c>
      <c r="C18" s="182">
        <v>1161.8881056025075</v>
      </c>
      <c r="D18" s="215">
        <v>-0.16844481048605514</v>
      </c>
      <c r="E18" s="182">
        <v>990.38152332141499</v>
      </c>
      <c r="F18" s="182">
        <v>1192.8079687562265</v>
      </c>
      <c r="G18" s="215">
        <v>-0.16970581245016925</v>
      </c>
      <c r="H18" s="187">
        <v>1090</v>
      </c>
      <c r="I18" s="191">
        <v>10527.768539627999</v>
      </c>
      <c r="J18" s="182">
        <v>12407.620587736272</v>
      </c>
      <c r="K18" s="182">
        <v>10791.541211624151</v>
      </c>
      <c r="L18" s="181">
        <v>12737.808949925529</v>
      </c>
      <c r="M18" s="181">
        <v>11610</v>
      </c>
      <c r="N18" s="191">
        <v>0.43548387096774194</v>
      </c>
      <c r="O18" s="182">
        <v>9.5</v>
      </c>
      <c r="P18" s="182">
        <v>-8.5</v>
      </c>
      <c r="Q18" s="182">
        <v>-0.38387096774193558</v>
      </c>
      <c r="R18" s="189">
        <v>0.81935483870967751</v>
      </c>
      <c r="S18" s="216">
        <v>69.830043535292518</v>
      </c>
      <c r="T18" s="216">
        <v>760.89257300000031</v>
      </c>
      <c r="U18" s="57"/>
      <c r="V18" s="65"/>
    </row>
    <row r="19" spans="1:22" ht="12" customHeight="1">
      <c r="A19" s="177" t="s">
        <v>48</v>
      </c>
      <c r="B19" s="223">
        <f>SUM(B7:B9)</f>
        <v>2947.382771674103</v>
      </c>
      <c r="C19" s="213">
        <v>3529.4901421982145</v>
      </c>
      <c r="D19" s="212">
        <f>(B19-C19)/C19</f>
        <v>-0.16492675912718857</v>
      </c>
      <c r="E19" s="213">
        <f t="shared" ref="E19" si="0">SUM(E7:E9)</f>
        <v>3113.5819232431504</v>
      </c>
      <c r="F19" s="213">
        <v>3501.8723954096859</v>
      </c>
      <c r="G19" s="212">
        <f t="shared" ref="G19:G25" si="1">(E19-F19)/F19</f>
        <v>-0.1108808169810851</v>
      </c>
      <c r="H19" s="383">
        <f>SUM(H7:H9)</f>
        <v>3113.5819232431504</v>
      </c>
      <c r="I19" s="223">
        <f>SUM(I7:I9)</f>
        <v>31555.213101813995</v>
      </c>
      <c r="J19" s="213">
        <v>37691.702132241058</v>
      </c>
      <c r="K19" s="213">
        <f>SUM(K7:K9)</f>
        <v>33331.973459874614</v>
      </c>
      <c r="L19" s="213">
        <v>37396.874780033548</v>
      </c>
      <c r="M19" s="383">
        <f>SUM(M7:M9)</f>
        <v>33331.973459874614</v>
      </c>
      <c r="N19" s="223">
        <f>AVERAGE(N7:N9)</f>
        <v>2.3975038402457756</v>
      </c>
      <c r="O19" s="213">
        <f>MAX(O7:O9)</f>
        <v>9.8000000000000007</v>
      </c>
      <c r="P19" s="213">
        <f>MIN(P7:P9)</f>
        <v>-3.8</v>
      </c>
      <c r="Q19" s="213">
        <f>AVERAGE(Q7:Q9)</f>
        <v>0.71064145346681462</v>
      </c>
      <c r="R19" s="226">
        <f>N19-Q19</f>
        <v>1.6868623867789609</v>
      </c>
      <c r="S19" s="213">
        <f>SUM(S7:S9)</f>
        <v>188.07452278382434</v>
      </c>
      <c r="T19" s="213">
        <f>SUM(T7:T9)</f>
        <v>2014.0663430000011</v>
      </c>
      <c r="U19" s="63"/>
      <c r="V19" s="65"/>
    </row>
    <row r="20" spans="1:22" ht="12" customHeight="1">
      <c r="A20" s="177" t="s">
        <v>56</v>
      </c>
      <c r="B20" s="223">
        <f>SUM(B10:B12)</f>
        <v>1396.6121856654454</v>
      </c>
      <c r="C20" s="213">
        <v>1880.5964594197642</v>
      </c>
      <c r="D20" s="212">
        <f>(B20-C20)/C20</f>
        <v>-0.25735679301642755</v>
      </c>
      <c r="E20" s="213">
        <f t="shared" ref="E20:I20" si="2">SUM(E10:E12)</f>
        <v>1357.0629585672614</v>
      </c>
      <c r="F20" s="213">
        <v>1738.1136140317301</v>
      </c>
      <c r="G20" s="212">
        <f>(E20-F20)/F20</f>
        <v>-0.21923230586784442</v>
      </c>
      <c r="H20" s="226">
        <f>SUM(H10:H12)</f>
        <v>1357.0629585672614</v>
      </c>
      <c r="I20" s="223">
        <f t="shared" si="2"/>
        <v>15067.164433530001</v>
      </c>
      <c r="J20" s="213">
        <v>20081.301302094318</v>
      </c>
      <c r="K20" s="213">
        <f>SUM(K10:K12)</f>
        <v>14640.579708935944</v>
      </c>
      <c r="L20" s="213">
        <v>18560.144852900827</v>
      </c>
      <c r="M20" s="226">
        <f>SUM(M10:M12)</f>
        <v>14640.579708935944</v>
      </c>
      <c r="N20" s="223">
        <f>AVERAGE(N10:N12)</f>
        <v>13.357777777777779</v>
      </c>
      <c r="O20" s="213">
        <f>MAX(O10:O12)</f>
        <v>25</v>
      </c>
      <c r="P20" s="213">
        <f>MIN(P10:P12)</f>
        <v>-1</v>
      </c>
      <c r="Q20" s="213">
        <f>AVERAGE(Q10:Q12)</f>
        <v>12.916415770609319</v>
      </c>
      <c r="R20" s="226">
        <f t="shared" ref="R20:R25" si="3">N20-Q20</f>
        <v>0.44136200716845941</v>
      </c>
      <c r="S20" s="213">
        <f>SUM(S10:S12)</f>
        <v>115.42953087081729</v>
      </c>
      <c r="T20" s="213">
        <f>SUM(T10:T12)</f>
        <v>1246.8112700000001</v>
      </c>
      <c r="V20" s="65"/>
    </row>
    <row r="21" spans="1:22" ht="12" customHeight="1">
      <c r="A21" s="177" t="s">
        <v>63</v>
      </c>
      <c r="B21" s="223">
        <f>SUM(B13:B15)</f>
        <v>983.03129823319637</v>
      </c>
      <c r="C21" s="213">
        <v>1174.8723066308528</v>
      </c>
      <c r="D21" s="212">
        <f t="shared" ref="D21:D25" si="4">(B21-C21)/C21</f>
        <v>-0.16328668853195913</v>
      </c>
      <c r="E21" s="213">
        <f t="shared" ref="E21:K21" si="5">SUM(E13:E15)</f>
        <v>971.2227116645447</v>
      </c>
      <c r="F21" s="213">
        <v>1194.0558528984498</v>
      </c>
      <c r="G21" s="212">
        <f t="shared" si="1"/>
        <v>-0.18661869182500981</v>
      </c>
      <c r="H21" s="226">
        <f>SUM(H13:H15)</f>
        <v>970</v>
      </c>
      <c r="I21" s="223">
        <f t="shared" si="5"/>
        <v>10711.877783469001</v>
      </c>
      <c r="J21" s="213">
        <v>12530.748949291514</v>
      </c>
      <c r="K21" s="213">
        <f t="shared" si="5"/>
        <v>10582.073546856333</v>
      </c>
      <c r="L21" s="213">
        <v>12735.316359192062</v>
      </c>
      <c r="M21" s="226">
        <f>SUM(M13:M15)</f>
        <v>10330</v>
      </c>
      <c r="N21" s="223">
        <f>AVERAGE(N13:N15)</f>
        <v>16.798494623655913</v>
      </c>
      <c r="O21" s="213">
        <f>MAX(O13:O15)</f>
        <v>25.2</v>
      </c>
      <c r="P21" s="213">
        <f>MIN(P13:P15)</f>
        <v>7.7</v>
      </c>
      <c r="Q21" s="213">
        <f>AVERAGE(Q13:Q15)</f>
        <v>16.621756272401431</v>
      </c>
      <c r="R21" s="226">
        <f>N21-Q21</f>
        <v>0.17673835125448178</v>
      </c>
      <c r="S21" s="213">
        <f t="shared" ref="S21:T21" si="6">SUM(S13:S15)</f>
        <v>130.7824189517188</v>
      </c>
      <c r="T21" s="213">
        <f t="shared" si="6"/>
        <v>1424.5263969999987</v>
      </c>
      <c r="V21" s="65"/>
    </row>
    <row r="22" spans="1:22" ht="12" customHeight="1">
      <c r="A22" s="180" t="s">
        <v>57</v>
      </c>
      <c r="B22" s="392">
        <f>SUM(B16:B18)</f>
        <v>2216.7570814508604</v>
      </c>
      <c r="C22" s="217">
        <v>2848.7753375534594</v>
      </c>
      <c r="D22" s="215">
        <f t="shared" si="4"/>
        <v>-0.22185612454977902</v>
      </c>
      <c r="E22" s="217">
        <f t="shared" ref="E22:K22" si="7">SUM(E16:E18)</f>
        <v>2340.4055543815821</v>
      </c>
      <c r="F22" s="217">
        <v>2885.5702547042283</v>
      </c>
      <c r="G22" s="215">
        <f t="shared" si="1"/>
        <v>-0.18892789022685769</v>
      </c>
      <c r="H22" s="227">
        <f>SUM(H16:H18)</f>
        <v>2650</v>
      </c>
      <c r="I22" s="392">
        <f t="shared" si="7"/>
        <v>24212.527015947002</v>
      </c>
      <c r="J22" s="217">
        <v>30433.724580022201</v>
      </c>
      <c r="K22" s="217">
        <f t="shared" si="7"/>
        <v>25565.333746798286</v>
      </c>
      <c r="L22" s="217">
        <v>30826.559942112595</v>
      </c>
      <c r="M22" s="227">
        <f>SUM(M16:M18)</f>
        <v>28230</v>
      </c>
      <c r="N22" s="392">
        <f>AVERAGE(N16:N18)</f>
        <v>5.1531899641577068</v>
      </c>
      <c r="O22" s="217">
        <f>MAX(O16:O18)</f>
        <v>14.9</v>
      </c>
      <c r="P22" s="217">
        <f>MIN(P16:P18)</f>
        <v>-8.5</v>
      </c>
      <c r="Q22" s="217">
        <f>AVERAGE(Q16:Q18)</f>
        <v>3.83921146953405</v>
      </c>
      <c r="R22" s="227">
        <f t="shared" si="3"/>
        <v>1.3139784946236568</v>
      </c>
      <c r="S22" s="217">
        <f t="shared" ref="S22:T22" si="8">SUM(S16:S18)</f>
        <v>175.84728602316707</v>
      </c>
      <c r="T22" s="217">
        <f t="shared" si="8"/>
        <v>1921.3059510000005</v>
      </c>
      <c r="V22" s="65"/>
    </row>
    <row r="23" spans="1:22" ht="12" customHeight="1">
      <c r="A23" s="177" t="s">
        <v>58</v>
      </c>
      <c r="B23" s="223">
        <f>SUM(B7:B12)</f>
        <v>4343.9949573395479</v>
      </c>
      <c r="C23" s="213">
        <v>5410.0866016179789</v>
      </c>
      <c r="D23" s="212">
        <f t="shared" si="4"/>
        <v>-0.1970562992392022</v>
      </c>
      <c r="E23" s="213">
        <f>SUM(E7:E12)</f>
        <v>4470.6448818104118</v>
      </c>
      <c r="F23" s="213">
        <v>5239.9860094414153</v>
      </c>
      <c r="G23" s="212">
        <f>(E23-F23)/F23</f>
        <v>-0.14682121788966676</v>
      </c>
      <c r="H23" s="226">
        <f>SUM(H7:H12)</f>
        <v>4470.6448818104118</v>
      </c>
      <c r="I23" s="223">
        <f t="shared" ref="I23:K23" si="9">SUM(I7:I12)</f>
        <v>46622.377535344</v>
      </c>
      <c r="J23" s="213">
        <v>57773.003434335376</v>
      </c>
      <c r="K23" s="213">
        <f t="shared" si="9"/>
        <v>47972.553168810555</v>
      </c>
      <c r="L23" s="213">
        <v>55957.019632934382</v>
      </c>
      <c r="M23" s="226">
        <f>SUM(M7:M12)</f>
        <v>47972.553168810555</v>
      </c>
      <c r="N23" s="223">
        <f>AVERAGE(N7:N12)</f>
        <v>7.8776408090117771</v>
      </c>
      <c r="O23" s="213">
        <f>MAX(O7:O12)</f>
        <v>25</v>
      </c>
      <c r="P23" s="213">
        <f>MIN(P7:P12)</f>
        <v>-3.8</v>
      </c>
      <c r="Q23" s="213">
        <f>AVERAGE(Q7:Q12)</f>
        <v>6.8135286120380663</v>
      </c>
      <c r="R23" s="226">
        <f t="shared" si="3"/>
        <v>1.0641121969737108</v>
      </c>
      <c r="S23" s="213">
        <f>SUM(S7:S12)</f>
        <v>303.50405365464161</v>
      </c>
      <c r="T23" s="213">
        <f>SUM(T7:T12)</f>
        <v>3260.8776130000015</v>
      </c>
      <c r="V23" s="65"/>
    </row>
    <row r="24" spans="1:22" ht="12" customHeight="1">
      <c r="A24" s="180" t="s">
        <v>59</v>
      </c>
      <c r="B24" s="392">
        <f>SUM(B13:B18)</f>
        <v>3199.788379684057</v>
      </c>
      <c r="C24" s="217">
        <v>4023.6476441843124</v>
      </c>
      <c r="D24" s="215">
        <f t="shared" si="4"/>
        <v>-0.20475432675896524</v>
      </c>
      <c r="E24" s="217">
        <f t="shared" ref="E24:K24" si="10">SUM(E13:E18)</f>
        <v>3311.628266046127</v>
      </c>
      <c r="F24" s="217">
        <v>4079.6261076026776</v>
      </c>
      <c r="G24" s="215">
        <f t="shared" si="1"/>
        <v>-0.18825201655743187</v>
      </c>
      <c r="H24" s="227">
        <f>SUM(H13:H18)</f>
        <v>3620</v>
      </c>
      <c r="I24" s="392">
        <f t="shared" si="10"/>
        <v>34924.404799415999</v>
      </c>
      <c r="J24" s="217">
        <v>42964.473529313713</v>
      </c>
      <c r="K24" s="217">
        <f t="shared" si="10"/>
        <v>36147.407293654622</v>
      </c>
      <c r="L24" s="217">
        <v>43561.876301304655</v>
      </c>
      <c r="M24" s="227">
        <f>SUM(M13:M18)</f>
        <v>38560</v>
      </c>
      <c r="N24" s="392">
        <f>AVERAGE(N13:N18)</f>
        <v>10.97584229390681</v>
      </c>
      <c r="O24" s="217">
        <f>MAX(O13:O18)</f>
        <v>25.2</v>
      </c>
      <c r="P24" s="217">
        <f>MIN(P13:P18)</f>
        <v>-8.5</v>
      </c>
      <c r="Q24" s="217">
        <f>AVERAGE(Q13:Q18)</f>
        <v>10.230483870967742</v>
      </c>
      <c r="R24" s="227">
        <f t="shared" si="3"/>
        <v>0.74535842293906818</v>
      </c>
      <c r="S24" s="217">
        <f t="shared" ref="S24:T24" si="11">SUM(S13:S18)</f>
        <v>306.6297049748859</v>
      </c>
      <c r="T24" s="217">
        <f t="shared" si="11"/>
        <v>3345.832347999999</v>
      </c>
      <c r="V24" s="65"/>
    </row>
    <row r="25" spans="1:22" ht="12" customHeight="1">
      <c r="A25" s="218" t="s">
        <v>173</v>
      </c>
      <c r="B25" s="393">
        <f>SUM(B7:B18)</f>
        <v>7543.783337023604</v>
      </c>
      <c r="C25" s="219">
        <v>9433.7342458022922</v>
      </c>
      <c r="D25" s="394">
        <f t="shared" si="4"/>
        <v>-0.20033963852857689</v>
      </c>
      <c r="E25" s="219">
        <f t="shared" ref="E25:K25" si="12">SUM(E7:E18)</f>
        <v>7782.2731478565383</v>
      </c>
      <c r="F25" s="219">
        <v>9319.6121170440929</v>
      </c>
      <c r="G25" s="394">
        <f t="shared" si="1"/>
        <v>-0.16495739842820339</v>
      </c>
      <c r="H25" s="228">
        <f>SUM(H7:H18)</f>
        <v>8090.6448818104118</v>
      </c>
      <c r="I25" s="393">
        <f t="shared" si="12"/>
        <v>81546.782334759991</v>
      </c>
      <c r="J25" s="219">
        <v>100737.47696364907</v>
      </c>
      <c r="K25" s="219">
        <f t="shared" si="12"/>
        <v>84119.960462465169</v>
      </c>
      <c r="L25" s="219">
        <v>99518.895934239044</v>
      </c>
      <c r="M25" s="228">
        <f>SUM(M7:M18)</f>
        <v>86532.553168810555</v>
      </c>
      <c r="N25" s="393">
        <f>AVERAGE(N7:N18)</f>
        <v>9.426741551459294</v>
      </c>
      <c r="O25" s="219">
        <f>MAX(O7:O18)</f>
        <v>25.2</v>
      </c>
      <c r="P25" s="219">
        <f>MIN(P7:P18)</f>
        <v>-8.5</v>
      </c>
      <c r="Q25" s="219">
        <f>AVERAGE(Q7:Q18)</f>
        <v>8.5220062415029041</v>
      </c>
      <c r="R25" s="228">
        <f t="shared" si="3"/>
        <v>0.90473530995638995</v>
      </c>
      <c r="S25" s="219">
        <f t="shared" ref="S25:T25" si="13">SUM(S7:S18)</f>
        <v>610.13375862952751</v>
      </c>
      <c r="T25" s="219">
        <f t="shared" si="13"/>
        <v>6606.7099610000005</v>
      </c>
      <c r="V25" s="65"/>
    </row>
    <row r="26" spans="1:22" ht="11.25" customHeight="1">
      <c r="A26" s="450" t="s">
        <v>313</v>
      </c>
      <c r="B26" s="450"/>
      <c r="C26" s="450"/>
      <c r="D26" s="450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0"/>
      <c r="S26" s="450"/>
      <c r="T26" s="450"/>
    </row>
    <row r="27" spans="1:22" ht="15" customHeight="1">
      <c r="A27" s="449" t="s">
        <v>252</v>
      </c>
      <c r="B27" s="449"/>
      <c r="C27" s="449"/>
      <c r="D27" s="449"/>
      <c r="E27" s="449"/>
      <c r="F27" s="449"/>
      <c r="G27" s="449"/>
      <c r="H27" s="449"/>
      <c r="I27" s="449"/>
      <c r="J27" s="449" t="s">
        <v>157</v>
      </c>
      <c r="K27" s="449"/>
      <c r="L27" s="449"/>
      <c r="M27" s="449"/>
      <c r="N27" s="449"/>
      <c r="O27" s="449"/>
      <c r="P27" s="449"/>
      <c r="Q27" s="449"/>
      <c r="R27" s="449"/>
      <c r="S27" s="449"/>
      <c r="T27" s="449"/>
    </row>
    <row r="28" spans="1:22" ht="8.1" customHeight="1">
      <c r="A28" s="61"/>
      <c r="B28" s="61"/>
      <c r="C28" s="61"/>
      <c r="D28" s="61"/>
      <c r="E28" s="61" t="s">
        <v>138</v>
      </c>
      <c r="F28" s="61" t="s">
        <v>133</v>
      </c>
      <c r="G28" s="61"/>
      <c r="H28" s="61"/>
      <c r="I28" s="61"/>
      <c r="J28" s="61"/>
      <c r="K28" s="61"/>
      <c r="L28" s="61"/>
      <c r="M28" s="61"/>
      <c r="N28" s="62" t="str">
        <f>N6</f>
        <v>Průměr</v>
      </c>
      <c r="O28" s="62" t="str">
        <f>Q6</f>
        <v>Normál</v>
      </c>
      <c r="P28" s="62"/>
      <c r="Q28" s="61"/>
      <c r="R28" s="61"/>
      <c r="S28" s="61"/>
      <c r="T28" s="61"/>
    </row>
    <row r="29" spans="1:22" ht="6.95" customHeight="1">
      <c r="A29" s="61"/>
      <c r="B29" s="61"/>
      <c r="C29" s="61"/>
      <c r="D29" s="61" t="str">
        <f>A7</f>
        <v>Leden</v>
      </c>
      <c r="E29" s="62">
        <f>B7</f>
        <v>1134.2625732048143</v>
      </c>
      <c r="F29" s="62">
        <f>E7</f>
        <v>1205.7431048765241</v>
      </c>
      <c r="G29" s="62"/>
      <c r="H29" s="62"/>
      <c r="I29" s="61"/>
      <c r="J29" s="61"/>
      <c r="K29" s="61"/>
      <c r="L29" s="61"/>
      <c r="M29" s="61" t="str">
        <f>A7</f>
        <v>Leden</v>
      </c>
      <c r="N29" s="62">
        <f>N7</f>
        <v>0.78709677419354818</v>
      </c>
      <c r="O29" s="62">
        <f>Q7</f>
        <v>-1.2258064516129035</v>
      </c>
      <c r="P29" s="62"/>
      <c r="Q29" s="61"/>
      <c r="R29" s="61"/>
      <c r="S29" s="61"/>
      <c r="T29" s="61"/>
    </row>
    <row r="30" spans="1:22" ht="6.95" customHeight="1">
      <c r="A30" s="61"/>
      <c r="B30" s="61"/>
      <c r="C30" s="61"/>
      <c r="D30" s="61" t="str">
        <f t="shared" ref="D30:D39" si="14">A8</f>
        <v>Únor</v>
      </c>
      <c r="E30" s="62">
        <f t="shared" ref="E30:E40" si="15">B8</f>
        <v>890.50037327489224</v>
      </c>
      <c r="F30" s="62">
        <f t="shared" ref="F30:F40" si="16">E8</f>
        <v>992.34776233082323</v>
      </c>
      <c r="G30" s="62"/>
      <c r="H30" s="62"/>
      <c r="I30" s="61"/>
      <c r="J30" s="61"/>
      <c r="K30" s="61"/>
      <c r="L30" s="61"/>
      <c r="M30" s="61" t="str">
        <f t="shared" ref="M30:M40" si="17">A8</f>
        <v>Únor</v>
      </c>
      <c r="N30" s="62">
        <f t="shared" ref="N30:N40" si="18">N8</f>
        <v>3.0892857142857144</v>
      </c>
      <c r="O30" s="62">
        <f t="shared" ref="O30:O40" si="19">Q8</f>
        <v>-0.15517241379310354</v>
      </c>
      <c r="P30" s="62"/>
      <c r="Q30" s="61"/>
      <c r="R30" s="61"/>
      <c r="S30" s="61"/>
      <c r="T30" s="61"/>
    </row>
    <row r="31" spans="1:22" ht="6.95" customHeight="1">
      <c r="A31" s="61"/>
      <c r="B31" s="61"/>
      <c r="C31" s="61"/>
      <c r="D31" s="61" t="str">
        <f t="shared" si="14"/>
        <v>Březen</v>
      </c>
      <c r="E31" s="62">
        <f t="shared" si="15"/>
        <v>922.61982519439664</v>
      </c>
      <c r="F31" s="62">
        <f t="shared" si="16"/>
        <v>915.4910560358029</v>
      </c>
      <c r="G31" s="62"/>
      <c r="H31" s="62"/>
      <c r="I31" s="61"/>
      <c r="J31" s="61"/>
      <c r="K31" s="61"/>
      <c r="L31" s="61"/>
      <c r="M31" s="61" t="str">
        <f t="shared" si="17"/>
        <v>Březen</v>
      </c>
      <c r="N31" s="62">
        <f t="shared" si="18"/>
        <v>3.3161290322580643</v>
      </c>
      <c r="O31" s="62">
        <f t="shared" si="19"/>
        <v>3.512903225806451</v>
      </c>
      <c r="P31" s="62"/>
      <c r="Q31" s="61"/>
      <c r="R31" s="61"/>
      <c r="S31" s="61"/>
      <c r="T31" s="61"/>
    </row>
    <row r="32" spans="1:22" ht="6.95" customHeight="1">
      <c r="A32" s="61"/>
      <c r="B32" s="61"/>
      <c r="C32" s="61"/>
      <c r="D32" s="61" t="str">
        <f t="shared" si="14"/>
        <v>Duben</v>
      </c>
      <c r="E32" s="62">
        <f t="shared" si="15"/>
        <v>671.36203982845257</v>
      </c>
      <c r="F32" s="62">
        <f t="shared" si="16"/>
        <v>605.2961340668877</v>
      </c>
      <c r="G32" s="62"/>
      <c r="H32" s="62"/>
      <c r="I32" s="61"/>
      <c r="J32" s="61"/>
      <c r="K32" s="61"/>
      <c r="L32" s="61"/>
      <c r="M32" s="61" t="str">
        <f t="shared" si="17"/>
        <v>Duben</v>
      </c>
      <c r="N32" s="62">
        <f t="shared" si="18"/>
        <v>6.6166666666666663</v>
      </c>
      <c r="O32" s="62">
        <f t="shared" si="19"/>
        <v>8.6366666666666667</v>
      </c>
      <c r="P32" s="62"/>
      <c r="Q32" s="61"/>
      <c r="R32" s="61"/>
      <c r="S32" s="61"/>
      <c r="T32" s="61"/>
    </row>
    <row r="33" spans="1:20" ht="6.95" customHeight="1">
      <c r="A33" s="61"/>
      <c r="B33" s="61"/>
      <c r="C33" s="61"/>
      <c r="D33" s="61" t="str">
        <f t="shared" si="14"/>
        <v>Květen</v>
      </c>
      <c r="E33" s="62">
        <f t="shared" si="15"/>
        <v>388.89642773175905</v>
      </c>
      <c r="F33" s="62">
        <f t="shared" si="16"/>
        <v>408.72629326716236</v>
      </c>
      <c r="G33" s="62"/>
      <c r="H33" s="62"/>
      <c r="I33" s="61"/>
      <c r="J33" s="61"/>
      <c r="K33" s="61"/>
      <c r="L33" s="61"/>
      <c r="M33" s="61" t="str">
        <f t="shared" si="17"/>
        <v>Květen</v>
      </c>
      <c r="N33" s="62">
        <f t="shared" si="18"/>
        <v>14.500000000000002</v>
      </c>
      <c r="O33" s="62">
        <f t="shared" si="19"/>
        <v>13.522580645161288</v>
      </c>
      <c r="P33" s="62"/>
      <c r="Q33" s="61"/>
      <c r="R33" s="61"/>
      <c r="S33" s="61"/>
      <c r="T33" s="61"/>
    </row>
    <row r="34" spans="1:20" ht="6.95" customHeight="1">
      <c r="A34" s="61"/>
      <c r="B34" s="61"/>
      <c r="C34" s="61"/>
      <c r="D34" s="61" t="str">
        <f t="shared" si="14"/>
        <v>Červen</v>
      </c>
      <c r="E34" s="62">
        <f t="shared" si="15"/>
        <v>336.35371810523372</v>
      </c>
      <c r="F34" s="62">
        <f t="shared" si="16"/>
        <v>343.04053123321125</v>
      </c>
      <c r="G34" s="62"/>
      <c r="H34" s="62"/>
      <c r="I34" s="61"/>
      <c r="J34" s="61"/>
      <c r="K34" s="61"/>
      <c r="L34" s="61"/>
      <c r="M34" s="61" t="str">
        <f t="shared" si="17"/>
        <v>Červen</v>
      </c>
      <c r="N34" s="62">
        <f t="shared" si="18"/>
        <v>18.956666666666667</v>
      </c>
      <c r="O34" s="62">
        <f t="shared" si="19"/>
        <v>16.59</v>
      </c>
      <c r="P34" s="62"/>
      <c r="Q34" s="61"/>
      <c r="R34" s="61"/>
      <c r="S34" s="61"/>
      <c r="T34" s="61"/>
    </row>
    <row r="35" spans="1:20" ht="6.95" customHeight="1">
      <c r="A35" s="61"/>
      <c r="B35" s="61"/>
      <c r="C35" s="61"/>
      <c r="D35" s="61" t="str">
        <f t="shared" si="14"/>
        <v>Červenec</v>
      </c>
      <c r="E35" s="62">
        <f t="shared" si="15"/>
        <v>288.56926119243906</v>
      </c>
      <c r="F35" s="62">
        <f t="shared" si="16"/>
        <v>290.00651385366569</v>
      </c>
      <c r="G35" s="62"/>
      <c r="H35" s="62"/>
      <c r="I35" s="61"/>
      <c r="J35" s="61"/>
      <c r="K35" s="61"/>
      <c r="L35" s="61"/>
      <c r="M35" s="61" t="str">
        <f t="shared" si="17"/>
        <v>Červenec</v>
      </c>
      <c r="N35" s="62">
        <f t="shared" si="18"/>
        <v>18.874193548387094</v>
      </c>
      <c r="O35" s="62">
        <f t="shared" si="19"/>
        <v>18.522580645161291</v>
      </c>
      <c r="P35" s="62"/>
      <c r="Q35" s="61"/>
      <c r="R35" s="61"/>
      <c r="S35" s="61"/>
      <c r="T35" s="61"/>
    </row>
    <row r="36" spans="1:20" ht="6.95" customHeight="1">
      <c r="A36" s="61"/>
      <c r="B36" s="61"/>
      <c r="C36" s="61"/>
      <c r="D36" s="61" t="str">
        <f t="shared" si="14"/>
        <v>Srpen</v>
      </c>
      <c r="E36" s="62">
        <f t="shared" si="15"/>
        <v>311.10451066410326</v>
      </c>
      <c r="F36" s="62">
        <f t="shared" si="16"/>
        <v>316.66361055716817</v>
      </c>
      <c r="G36" s="62"/>
      <c r="H36" s="62"/>
      <c r="I36" s="61"/>
      <c r="J36" s="61"/>
      <c r="K36" s="61"/>
      <c r="L36" s="61"/>
      <c r="M36" s="61" t="str">
        <f t="shared" si="17"/>
        <v>Srpen</v>
      </c>
      <c r="N36" s="62">
        <f t="shared" si="18"/>
        <v>19.361290322580643</v>
      </c>
      <c r="O36" s="62">
        <f t="shared" si="19"/>
        <v>18.119354838709679</v>
      </c>
      <c r="P36" s="62"/>
      <c r="Q36" s="61"/>
      <c r="R36" s="61"/>
      <c r="S36" s="61"/>
      <c r="T36" s="61"/>
    </row>
    <row r="37" spans="1:20" ht="6.95" customHeight="1">
      <c r="A37" s="61"/>
      <c r="B37" s="61"/>
      <c r="C37" s="61"/>
      <c r="D37" s="61" t="str">
        <f t="shared" si="14"/>
        <v>Září</v>
      </c>
      <c r="E37" s="62">
        <f t="shared" si="15"/>
        <v>383.35752637665405</v>
      </c>
      <c r="F37" s="62">
        <f t="shared" si="16"/>
        <v>364.5525872537109</v>
      </c>
      <c r="G37" s="62"/>
      <c r="H37" s="62"/>
      <c r="I37" s="61"/>
      <c r="J37" s="61"/>
      <c r="K37" s="61"/>
      <c r="L37" s="61"/>
      <c r="M37" s="61" t="str">
        <f t="shared" si="17"/>
        <v>Září</v>
      </c>
      <c r="N37" s="62">
        <f t="shared" si="18"/>
        <v>12.16</v>
      </c>
      <c r="O37" s="62">
        <f t="shared" si="19"/>
        <v>13.223333333333333</v>
      </c>
      <c r="P37" s="62"/>
      <c r="Q37" s="61"/>
      <c r="R37" s="61"/>
      <c r="S37" s="61"/>
      <c r="T37" s="61"/>
    </row>
    <row r="38" spans="1:20" ht="6.95" customHeight="1">
      <c r="A38" s="61"/>
      <c r="B38" s="61"/>
      <c r="C38" s="61"/>
      <c r="D38" s="61" t="str">
        <f t="shared" si="14"/>
        <v>Říjen</v>
      </c>
      <c r="E38" s="62">
        <f t="shared" si="15"/>
        <v>507.61226713839142</v>
      </c>
      <c r="F38" s="62">
        <f t="shared" si="16"/>
        <v>577.43339153499517</v>
      </c>
      <c r="G38" s="62"/>
      <c r="H38" s="62"/>
      <c r="I38" s="61"/>
      <c r="J38" s="61"/>
      <c r="K38" s="61"/>
      <c r="L38" s="61"/>
      <c r="M38" s="61" t="str">
        <f t="shared" si="17"/>
        <v>Říjen</v>
      </c>
      <c r="N38" s="62">
        <f t="shared" si="18"/>
        <v>10.777419354838711</v>
      </c>
      <c r="O38" s="62">
        <f t="shared" si="19"/>
        <v>8.3548387096774199</v>
      </c>
      <c r="P38" s="62"/>
      <c r="Q38" s="61"/>
      <c r="R38" s="61"/>
      <c r="S38" s="61"/>
      <c r="T38" s="61"/>
    </row>
    <row r="39" spans="1:20" ht="6.95" customHeight="1">
      <c r="A39" s="61"/>
      <c r="B39" s="61"/>
      <c r="C39" s="61"/>
      <c r="D39" s="61" t="str">
        <f t="shared" si="14"/>
        <v>Listopad</v>
      </c>
      <c r="E39" s="62">
        <f t="shared" si="15"/>
        <v>742.97073046417756</v>
      </c>
      <c r="F39" s="62">
        <f t="shared" si="16"/>
        <v>772.59063952517204</v>
      </c>
      <c r="G39" s="61"/>
      <c r="H39" s="61"/>
      <c r="I39" s="61"/>
      <c r="J39" s="61"/>
      <c r="K39" s="61"/>
      <c r="L39" s="61"/>
      <c r="M39" s="61" t="str">
        <f t="shared" si="17"/>
        <v>Listopad</v>
      </c>
      <c r="N39" s="62">
        <f t="shared" si="18"/>
        <v>4.2466666666666661</v>
      </c>
      <c r="O39" s="62">
        <f t="shared" si="19"/>
        <v>3.5466666666666664</v>
      </c>
      <c r="P39" s="61"/>
      <c r="Q39" s="61"/>
      <c r="R39" s="61"/>
      <c r="S39" s="61"/>
      <c r="T39" s="61"/>
    </row>
    <row r="40" spans="1:20" ht="6.95" customHeight="1">
      <c r="A40" s="61"/>
      <c r="B40" s="61"/>
      <c r="C40" s="61"/>
      <c r="D40" s="61" t="str">
        <f>A18</f>
        <v>Prosinec</v>
      </c>
      <c r="E40" s="62">
        <f t="shared" si="15"/>
        <v>966.1740838482915</v>
      </c>
      <c r="F40" s="62">
        <f t="shared" si="16"/>
        <v>990.38152332141499</v>
      </c>
      <c r="G40" s="61"/>
      <c r="H40" s="61"/>
      <c r="I40" s="61"/>
      <c r="J40" s="61"/>
      <c r="K40" s="61"/>
      <c r="L40" s="61"/>
      <c r="M40" s="61" t="str">
        <f t="shared" si="17"/>
        <v>Prosinec</v>
      </c>
      <c r="N40" s="62">
        <f t="shared" si="18"/>
        <v>0.43548387096774194</v>
      </c>
      <c r="O40" s="62">
        <f t="shared" si="19"/>
        <v>-0.38387096774193558</v>
      </c>
      <c r="P40" s="61"/>
      <c r="Q40" s="61"/>
      <c r="R40" s="61"/>
      <c r="S40" s="61"/>
      <c r="T40" s="61"/>
    </row>
    <row r="41" spans="1:20" ht="12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</row>
    <row r="42" spans="1:20" ht="12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 ht="12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54" spans="9:10">
      <c r="I54" s="63"/>
      <c r="J54" s="63"/>
    </row>
    <row r="56" spans="9:10">
      <c r="I56" s="68"/>
      <c r="J56" s="68"/>
    </row>
  </sheetData>
  <mergeCells count="12">
    <mergeCell ref="A27:I27"/>
    <mergeCell ref="J27:T27"/>
    <mergeCell ref="A26:T26"/>
    <mergeCell ref="B5:D5"/>
    <mergeCell ref="E5:G5"/>
    <mergeCell ref="S5:T6"/>
    <mergeCell ref="I4:M4"/>
    <mergeCell ref="N4:R4"/>
    <mergeCell ref="N5:R5"/>
    <mergeCell ref="B4:H4"/>
    <mergeCell ref="I5:J5"/>
    <mergeCell ref="K5:L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1:G22 C19:G19 J19 L19 C20 L20 B24:G24 C23:D23 I21:L22 I20:J20 I24:L24 I23:L23 N19:R19 N20 N21:T22 N24:T24 N23:R23 P20:R20 E20:F20 F2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4"/>
  <sheetViews>
    <sheetView showGridLines="0" zoomScaleNormal="100" zoomScaleSheetLayoutView="100" workbookViewId="0">
      <selection activeCell="D18" sqref="D18"/>
    </sheetView>
  </sheetViews>
  <sheetFormatPr defaultRowHeight="11.25"/>
  <cols>
    <col min="1" max="1" width="8.28515625" style="12" customWidth="1"/>
    <col min="2" max="3" width="5.42578125" style="12" customWidth="1"/>
    <col min="4" max="4" width="6.5703125" style="12" customWidth="1"/>
    <col min="5" max="5" width="7.7109375" style="12" customWidth="1"/>
    <col min="6" max="6" width="4.140625" style="12" customWidth="1"/>
    <col min="7" max="7" width="7.7109375" style="12" customWidth="1"/>
    <col min="8" max="13" width="6.7109375" style="12" customWidth="1"/>
    <col min="14" max="14" width="7.5703125" style="12" customWidth="1"/>
    <col min="15" max="18" width="7.28515625" style="12" customWidth="1"/>
    <col min="19" max="20" width="6.7109375" style="12" customWidth="1"/>
    <col min="21" max="21" width="8" style="12" customWidth="1"/>
    <col min="22" max="22" width="9.28515625" style="12" bestFit="1" customWidth="1"/>
    <col min="23" max="23" width="11.42578125" style="12" bestFit="1" customWidth="1"/>
    <col min="24" max="262" width="9.140625" style="12"/>
    <col min="263" max="275" width="10.7109375" style="12" customWidth="1"/>
    <col min="276" max="518" width="9.140625" style="12"/>
    <col min="519" max="531" width="10.7109375" style="12" customWidth="1"/>
    <col min="532" max="774" width="9.140625" style="12"/>
    <col min="775" max="787" width="10.7109375" style="12" customWidth="1"/>
    <col min="788" max="1030" width="9.140625" style="12"/>
    <col min="1031" max="1043" width="10.7109375" style="12" customWidth="1"/>
    <col min="1044" max="1286" width="9.140625" style="12"/>
    <col min="1287" max="1299" width="10.7109375" style="12" customWidth="1"/>
    <col min="1300" max="1542" width="9.140625" style="12"/>
    <col min="1543" max="1555" width="10.7109375" style="12" customWidth="1"/>
    <col min="1556" max="1798" width="9.140625" style="12"/>
    <col min="1799" max="1811" width="10.7109375" style="12" customWidth="1"/>
    <col min="1812" max="2054" width="9.140625" style="12"/>
    <col min="2055" max="2067" width="10.7109375" style="12" customWidth="1"/>
    <col min="2068" max="2310" width="9.140625" style="12"/>
    <col min="2311" max="2323" width="10.7109375" style="12" customWidth="1"/>
    <col min="2324" max="2566" width="9.140625" style="12"/>
    <col min="2567" max="2579" width="10.7109375" style="12" customWidth="1"/>
    <col min="2580" max="2822" width="9.140625" style="12"/>
    <col min="2823" max="2835" width="10.7109375" style="12" customWidth="1"/>
    <col min="2836" max="3078" width="9.140625" style="12"/>
    <col min="3079" max="3091" width="10.7109375" style="12" customWidth="1"/>
    <col min="3092" max="3334" width="9.140625" style="12"/>
    <col min="3335" max="3347" width="10.7109375" style="12" customWidth="1"/>
    <col min="3348" max="3590" width="9.140625" style="12"/>
    <col min="3591" max="3603" width="10.7109375" style="12" customWidth="1"/>
    <col min="3604" max="3846" width="9.140625" style="12"/>
    <col min="3847" max="3859" width="10.7109375" style="12" customWidth="1"/>
    <col min="3860" max="4102" width="9.140625" style="12"/>
    <col min="4103" max="4115" width="10.7109375" style="12" customWidth="1"/>
    <col min="4116" max="4358" width="9.140625" style="12"/>
    <col min="4359" max="4371" width="10.7109375" style="12" customWidth="1"/>
    <col min="4372" max="4614" width="9.140625" style="12"/>
    <col min="4615" max="4627" width="10.7109375" style="12" customWidth="1"/>
    <col min="4628" max="4870" width="9.140625" style="12"/>
    <col min="4871" max="4883" width="10.7109375" style="12" customWidth="1"/>
    <col min="4884" max="5126" width="9.140625" style="12"/>
    <col min="5127" max="5139" width="10.7109375" style="12" customWidth="1"/>
    <col min="5140" max="5382" width="9.140625" style="12"/>
    <col min="5383" max="5395" width="10.7109375" style="12" customWidth="1"/>
    <col min="5396" max="5638" width="9.140625" style="12"/>
    <col min="5639" max="5651" width="10.7109375" style="12" customWidth="1"/>
    <col min="5652" max="5894" width="9.140625" style="12"/>
    <col min="5895" max="5907" width="10.7109375" style="12" customWidth="1"/>
    <col min="5908" max="6150" width="9.140625" style="12"/>
    <col min="6151" max="6163" width="10.7109375" style="12" customWidth="1"/>
    <col min="6164" max="6406" width="9.140625" style="12"/>
    <col min="6407" max="6419" width="10.7109375" style="12" customWidth="1"/>
    <col min="6420" max="6662" width="9.140625" style="12"/>
    <col min="6663" max="6675" width="10.7109375" style="12" customWidth="1"/>
    <col min="6676" max="6918" width="9.140625" style="12"/>
    <col min="6919" max="6931" width="10.7109375" style="12" customWidth="1"/>
    <col min="6932" max="7174" width="9.140625" style="12"/>
    <col min="7175" max="7187" width="10.7109375" style="12" customWidth="1"/>
    <col min="7188" max="7430" width="9.140625" style="12"/>
    <col min="7431" max="7443" width="10.7109375" style="12" customWidth="1"/>
    <col min="7444" max="7686" width="9.140625" style="12"/>
    <col min="7687" max="7699" width="10.7109375" style="12" customWidth="1"/>
    <col min="7700" max="7942" width="9.140625" style="12"/>
    <col min="7943" max="7955" width="10.7109375" style="12" customWidth="1"/>
    <col min="7956" max="8198" width="9.140625" style="12"/>
    <col min="8199" max="8211" width="10.7109375" style="12" customWidth="1"/>
    <col min="8212" max="8454" width="9.140625" style="12"/>
    <col min="8455" max="8467" width="10.7109375" style="12" customWidth="1"/>
    <col min="8468" max="8710" width="9.140625" style="12"/>
    <col min="8711" max="8723" width="10.7109375" style="12" customWidth="1"/>
    <col min="8724" max="8966" width="9.140625" style="12"/>
    <col min="8967" max="8979" width="10.7109375" style="12" customWidth="1"/>
    <col min="8980" max="9222" width="9.140625" style="12"/>
    <col min="9223" max="9235" width="10.7109375" style="12" customWidth="1"/>
    <col min="9236" max="9478" width="9.140625" style="12"/>
    <col min="9479" max="9491" width="10.7109375" style="12" customWidth="1"/>
    <col min="9492" max="9734" width="9.140625" style="12"/>
    <col min="9735" max="9747" width="10.7109375" style="12" customWidth="1"/>
    <col min="9748" max="9990" width="9.140625" style="12"/>
    <col min="9991" max="10003" width="10.7109375" style="12" customWidth="1"/>
    <col min="10004" max="10246" width="9.140625" style="12"/>
    <col min="10247" max="10259" width="10.7109375" style="12" customWidth="1"/>
    <col min="10260" max="10502" width="9.140625" style="12"/>
    <col min="10503" max="10515" width="10.7109375" style="12" customWidth="1"/>
    <col min="10516" max="10758" width="9.140625" style="12"/>
    <col min="10759" max="10771" width="10.7109375" style="12" customWidth="1"/>
    <col min="10772" max="11014" width="9.140625" style="12"/>
    <col min="11015" max="11027" width="10.7109375" style="12" customWidth="1"/>
    <col min="11028" max="11270" width="9.140625" style="12"/>
    <col min="11271" max="11283" width="10.7109375" style="12" customWidth="1"/>
    <col min="11284" max="11526" width="9.140625" style="12"/>
    <col min="11527" max="11539" width="10.7109375" style="12" customWidth="1"/>
    <col min="11540" max="11782" width="9.140625" style="12"/>
    <col min="11783" max="11795" width="10.7109375" style="12" customWidth="1"/>
    <col min="11796" max="12038" width="9.140625" style="12"/>
    <col min="12039" max="12051" width="10.7109375" style="12" customWidth="1"/>
    <col min="12052" max="12294" width="9.140625" style="12"/>
    <col min="12295" max="12307" width="10.7109375" style="12" customWidth="1"/>
    <col min="12308" max="12550" width="9.140625" style="12"/>
    <col min="12551" max="12563" width="10.7109375" style="12" customWidth="1"/>
    <col min="12564" max="12806" width="9.140625" style="12"/>
    <col min="12807" max="12819" width="10.7109375" style="12" customWidth="1"/>
    <col min="12820" max="13062" width="9.140625" style="12"/>
    <col min="13063" max="13075" width="10.7109375" style="12" customWidth="1"/>
    <col min="13076" max="13318" width="9.140625" style="12"/>
    <col min="13319" max="13331" width="10.7109375" style="12" customWidth="1"/>
    <col min="13332" max="13574" width="9.140625" style="12"/>
    <col min="13575" max="13587" width="10.7109375" style="12" customWidth="1"/>
    <col min="13588" max="13830" width="9.140625" style="12"/>
    <col min="13831" max="13843" width="10.7109375" style="12" customWidth="1"/>
    <col min="13844" max="14086" width="9.140625" style="12"/>
    <col min="14087" max="14099" width="10.7109375" style="12" customWidth="1"/>
    <col min="14100" max="14342" width="9.140625" style="12"/>
    <col min="14343" max="14355" width="10.7109375" style="12" customWidth="1"/>
    <col min="14356" max="14598" width="9.140625" style="12"/>
    <col min="14599" max="14611" width="10.7109375" style="12" customWidth="1"/>
    <col min="14612" max="14854" width="9.140625" style="12"/>
    <col min="14855" max="14867" width="10.7109375" style="12" customWidth="1"/>
    <col min="14868" max="15110" width="9.140625" style="12"/>
    <col min="15111" max="15123" width="10.7109375" style="12" customWidth="1"/>
    <col min="15124" max="15366" width="9.140625" style="12"/>
    <col min="15367" max="15379" width="10.7109375" style="12" customWidth="1"/>
    <col min="15380" max="15622" width="9.140625" style="12"/>
    <col min="15623" max="15635" width="10.7109375" style="12" customWidth="1"/>
    <col min="15636" max="15878" width="9.140625" style="12"/>
    <col min="15879" max="15891" width="10.7109375" style="12" customWidth="1"/>
    <col min="15892" max="16134" width="9.140625" style="12"/>
    <col min="16135" max="16147" width="10.7109375" style="12" customWidth="1"/>
    <col min="16148" max="16384" width="9.140625" style="12"/>
  </cols>
  <sheetData>
    <row r="1" spans="1:36" ht="18">
      <c r="A1" s="438" t="s">
        <v>297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</row>
    <row r="2" spans="1:36" ht="6" customHeight="1">
      <c r="A2" s="242"/>
      <c r="B2" s="452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</row>
    <row r="3" spans="1:36" ht="18" customHeight="1">
      <c r="A3" s="253">
        <f>'3.1'!A4</f>
        <v>2022</v>
      </c>
      <c r="B3" s="444" t="s">
        <v>160</v>
      </c>
      <c r="C3" s="447"/>
      <c r="D3" s="447"/>
      <c r="E3" s="447"/>
      <c r="F3" s="447"/>
      <c r="G3" s="446"/>
      <c r="H3" s="447" t="s">
        <v>60</v>
      </c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</row>
    <row r="4" spans="1:36" ht="18" customHeight="1">
      <c r="A4" s="211"/>
      <c r="B4" s="250"/>
      <c r="C4" s="251"/>
      <c r="D4" s="251"/>
      <c r="E4" s="251"/>
      <c r="F4" s="251"/>
      <c r="G4" s="252"/>
      <c r="H4" s="254" t="s">
        <v>262</v>
      </c>
      <c r="I4" s="254"/>
      <c r="J4" s="254"/>
      <c r="K4" s="254"/>
      <c r="L4" s="254"/>
      <c r="M4" s="454" t="s">
        <v>268</v>
      </c>
      <c r="N4" s="254"/>
      <c r="O4" s="255" t="s">
        <v>220</v>
      </c>
      <c r="P4" s="254"/>
      <c r="Q4" s="254"/>
      <c r="R4" s="254"/>
      <c r="S4" s="254"/>
      <c r="T4" s="454" t="s">
        <v>268</v>
      </c>
      <c r="U4" s="254"/>
    </row>
    <row r="5" spans="1:36" ht="16.5" customHeight="1">
      <c r="A5" s="214"/>
      <c r="B5" s="236" t="s">
        <v>4</v>
      </c>
      <c r="C5" s="237" t="s">
        <v>5</v>
      </c>
      <c r="D5" s="195" t="s">
        <v>6</v>
      </c>
      <c r="E5" s="237" t="s">
        <v>7</v>
      </c>
      <c r="F5" s="237" t="s">
        <v>93</v>
      </c>
      <c r="G5" s="238" t="s">
        <v>0</v>
      </c>
      <c r="H5" s="237" t="s">
        <v>4</v>
      </c>
      <c r="I5" s="237" t="s">
        <v>5</v>
      </c>
      <c r="J5" s="195" t="s">
        <v>6</v>
      </c>
      <c r="K5" s="237" t="s">
        <v>7</v>
      </c>
      <c r="L5" s="237" t="s">
        <v>93</v>
      </c>
      <c r="M5" s="455"/>
      <c r="N5" s="237" t="s">
        <v>0</v>
      </c>
      <c r="O5" s="236" t="s">
        <v>4</v>
      </c>
      <c r="P5" s="237" t="s">
        <v>5</v>
      </c>
      <c r="Q5" s="195" t="s">
        <v>6</v>
      </c>
      <c r="R5" s="237" t="s">
        <v>7</v>
      </c>
      <c r="S5" s="237" t="s">
        <v>93</v>
      </c>
      <c r="T5" s="455"/>
      <c r="U5" s="237" t="s">
        <v>0</v>
      </c>
    </row>
    <row r="6" spans="1:36" ht="12.95" customHeight="1">
      <c r="A6" s="177" t="s">
        <v>161</v>
      </c>
      <c r="B6" s="245">
        <v>1589</v>
      </c>
      <c r="C6" s="240">
        <v>6422</v>
      </c>
      <c r="D6" s="241">
        <v>206565</v>
      </c>
      <c r="E6" s="241">
        <v>2603081</v>
      </c>
      <c r="F6" s="241">
        <v>269</v>
      </c>
      <c r="G6" s="247">
        <v>2817926</v>
      </c>
      <c r="H6" s="178">
        <v>417.8761824965423</v>
      </c>
      <c r="I6" s="178">
        <v>113.89226187318174</v>
      </c>
      <c r="J6" s="179">
        <v>194.25971169325581</v>
      </c>
      <c r="K6" s="179">
        <v>376.53221797080107</v>
      </c>
      <c r="L6" s="179">
        <v>8.1911284262710922</v>
      </c>
      <c r="M6" s="179">
        <v>23.511330737856248</v>
      </c>
      <c r="N6" s="179">
        <v>1134.2628331979081</v>
      </c>
      <c r="O6" s="184">
        <v>4464.9772652500005</v>
      </c>
      <c r="P6" s="178">
        <v>1216.8533480500002</v>
      </c>
      <c r="Q6" s="179">
        <v>2075.4122010419997</v>
      </c>
      <c r="R6" s="179">
        <v>4022.5961266499999</v>
      </c>
      <c r="S6" s="179">
        <v>87.494825248000012</v>
      </c>
      <c r="T6" s="179">
        <v>251.45584312599999</v>
      </c>
      <c r="U6" s="179">
        <v>12118.789609366</v>
      </c>
      <c r="V6" s="56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</row>
    <row r="7" spans="1:36" ht="12.95" customHeight="1">
      <c r="A7" s="177" t="s">
        <v>162</v>
      </c>
      <c r="B7" s="245">
        <v>1604</v>
      </c>
      <c r="C7" s="241">
        <v>6404</v>
      </c>
      <c r="D7" s="241">
        <v>206570</v>
      </c>
      <c r="E7" s="241">
        <v>2601500</v>
      </c>
      <c r="F7" s="241">
        <v>267</v>
      </c>
      <c r="G7" s="247">
        <v>2816345</v>
      </c>
      <c r="H7" s="178">
        <v>333.16496980097912</v>
      </c>
      <c r="I7" s="179">
        <v>88.552413955088454</v>
      </c>
      <c r="J7" s="179">
        <v>149.38257536260662</v>
      </c>
      <c r="K7" s="179">
        <v>289.3871280833709</v>
      </c>
      <c r="L7" s="179">
        <v>7.9088505263358826</v>
      </c>
      <c r="M7" s="179">
        <v>22.104462365356802</v>
      </c>
      <c r="N7" s="179">
        <v>890.50040009373788</v>
      </c>
      <c r="O7" s="184">
        <v>3563.7369240569997</v>
      </c>
      <c r="P7" s="179">
        <v>947.62199068999973</v>
      </c>
      <c r="Q7" s="179">
        <v>1598.3664674999998</v>
      </c>
      <c r="R7" s="179">
        <v>3095.9852085000002</v>
      </c>
      <c r="S7" s="179">
        <v>84.59846069000001</v>
      </c>
      <c r="T7" s="179">
        <v>236.65974078100004</v>
      </c>
      <c r="U7" s="179">
        <v>9526.9687922179983</v>
      </c>
      <c r="V7" s="58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</row>
    <row r="8" spans="1:36" ht="12.95" customHeight="1">
      <c r="A8" s="180" t="s">
        <v>163</v>
      </c>
      <c r="B8" s="246">
        <v>1590</v>
      </c>
      <c r="C8" s="244">
        <v>6333</v>
      </c>
      <c r="D8" s="244">
        <v>206703</v>
      </c>
      <c r="E8" s="244">
        <v>2598845</v>
      </c>
      <c r="F8" s="244">
        <v>266</v>
      </c>
      <c r="G8" s="248">
        <v>2813737</v>
      </c>
      <c r="H8" s="181">
        <v>379.5177550534919</v>
      </c>
      <c r="I8" s="182">
        <v>89.034741068460633</v>
      </c>
      <c r="J8" s="182">
        <v>148.29408307661922</v>
      </c>
      <c r="K8" s="182">
        <v>278.02440668042067</v>
      </c>
      <c r="L8" s="182">
        <v>8.4542786574713151</v>
      </c>
      <c r="M8" s="182">
        <v>19.294227898231501</v>
      </c>
      <c r="N8" s="182">
        <v>922.61949243469508</v>
      </c>
      <c r="O8" s="185">
        <v>4077.0794042900002</v>
      </c>
      <c r="P8" s="182">
        <v>956.47539709999967</v>
      </c>
      <c r="Q8" s="182">
        <v>1592.6357480540948</v>
      </c>
      <c r="R8" s="182">
        <v>2985.2951682687376</v>
      </c>
      <c r="S8" s="182">
        <v>90.752821179999984</v>
      </c>
      <c r="T8" s="182">
        <v>207.21545435699989</v>
      </c>
      <c r="U8" s="182">
        <v>9909.4539932498319</v>
      </c>
      <c r="V8" s="59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</row>
    <row r="9" spans="1:36" ht="12.95" customHeight="1">
      <c r="A9" s="177" t="s">
        <v>164</v>
      </c>
      <c r="B9" s="245">
        <v>1597</v>
      </c>
      <c r="C9" s="241">
        <v>6325</v>
      </c>
      <c r="D9" s="241">
        <v>206580</v>
      </c>
      <c r="E9" s="241">
        <v>2595254</v>
      </c>
      <c r="F9" s="241">
        <v>267</v>
      </c>
      <c r="G9" s="247">
        <v>2810023</v>
      </c>
      <c r="H9" s="178">
        <v>282.6245843377099</v>
      </c>
      <c r="I9" s="179">
        <v>65.722493463260207</v>
      </c>
      <c r="J9" s="179">
        <v>106.42392799712559</v>
      </c>
      <c r="K9" s="179">
        <v>202.24702490695273</v>
      </c>
      <c r="L9" s="179">
        <v>7.5344390691538381</v>
      </c>
      <c r="M9" s="179">
        <v>6.8096798347968086</v>
      </c>
      <c r="N9" s="179">
        <v>671.36214960899906</v>
      </c>
      <c r="O9" s="184">
        <v>3045.8723572199992</v>
      </c>
      <c r="P9" s="179">
        <v>709.00925124999992</v>
      </c>
      <c r="Q9" s="179">
        <v>1147.6814270952573</v>
      </c>
      <c r="R9" s="179">
        <v>2180.5954954686508</v>
      </c>
      <c r="S9" s="179">
        <v>81.220817919999988</v>
      </c>
      <c r="T9" s="179">
        <v>73.604566568999928</v>
      </c>
      <c r="U9" s="179">
        <v>7237.9839155229074</v>
      </c>
      <c r="V9" s="58"/>
      <c r="W9" s="57"/>
      <c r="X9" s="57"/>
      <c r="Y9" s="57"/>
    </row>
    <row r="10" spans="1:36" ht="12.95" customHeight="1">
      <c r="A10" s="177" t="s">
        <v>165</v>
      </c>
      <c r="B10" s="245">
        <v>1593</v>
      </c>
      <c r="C10" s="241">
        <v>6336</v>
      </c>
      <c r="D10" s="241">
        <v>206441</v>
      </c>
      <c r="E10" s="241">
        <v>2591925</v>
      </c>
      <c r="F10" s="241">
        <v>267</v>
      </c>
      <c r="G10" s="247">
        <v>2806562</v>
      </c>
      <c r="H10" s="178">
        <v>258.94452558089102</v>
      </c>
      <c r="I10" s="179">
        <v>31.625946046684192</v>
      </c>
      <c r="J10" s="179">
        <v>32.38876027348585</v>
      </c>
      <c r="K10" s="179">
        <v>53.285019932516519</v>
      </c>
      <c r="L10" s="179">
        <v>8.0277099220274248</v>
      </c>
      <c r="M10" s="179">
        <v>4.6242103988143199</v>
      </c>
      <c r="N10" s="179">
        <v>388.89617215441922</v>
      </c>
      <c r="O10" s="184">
        <v>2782.5941548759997</v>
      </c>
      <c r="P10" s="179">
        <v>339.93987856999991</v>
      </c>
      <c r="Q10" s="179">
        <v>348.16597261510276</v>
      </c>
      <c r="R10" s="179">
        <v>572.75985395987436</v>
      </c>
      <c r="S10" s="179">
        <v>86.268259439999994</v>
      </c>
      <c r="T10" s="179">
        <v>49.929173227999947</v>
      </c>
      <c r="U10" s="179">
        <v>4179.6572926889767</v>
      </c>
      <c r="V10" s="58"/>
      <c r="W10" s="57"/>
      <c r="X10" s="57"/>
      <c r="Y10" s="57"/>
    </row>
    <row r="11" spans="1:36" ht="12.95" customHeight="1">
      <c r="A11" s="180" t="s">
        <v>166</v>
      </c>
      <c r="B11" s="246">
        <v>1591</v>
      </c>
      <c r="C11" s="244">
        <v>6324</v>
      </c>
      <c r="D11" s="244">
        <v>205977</v>
      </c>
      <c r="E11" s="244">
        <v>2588055</v>
      </c>
      <c r="F11" s="244">
        <v>269</v>
      </c>
      <c r="G11" s="248">
        <v>2802216</v>
      </c>
      <c r="H11" s="181">
        <v>251.40916096732676</v>
      </c>
      <c r="I11" s="182">
        <v>24.137694260499966</v>
      </c>
      <c r="J11" s="182">
        <v>19.747869799824556</v>
      </c>
      <c r="K11" s="182">
        <v>31.423549326765514</v>
      </c>
      <c r="L11" s="182">
        <v>7.9767455237439293</v>
      </c>
      <c r="M11" s="182">
        <v>1.6594749988929134</v>
      </c>
      <c r="N11" s="182">
        <v>336.35449487705364</v>
      </c>
      <c r="O11" s="185">
        <v>2727.8744485210004</v>
      </c>
      <c r="P11" s="182">
        <v>261.7555653500001</v>
      </c>
      <c r="Q11" s="182">
        <v>214.22030429838711</v>
      </c>
      <c r="R11" s="182">
        <v>340.87825455462865</v>
      </c>
      <c r="S11" s="182">
        <v>86.487387070000011</v>
      </c>
      <c r="T11" s="182">
        <v>18.30745918299996</v>
      </c>
      <c r="U11" s="182">
        <v>3649.5234189770167</v>
      </c>
      <c r="V11" s="58"/>
      <c r="W11" s="57"/>
      <c r="X11" s="57"/>
      <c r="Y11" s="57"/>
    </row>
    <row r="12" spans="1:36" ht="12.95" customHeight="1">
      <c r="A12" s="177" t="s">
        <v>167</v>
      </c>
      <c r="B12" s="245">
        <v>1581</v>
      </c>
      <c r="C12" s="241">
        <v>6324</v>
      </c>
      <c r="D12" s="241">
        <v>205424</v>
      </c>
      <c r="E12" s="241">
        <v>2585051</v>
      </c>
      <c r="F12" s="241">
        <v>268</v>
      </c>
      <c r="G12" s="247">
        <v>2798648</v>
      </c>
      <c r="H12" s="178">
        <v>212.19557257776958</v>
      </c>
      <c r="I12" s="179">
        <v>21.886337260689473</v>
      </c>
      <c r="J12" s="179">
        <v>18.029142669322621</v>
      </c>
      <c r="K12" s="179">
        <v>28.601476632582163</v>
      </c>
      <c r="L12" s="179">
        <v>7.1853922112521529</v>
      </c>
      <c r="M12" s="179">
        <v>0.6712888559164355</v>
      </c>
      <c r="N12" s="179">
        <v>288.56921020753231</v>
      </c>
      <c r="O12" s="184">
        <v>2307.8901587209998</v>
      </c>
      <c r="P12" s="179">
        <v>238.05937745000006</v>
      </c>
      <c r="Q12" s="179">
        <v>196.12152131776091</v>
      </c>
      <c r="R12" s="179">
        <v>311.17994267823474</v>
      </c>
      <c r="S12" s="179">
        <v>78.134612270000019</v>
      </c>
      <c r="T12" s="179">
        <v>7.5800914519999409</v>
      </c>
      <c r="U12" s="179">
        <v>3138.965703888995</v>
      </c>
      <c r="V12" s="58"/>
      <c r="W12" s="57"/>
      <c r="X12" s="57"/>
      <c r="Y12" s="57"/>
    </row>
    <row r="13" spans="1:36" ht="12.95" customHeight="1">
      <c r="A13" s="177" t="s">
        <v>168</v>
      </c>
      <c r="B13" s="245">
        <v>1580</v>
      </c>
      <c r="C13" s="241">
        <v>6340</v>
      </c>
      <c r="D13" s="241">
        <v>205193</v>
      </c>
      <c r="E13" s="241">
        <v>2581381</v>
      </c>
      <c r="F13" s="241">
        <v>269</v>
      </c>
      <c r="G13" s="247">
        <v>2794763</v>
      </c>
      <c r="H13" s="178">
        <v>234.27638728867652</v>
      </c>
      <c r="I13" s="179">
        <v>23.830479745173498</v>
      </c>
      <c r="J13" s="179">
        <v>17.648244034524843</v>
      </c>
      <c r="K13" s="179">
        <v>27.449349972155332</v>
      </c>
      <c r="L13" s="179">
        <v>7.1834483326315635</v>
      </c>
      <c r="M13" s="179">
        <v>0.71680472523997041</v>
      </c>
      <c r="N13" s="179">
        <v>311.10471409840176</v>
      </c>
      <c r="O13" s="184">
        <v>2543.3167270309996</v>
      </c>
      <c r="P13" s="179">
        <v>258.75943551999995</v>
      </c>
      <c r="Q13" s="179">
        <v>191.62938941472714</v>
      </c>
      <c r="R13" s="179">
        <v>298.06734010225767</v>
      </c>
      <c r="S13" s="179">
        <v>77.970101449999987</v>
      </c>
      <c r="T13" s="179">
        <v>7.8794028009999453</v>
      </c>
      <c r="U13" s="179">
        <v>3377.6223963189841</v>
      </c>
      <c r="V13" s="58"/>
      <c r="W13" s="57"/>
      <c r="X13" s="57"/>
      <c r="Y13" s="57"/>
    </row>
    <row r="14" spans="1:36" ht="12.95" customHeight="1">
      <c r="A14" s="180" t="s">
        <v>169</v>
      </c>
      <c r="B14" s="246">
        <v>1578</v>
      </c>
      <c r="C14" s="244">
        <v>6340</v>
      </c>
      <c r="D14" s="244">
        <v>204578</v>
      </c>
      <c r="E14" s="244">
        <v>2578129</v>
      </c>
      <c r="F14" s="244">
        <v>271</v>
      </c>
      <c r="G14" s="248">
        <v>2790896</v>
      </c>
      <c r="H14" s="181">
        <v>242.46662009726981</v>
      </c>
      <c r="I14" s="182">
        <v>32.997978248616526</v>
      </c>
      <c r="J14" s="182">
        <v>37.53341935625658</v>
      </c>
      <c r="K14" s="182">
        <v>61.003104364331691</v>
      </c>
      <c r="L14" s="182">
        <v>6.6186550827523094</v>
      </c>
      <c r="M14" s="182">
        <v>2.7381834933099349</v>
      </c>
      <c r="N14" s="182">
        <v>383.35796064253685</v>
      </c>
      <c r="O14" s="185">
        <v>2653.4583193360004</v>
      </c>
      <c r="P14" s="182">
        <v>361.13443099999995</v>
      </c>
      <c r="Q14" s="182">
        <v>410.75268184842724</v>
      </c>
      <c r="R14" s="182">
        <v>667.54882757754137</v>
      </c>
      <c r="S14" s="182">
        <v>72.38430846</v>
      </c>
      <c r="T14" s="182">
        <v>30.01110493600001</v>
      </c>
      <c r="U14" s="182">
        <v>4195.2896731579685</v>
      </c>
      <c r="V14" s="58"/>
      <c r="W14" s="57"/>
      <c r="X14" s="57"/>
      <c r="Y14" s="57"/>
    </row>
    <row r="15" spans="1:36" ht="12.95" customHeight="1">
      <c r="A15" s="177" t="s">
        <v>170</v>
      </c>
      <c r="B15" s="245">
        <v>1568</v>
      </c>
      <c r="C15" s="241">
        <v>6337</v>
      </c>
      <c r="D15" s="241">
        <v>204220</v>
      </c>
      <c r="E15" s="241">
        <v>2574344</v>
      </c>
      <c r="F15" s="241">
        <v>272</v>
      </c>
      <c r="G15" s="247">
        <v>2786741</v>
      </c>
      <c r="H15" s="178">
        <v>274.31760435285543</v>
      </c>
      <c r="I15" s="179">
        <v>46.188890162893109</v>
      </c>
      <c r="J15" s="179">
        <v>61.686472974394015</v>
      </c>
      <c r="K15" s="179">
        <v>108.93586677193464</v>
      </c>
      <c r="L15" s="179">
        <v>6.9209271181287191</v>
      </c>
      <c r="M15" s="179">
        <v>9.5627275538044891</v>
      </c>
      <c r="N15" s="179">
        <v>507.61248893401046</v>
      </c>
      <c r="O15" s="184">
        <v>3006.5356889509999</v>
      </c>
      <c r="P15" s="179">
        <v>506.24072078000006</v>
      </c>
      <c r="Q15" s="179">
        <v>676.08865936547409</v>
      </c>
      <c r="R15" s="179">
        <v>1193.962257777519</v>
      </c>
      <c r="S15" s="179">
        <v>75.830590579999992</v>
      </c>
      <c r="T15" s="179">
        <v>105.00485303699989</v>
      </c>
      <c r="U15" s="179">
        <v>5563.6627704909924</v>
      </c>
      <c r="V15" s="58"/>
      <c r="W15" s="57"/>
      <c r="X15" s="57"/>
      <c r="Y15" s="57"/>
    </row>
    <row r="16" spans="1:36" ht="12.95" customHeight="1">
      <c r="A16" s="177" t="s">
        <v>171</v>
      </c>
      <c r="B16" s="245">
        <v>1587</v>
      </c>
      <c r="C16" s="241">
        <v>6323</v>
      </c>
      <c r="D16" s="241">
        <v>203786</v>
      </c>
      <c r="E16" s="241">
        <v>2572006</v>
      </c>
      <c r="F16" s="241">
        <v>270</v>
      </c>
      <c r="G16" s="247">
        <v>2783972.2080000001</v>
      </c>
      <c r="H16" s="178">
        <v>319.82641007933182</v>
      </c>
      <c r="I16" s="179">
        <v>71.815959951868294</v>
      </c>
      <c r="J16" s="179">
        <v>118.28801622787063</v>
      </c>
      <c r="K16" s="179">
        <v>211.29360360219198</v>
      </c>
      <c r="L16" s="179">
        <v>7.538384491081362</v>
      </c>
      <c r="M16" s="179">
        <v>14.20829542937047</v>
      </c>
      <c r="N16" s="179">
        <v>742.97066978171461</v>
      </c>
      <c r="O16" s="184">
        <v>3495.5351040229998</v>
      </c>
      <c r="P16" s="179">
        <v>785.04795411999987</v>
      </c>
      <c r="Q16" s="179">
        <v>1292.949130804582</v>
      </c>
      <c r="R16" s="179">
        <v>2309.4240632713295</v>
      </c>
      <c r="S16" s="179">
        <v>82.37654818999998</v>
      </c>
      <c r="T16" s="179">
        <v>155.76286193200005</v>
      </c>
      <c r="U16" s="179">
        <v>8121.0956623409093</v>
      </c>
      <c r="V16" s="58"/>
      <c r="W16" s="57"/>
      <c r="X16" s="57"/>
      <c r="Y16" s="57"/>
    </row>
    <row r="17" spans="1:25" ht="12.95" customHeight="1">
      <c r="A17" s="180" t="s">
        <v>172</v>
      </c>
      <c r="B17" s="246">
        <v>1578</v>
      </c>
      <c r="C17" s="244">
        <v>6339</v>
      </c>
      <c r="D17" s="244">
        <v>203671</v>
      </c>
      <c r="E17" s="244">
        <v>2569422</v>
      </c>
      <c r="F17" s="244">
        <v>271</v>
      </c>
      <c r="G17" s="248">
        <v>2781281.2080000001</v>
      </c>
      <c r="H17" s="181">
        <v>350.79541498367632</v>
      </c>
      <c r="I17" s="182">
        <v>93.048956976117765</v>
      </c>
      <c r="J17" s="182">
        <v>172.61139838764942</v>
      </c>
      <c r="K17" s="182">
        <v>324.24774087262341</v>
      </c>
      <c r="L17" s="182">
        <v>7.5222403498386985</v>
      </c>
      <c r="M17" s="182">
        <v>17.948142009695417</v>
      </c>
      <c r="N17" s="182">
        <v>966.1738935796011</v>
      </c>
      <c r="O17" s="185">
        <v>3823.3720697100002</v>
      </c>
      <c r="P17" s="182">
        <v>1014.1131915300003</v>
      </c>
      <c r="Q17" s="182">
        <v>1880.7508450669477</v>
      </c>
      <c r="R17" s="182">
        <v>3532.1586115860914</v>
      </c>
      <c r="S17" s="182">
        <v>81.92776892000002</v>
      </c>
      <c r="T17" s="182">
        <v>195.44611581800004</v>
      </c>
      <c r="U17" s="182">
        <v>10527.76860263104</v>
      </c>
      <c r="V17" s="58"/>
      <c r="W17" s="57"/>
      <c r="X17" s="57"/>
      <c r="Y17" s="57"/>
    </row>
    <row r="18" spans="1:25" ht="12.95" customHeight="1">
      <c r="A18" s="177" t="s">
        <v>48</v>
      </c>
      <c r="B18" s="245">
        <f>B8</f>
        <v>1590</v>
      </c>
      <c r="C18" s="240">
        <f t="shared" ref="C18:E18" si="0">C8</f>
        <v>6333</v>
      </c>
      <c r="D18" s="240">
        <f t="shared" si="0"/>
        <v>206703</v>
      </c>
      <c r="E18" s="240">
        <f t="shared" si="0"/>
        <v>2598845</v>
      </c>
      <c r="F18" s="240">
        <f t="shared" ref="F18" si="1">F8</f>
        <v>266</v>
      </c>
      <c r="G18" s="249">
        <f>G8</f>
        <v>2813737</v>
      </c>
      <c r="H18" s="178">
        <f>SUM(H6:H8)</f>
        <v>1130.5589073510132</v>
      </c>
      <c r="I18" s="178">
        <f>SUM(I6:I8)</f>
        <v>291.47941689673081</v>
      </c>
      <c r="J18" s="178">
        <f t="shared" ref="J18:K18" si="2">SUM(J6:J8)</f>
        <v>491.93637013248167</v>
      </c>
      <c r="K18" s="178">
        <f t="shared" si="2"/>
        <v>943.94375273459264</v>
      </c>
      <c r="L18" s="178">
        <f t="shared" ref="L18" si="3">SUM(L6:L8)</f>
        <v>24.554257610078288</v>
      </c>
      <c r="M18" s="178">
        <f t="shared" ref="M18" si="4">SUM(M6:M8)</f>
        <v>64.910021001444548</v>
      </c>
      <c r="N18" s="178">
        <f>SUM(N6:N8)</f>
        <v>2947.3827257263411</v>
      </c>
      <c r="O18" s="184">
        <f>SUM(O6:O8)</f>
        <v>12105.793593597</v>
      </c>
      <c r="P18" s="178">
        <f>SUM(P6:P8)</f>
        <v>3120.9507358399997</v>
      </c>
      <c r="Q18" s="178">
        <f t="shared" ref="Q18:U18" si="5">SUM(Q6:Q8)</f>
        <v>5266.4144165960943</v>
      </c>
      <c r="R18" s="178">
        <f t="shared" si="5"/>
        <v>10103.876503418738</v>
      </c>
      <c r="S18" s="178">
        <f t="shared" ref="S18" si="6">SUM(S6:S8)</f>
        <v>262.84610711799996</v>
      </c>
      <c r="T18" s="178">
        <f t="shared" ref="T18" si="7">SUM(T6:T8)</f>
        <v>695.33103826399997</v>
      </c>
      <c r="U18" s="178">
        <f t="shared" si="5"/>
        <v>31555.212394833827</v>
      </c>
    </row>
    <row r="19" spans="1:25" ht="12.95" customHeight="1">
      <c r="A19" s="177" t="s">
        <v>56</v>
      </c>
      <c r="B19" s="245">
        <f>B11</f>
        <v>1591</v>
      </c>
      <c r="C19" s="240">
        <f t="shared" ref="C19:G19" si="8">C11</f>
        <v>6324</v>
      </c>
      <c r="D19" s="240">
        <f t="shared" si="8"/>
        <v>205977</v>
      </c>
      <c r="E19" s="240">
        <f t="shared" si="8"/>
        <v>2588055</v>
      </c>
      <c r="F19" s="240">
        <f t="shared" ref="F19" si="9">F11</f>
        <v>269</v>
      </c>
      <c r="G19" s="249">
        <f t="shared" si="8"/>
        <v>2802216</v>
      </c>
      <c r="H19" s="178">
        <f>SUM(H9:H11)</f>
        <v>792.97827088592771</v>
      </c>
      <c r="I19" s="178">
        <f>SUM(I9:I11)</f>
        <v>121.48613377044437</v>
      </c>
      <c r="J19" s="178">
        <f t="shared" ref="J19:N19" si="10">SUM(J9:J11)</f>
        <v>158.560558070436</v>
      </c>
      <c r="K19" s="178">
        <f t="shared" si="10"/>
        <v>286.95559416623479</v>
      </c>
      <c r="L19" s="178">
        <f t="shared" ref="L19" si="11">SUM(L9:L11)</f>
        <v>23.538894514925193</v>
      </c>
      <c r="M19" s="178">
        <f t="shared" ref="M19" si="12">SUM(M9:M11)</f>
        <v>13.093365232504041</v>
      </c>
      <c r="N19" s="178">
        <f t="shared" si="10"/>
        <v>1396.6128166404719</v>
      </c>
      <c r="O19" s="184">
        <f>SUM(O9:O11)</f>
        <v>8556.3409606169989</v>
      </c>
      <c r="P19" s="178">
        <f>SUM(P9:P11)</f>
        <v>1310.7046951699999</v>
      </c>
      <c r="Q19" s="178">
        <f t="shared" ref="Q19:U19" si="13">SUM(Q9:Q11)</f>
        <v>1710.0677040087473</v>
      </c>
      <c r="R19" s="178">
        <f t="shared" si="13"/>
        <v>3094.2336039831539</v>
      </c>
      <c r="S19" s="178">
        <f t="shared" ref="S19" si="14">SUM(S9:S11)</f>
        <v>253.97646442999999</v>
      </c>
      <c r="T19" s="178">
        <f t="shared" ref="T19" si="15">SUM(T9:T11)</f>
        <v>141.84119897999983</v>
      </c>
      <c r="U19" s="178">
        <f t="shared" si="13"/>
        <v>15067.1646271889</v>
      </c>
    </row>
    <row r="20" spans="1:25" ht="12.95" customHeight="1">
      <c r="A20" s="177" t="s">
        <v>63</v>
      </c>
      <c r="B20" s="245">
        <f>B14</f>
        <v>1578</v>
      </c>
      <c r="C20" s="240">
        <f t="shared" ref="C20:G20" si="16">C14</f>
        <v>6340</v>
      </c>
      <c r="D20" s="240">
        <f t="shared" si="16"/>
        <v>204578</v>
      </c>
      <c r="E20" s="240">
        <f t="shared" si="16"/>
        <v>2578129</v>
      </c>
      <c r="F20" s="240">
        <f t="shared" ref="F20" si="17">F14</f>
        <v>271</v>
      </c>
      <c r="G20" s="249">
        <f t="shared" si="16"/>
        <v>2790896</v>
      </c>
      <c r="H20" s="178">
        <f>SUM(H12:H14)</f>
        <v>688.93857996371594</v>
      </c>
      <c r="I20" s="178">
        <f>SUM(I12:I14)</f>
        <v>78.714795254479498</v>
      </c>
      <c r="J20" s="178">
        <f t="shared" ref="J20:N20" si="18">SUM(J12:J14)</f>
        <v>73.210806060104034</v>
      </c>
      <c r="K20" s="178">
        <f t="shared" si="18"/>
        <v>117.05393096906919</v>
      </c>
      <c r="L20" s="178">
        <f t="shared" ref="L20" si="19">SUM(L12:L14)</f>
        <v>20.987495626636026</v>
      </c>
      <c r="M20" s="178">
        <f t="shared" ref="M20" si="20">SUM(M12:M14)</f>
        <v>4.1262770744663406</v>
      </c>
      <c r="N20" s="178">
        <f t="shared" si="18"/>
        <v>983.03188494847086</v>
      </c>
      <c r="O20" s="184">
        <f>SUM(O12:O14)</f>
        <v>7504.6652050879993</v>
      </c>
      <c r="P20" s="178">
        <f>SUM(P12:P14)</f>
        <v>857.9532439699999</v>
      </c>
      <c r="Q20" s="178">
        <f t="shared" ref="Q20:U20" si="21">SUM(Q12:Q14)</f>
        <v>798.50359258091521</v>
      </c>
      <c r="R20" s="178">
        <f t="shared" si="21"/>
        <v>1276.7961103580337</v>
      </c>
      <c r="S20" s="178">
        <f t="shared" ref="S20" si="22">SUM(S12:S14)</f>
        <v>228.48902218000001</v>
      </c>
      <c r="T20" s="178">
        <f t="shared" ref="T20" si="23">SUM(T12:T14)</f>
        <v>45.470599188999898</v>
      </c>
      <c r="U20" s="178">
        <f t="shared" si="21"/>
        <v>10711.877773365948</v>
      </c>
    </row>
    <row r="21" spans="1:25" ht="12.95" customHeight="1">
      <c r="A21" s="180" t="s">
        <v>57</v>
      </c>
      <c r="B21" s="246">
        <f>B17</f>
        <v>1578</v>
      </c>
      <c r="C21" s="243">
        <f t="shared" ref="C21:E21" si="24">C17</f>
        <v>6339</v>
      </c>
      <c r="D21" s="243">
        <f t="shared" si="24"/>
        <v>203671</v>
      </c>
      <c r="E21" s="243">
        <f t="shared" si="24"/>
        <v>2569422</v>
      </c>
      <c r="F21" s="243">
        <f t="shared" ref="F21" si="25">F17</f>
        <v>271</v>
      </c>
      <c r="G21" s="395">
        <f>G17</f>
        <v>2781281.2080000001</v>
      </c>
      <c r="H21" s="181">
        <f>SUM(H15:H17)</f>
        <v>944.93942941586363</v>
      </c>
      <c r="I21" s="181">
        <f>SUM(I15:I17)</f>
        <v>211.05380709087916</v>
      </c>
      <c r="J21" s="181">
        <f t="shared" ref="J21:N21" si="26">SUM(J15:J17)</f>
        <v>352.58588758991402</v>
      </c>
      <c r="K21" s="181">
        <f t="shared" si="26"/>
        <v>644.47721124675002</v>
      </c>
      <c r="L21" s="181">
        <f t="shared" ref="L21" si="27">SUM(L15:L17)</f>
        <v>21.98155195904878</v>
      </c>
      <c r="M21" s="181">
        <f t="shared" ref="M21" si="28">SUM(M15:M17)</f>
        <v>41.719164992870375</v>
      </c>
      <c r="N21" s="181">
        <f t="shared" si="26"/>
        <v>2216.757052295326</v>
      </c>
      <c r="O21" s="185">
        <f>SUM(O15:O17)</f>
        <v>10325.442862684</v>
      </c>
      <c r="P21" s="181">
        <f>SUM(P15:P17)</f>
        <v>2305.4018664300002</v>
      </c>
      <c r="Q21" s="181">
        <f t="shared" ref="Q21:U21" si="29">SUM(Q15:Q17)</f>
        <v>3849.7886352370037</v>
      </c>
      <c r="R21" s="181">
        <f t="shared" si="29"/>
        <v>7035.5449326349399</v>
      </c>
      <c r="S21" s="181">
        <f t="shared" ref="S21" si="30">SUM(S15:S17)</f>
        <v>240.13490768999998</v>
      </c>
      <c r="T21" s="181">
        <f t="shared" ref="T21" si="31">SUM(T15:T17)</f>
        <v>456.21383078700001</v>
      </c>
      <c r="U21" s="181">
        <f t="shared" si="29"/>
        <v>24212.527035462943</v>
      </c>
    </row>
    <row r="22" spans="1:25" ht="12.95" customHeight="1">
      <c r="A22" s="177" t="s">
        <v>58</v>
      </c>
      <c r="B22" s="245">
        <f>B11</f>
        <v>1591</v>
      </c>
      <c r="C22" s="240">
        <f t="shared" ref="C22:G22" si="32">C11</f>
        <v>6324</v>
      </c>
      <c r="D22" s="240">
        <f t="shared" si="32"/>
        <v>205977</v>
      </c>
      <c r="E22" s="240">
        <f t="shared" si="32"/>
        <v>2588055</v>
      </c>
      <c r="F22" s="240">
        <f t="shared" ref="F22" si="33">F11</f>
        <v>269</v>
      </c>
      <c r="G22" s="249">
        <f t="shared" si="32"/>
        <v>2802216</v>
      </c>
      <c r="H22" s="178">
        <f>SUM(H6:H11)</f>
        <v>1923.5371782369407</v>
      </c>
      <c r="I22" s="178">
        <f>SUM(I6:I11)</f>
        <v>412.96555066717519</v>
      </c>
      <c r="J22" s="178">
        <f t="shared" ref="J22:N22" si="34">SUM(J6:J11)</f>
        <v>650.49692820291773</v>
      </c>
      <c r="K22" s="178">
        <f t="shared" si="34"/>
        <v>1230.8993469008274</v>
      </c>
      <c r="L22" s="178">
        <f t="shared" ref="L22" si="35">SUM(L6:L11)</f>
        <v>48.093152125003485</v>
      </c>
      <c r="M22" s="178">
        <f t="shared" ref="M22" si="36">SUM(M6:M11)</f>
        <v>78.003386233948603</v>
      </c>
      <c r="N22" s="178">
        <f t="shared" si="34"/>
        <v>4343.9955423668125</v>
      </c>
      <c r="O22" s="184">
        <f>SUM(O6:O11)</f>
        <v>20662.134554214001</v>
      </c>
      <c r="P22" s="178">
        <f>SUM(P6:P11)</f>
        <v>4431.65543101</v>
      </c>
      <c r="Q22" s="178">
        <f t="shared" ref="Q22:U22" si="37">SUM(Q6:Q11)</f>
        <v>6976.4821206048418</v>
      </c>
      <c r="R22" s="178">
        <f t="shared" si="37"/>
        <v>13198.110107401893</v>
      </c>
      <c r="S22" s="178">
        <f t="shared" ref="S22" si="38">SUM(S6:S11)</f>
        <v>516.82257154800004</v>
      </c>
      <c r="T22" s="178">
        <f t="shared" ref="T22" si="39">SUM(T6:T11)</f>
        <v>837.1722372439998</v>
      </c>
      <c r="U22" s="178">
        <f t="shared" si="37"/>
        <v>46622.377022022731</v>
      </c>
    </row>
    <row r="23" spans="1:25" ht="12.95" customHeight="1">
      <c r="A23" s="180" t="s">
        <v>59</v>
      </c>
      <c r="B23" s="246">
        <f>B17</f>
        <v>1578</v>
      </c>
      <c r="C23" s="243">
        <f t="shared" ref="C23:G23" si="40">C17</f>
        <v>6339</v>
      </c>
      <c r="D23" s="243">
        <f t="shared" si="40"/>
        <v>203671</v>
      </c>
      <c r="E23" s="243">
        <f t="shared" si="40"/>
        <v>2569422</v>
      </c>
      <c r="F23" s="243">
        <f t="shared" ref="F23" si="41">F17</f>
        <v>271</v>
      </c>
      <c r="G23" s="395">
        <f t="shared" si="40"/>
        <v>2781281.2080000001</v>
      </c>
      <c r="H23" s="181">
        <f>SUM(H12:H17)</f>
        <v>1633.8780093795795</v>
      </c>
      <c r="I23" s="181">
        <f>SUM(I12:I17)</f>
        <v>289.76860234535866</v>
      </c>
      <c r="J23" s="181">
        <f t="shared" ref="J23:N23" si="42">SUM(J12:J17)</f>
        <v>425.79669365001809</v>
      </c>
      <c r="K23" s="181">
        <f t="shared" si="42"/>
        <v>761.53114221581927</v>
      </c>
      <c r="L23" s="181">
        <f t="shared" ref="L23" si="43">SUM(L12:L17)</f>
        <v>42.969047585684805</v>
      </c>
      <c r="M23" s="181">
        <f t="shared" ref="M23" si="44">SUM(M12:M17)</f>
        <v>45.84544206733672</v>
      </c>
      <c r="N23" s="181">
        <f t="shared" si="42"/>
        <v>3199.7889372437971</v>
      </c>
      <c r="O23" s="185">
        <f>SUM(O12:O17)</f>
        <v>17830.108067771998</v>
      </c>
      <c r="P23" s="181">
        <f>SUM(P12:P17)</f>
        <v>3163.3551103999998</v>
      </c>
      <c r="Q23" s="181">
        <f t="shared" ref="Q23:U23" si="45">SUM(Q12:Q17)</f>
        <v>4648.2922278179185</v>
      </c>
      <c r="R23" s="181">
        <f t="shared" si="45"/>
        <v>8312.3410429929736</v>
      </c>
      <c r="S23" s="181">
        <f t="shared" ref="S23" si="46">SUM(S12:S17)</f>
        <v>468.62392986999998</v>
      </c>
      <c r="T23" s="181">
        <f t="shared" ref="T23" si="47">SUM(T12:T17)</f>
        <v>501.68442997599993</v>
      </c>
      <c r="U23" s="181">
        <f t="shared" si="45"/>
        <v>34924.404808828891</v>
      </c>
    </row>
    <row r="24" spans="1:25" ht="12.95" customHeight="1">
      <c r="A24" s="180" t="s">
        <v>173</v>
      </c>
      <c r="B24" s="246">
        <f>B17</f>
        <v>1578</v>
      </c>
      <c r="C24" s="243">
        <f t="shared" ref="C24:G24" si="48">C17</f>
        <v>6339</v>
      </c>
      <c r="D24" s="243">
        <f t="shared" si="48"/>
        <v>203671</v>
      </c>
      <c r="E24" s="243">
        <f t="shared" si="48"/>
        <v>2569422</v>
      </c>
      <c r="F24" s="243">
        <f t="shared" ref="F24" si="49">F17</f>
        <v>271</v>
      </c>
      <c r="G24" s="395">
        <f t="shared" si="48"/>
        <v>2781281.2080000001</v>
      </c>
      <c r="H24" s="181">
        <f>SUM(H6:H17)</f>
        <v>3557.4151876165206</v>
      </c>
      <c r="I24" s="181">
        <f>SUM(I6:I17)</f>
        <v>702.73415301253385</v>
      </c>
      <c r="J24" s="181">
        <f t="shared" ref="J24:N24" si="50">SUM(J6:J17)</f>
        <v>1076.2936218529358</v>
      </c>
      <c r="K24" s="181">
        <f t="shared" si="50"/>
        <v>1992.4304891166464</v>
      </c>
      <c r="L24" s="181">
        <f t="shared" ref="L24" si="51">SUM(L6:L17)</f>
        <v>91.062199710688276</v>
      </c>
      <c r="M24" s="181">
        <f t="shared" ref="M24" si="52">SUM(M6:M17)</f>
        <v>123.84882830128531</v>
      </c>
      <c r="N24" s="181">
        <f t="shared" si="50"/>
        <v>7543.7844796106101</v>
      </c>
      <c r="O24" s="185">
        <f>SUM(O6:O17)</f>
        <v>38492.242621985999</v>
      </c>
      <c r="P24" s="181">
        <f>SUM(P6:P17)</f>
        <v>7595.0105414099999</v>
      </c>
      <c r="Q24" s="181">
        <f t="shared" ref="Q24:U24" si="53">SUM(Q6:Q17)</f>
        <v>11624.774348422763</v>
      </c>
      <c r="R24" s="181">
        <f t="shared" si="53"/>
        <v>21510.451150394867</v>
      </c>
      <c r="S24" s="181">
        <f t="shared" ref="S24" si="54">SUM(S6:S17)</f>
        <v>985.44650141800025</v>
      </c>
      <c r="T24" s="181">
        <f t="shared" ref="T24" si="55">SUM(T6:T17)</f>
        <v>1338.8566672199995</v>
      </c>
      <c r="U24" s="181">
        <f t="shared" si="53"/>
        <v>81546.781830851614</v>
      </c>
    </row>
    <row r="25" spans="1:25" ht="15" customHeight="1"/>
    <row r="26" spans="1:25" ht="26.1" customHeight="1">
      <c r="A26" s="435" t="s">
        <v>315</v>
      </c>
      <c r="B26" s="435"/>
      <c r="C26" s="435"/>
      <c r="D26" s="435"/>
      <c r="E26" s="435"/>
      <c r="F26" s="435"/>
      <c r="G26" s="435"/>
      <c r="H26" s="435"/>
      <c r="I26" s="435" t="s">
        <v>256</v>
      </c>
      <c r="J26" s="435"/>
      <c r="K26" s="435"/>
      <c r="L26" s="435"/>
      <c r="M26" s="435"/>
      <c r="N26" s="119"/>
      <c r="O26" s="119"/>
      <c r="P26" s="435" t="s">
        <v>257</v>
      </c>
      <c r="Q26" s="449"/>
      <c r="R26" s="449"/>
      <c r="S26" s="449"/>
      <c r="T26" s="449"/>
    </row>
    <row r="27" spans="1:25" ht="12" customHeight="1">
      <c r="A27" s="67"/>
      <c r="B27" s="70" t="str">
        <f>B5</f>
        <v>VO</v>
      </c>
      <c r="C27" s="70" t="str">
        <f t="shared" ref="C27:E27" si="56">C5</f>
        <v>SO</v>
      </c>
      <c r="D27" s="70" t="str">
        <f t="shared" si="56"/>
        <v>MO</v>
      </c>
      <c r="E27" s="70" t="str">
        <f t="shared" si="56"/>
        <v>DOM</v>
      </c>
      <c r="F27" s="70" t="str">
        <f>F5</f>
        <v>CNG</v>
      </c>
      <c r="G27" s="379"/>
      <c r="H27" s="72"/>
      <c r="I27" s="70" t="str">
        <f>H5</f>
        <v>VO</v>
      </c>
      <c r="J27" s="70" t="str">
        <f t="shared" ref="J27" si="57">I5</f>
        <v>SO</v>
      </c>
      <c r="K27" s="70" t="str">
        <f>J5</f>
        <v>MO</v>
      </c>
      <c r="L27" s="70" t="str">
        <f t="shared" ref="L27:M27" si="58">K5</f>
        <v>DOM</v>
      </c>
      <c r="M27" s="70" t="str">
        <f t="shared" si="58"/>
        <v>CNG</v>
      </c>
      <c r="N27" s="71"/>
      <c r="O27" s="73"/>
      <c r="P27" s="70" t="str">
        <f>O5</f>
        <v>VO</v>
      </c>
      <c r="Q27" s="70" t="str">
        <f t="shared" ref="Q27:T27" si="59">P5</f>
        <v>SO</v>
      </c>
      <c r="R27" s="70" t="str">
        <f t="shared" si="59"/>
        <v>MO</v>
      </c>
      <c r="S27" s="70" t="str">
        <f t="shared" si="59"/>
        <v>DOM</v>
      </c>
      <c r="T27" s="70" t="str">
        <f t="shared" si="59"/>
        <v>CNG</v>
      </c>
      <c r="U27" s="60"/>
    </row>
    <row r="28" spans="1:25" ht="12" customHeight="1">
      <c r="B28" s="74">
        <f>B19</f>
        <v>1591</v>
      </c>
      <c r="C28" s="74">
        <f>C19</f>
        <v>6324</v>
      </c>
      <c r="D28" s="74">
        <f>D19</f>
        <v>205977</v>
      </c>
      <c r="E28" s="74">
        <f>E19</f>
        <v>2588055</v>
      </c>
      <c r="F28" s="74">
        <f>F19</f>
        <v>269</v>
      </c>
      <c r="G28" s="380"/>
      <c r="H28" s="73" t="str">
        <f>A18</f>
        <v>I. čtvrtletí</v>
      </c>
      <c r="I28" s="75">
        <f>H18</f>
        <v>1130.5589073510132</v>
      </c>
      <c r="J28" s="75">
        <f t="shared" ref="J28:M28" si="60">I18</f>
        <v>291.47941689673081</v>
      </c>
      <c r="K28" s="75">
        <f t="shared" si="60"/>
        <v>491.93637013248167</v>
      </c>
      <c r="L28" s="75">
        <f t="shared" si="60"/>
        <v>943.94375273459264</v>
      </c>
      <c r="M28" s="75">
        <f t="shared" si="60"/>
        <v>24.554257610078288</v>
      </c>
      <c r="N28" s="61"/>
      <c r="O28" s="72" t="str">
        <f>A18</f>
        <v>I. čtvrtletí</v>
      </c>
      <c r="P28" s="74">
        <f>O18</f>
        <v>12105.793593597</v>
      </c>
      <c r="Q28" s="74">
        <f t="shared" ref="Q28:T28" si="61">P18</f>
        <v>3120.9507358399997</v>
      </c>
      <c r="R28" s="74">
        <f t="shared" si="61"/>
        <v>5266.4144165960943</v>
      </c>
      <c r="S28" s="74">
        <f t="shared" si="61"/>
        <v>10103.876503418738</v>
      </c>
      <c r="T28" s="74">
        <f t="shared" si="61"/>
        <v>262.84610711799996</v>
      </c>
      <c r="U28" s="63"/>
    </row>
    <row r="29" spans="1:25" ht="12" customHeight="1">
      <c r="B29" s="61"/>
      <c r="C29" s="61"/>
      <c r="D29" s="61"/>
      <c r="E29" s="62"/>
      <c r="F29" s="62"/>
      <c r="G29" s="62"/>
      <c r="H29" s="73" t="str">
        <f t="shared" ref="H29:H31" si="62">A19</f>
        <v>II. čtvrtletí</v>
      </c>
      <c r="I29" s="75">
        <f t="shared" ref="I29:M29" si="63">H19</f>
        <v>792.97827088592771</v>
      </c>
      <c r="J29" s="75">
        <f t="shared" si="63"/>
        <v>121.48613377044437</v>
      </c>
      <c r="K29" s="75">
        <f t="shared" si="63"/>
        <v>158.560558070436</v>
      </c>
      <c r="L29" s="75">
        <f t="shared" si="63"/>
        <v>286.95559416623479</v>
      </c>
      <c r="M29" s="75">
        <f t="shared" si="63"/>
        <v>23.538894514925193</v>
      </c>
      <c r="N29" s="61"/>
      <c r="O29" s="72" t="str">
        <f t="shared" ref="O29:O31" si="64">A19</f>
        <v>II. čtvrtletí</v>
      </c>
      <c r="P29" s="74">
        <f t="shared" ref="P29:T29" si="65">O19</f>
        <v>8556.3409606169989</v>
      </c>
      <c r="Q29" s="74">
        <f t="shared" si="65"/>
        <v>1310.7046951699999</v>
      </c>
      <c r="R29" s="74">
        <f t="shared" si="65"/>
        <v>1710.0677040087473</v>
      </c>
      <c r="S29" s="74">
        <f t="shared" si="65"/>
        <v>3094.2336039831539</v>
      </c>
      <c r="T29" s="74">
        <f t="shared" si="65"/>
        <v>253.97646442999999</v>
      </c>
      <c r="U29" s="63"/>
    </row>
    <row r="30" spans="1:25" ht="12" customHeight="1">
      <c r="B30" s="61"/>
      <c r="C30" s="61"/>
      <c r="D30" s="61"/>
      <c r="E30" s="62"/>
      <c r="F30" s="62"/>
      <c r="G30" s="62"/>
      <c r="H30" s="73" t="str">
        <f t="shared" si="62"/>
        <v>III. čtvrtletí</v>
      </c>
      <c r="I30" s="75">
        <f t="shared" ref="I30:M30" si="66">H20</f>
        <v>688.93857996371594</v>
      </c>
      <c r="J30" s="75">
        <f t="shared" si="66"/>
        <v>78.714795254479498</v>
      </c>
      <c r="K30" s="75">
        <f t="shared" si="66"/>
        <v>73.210806060104034</v>
      </c>
      <c r="L30" s="75">
        <f t="shared" si="66"/>
        <v>117.05393096906919</v>
      </c>
      <c r="M30" s="75">
        <f t="shared" si="66"/>
        <v>20.987495626636026</v>
      </c>
      <c r="N30" s="61"/>
      <c r="O30" s="72" t="str">
        <f t="shared" si="64"/>
        <v>III. čtvrtletí</v>
      </c>
      <c r="P30" s="74">
        <f t="shared" ref="P30:T30" si="67">O20</f>
        <v>7504.6652050879993</v>
      </c>
      <c r="Q30" s="74">
        <f t="shared" si="67"/>
        <v>857.9532439699999</v>
      </c>
      <c r="R30" s="74">
        <f t="shared" si="67"/>
        <v>798.50359258091521</v>
      </c>
      <c r="S30" s="74">
        <f t="shared" si="67"/>
        <v>1276.7961103580337</v>
      </c>
      <c r="T30" s="74">
        <f t="shared" si="67"/>
        <v>228.48902218000001</v>
      </c>
      <c r="U30" s="63"/>
    </row>
    <row r="31" spans="1:25" ht="12" customHeight="1">
      <c r="B31" s="61"/>
      <c r="C31" s="61"/>
      <c r="D31" s="61"/>
      <c r="E31" s="62"/>
      <c r="F31" s="62"/>
      <c r="G31" s="62"/>
      <c r="H31" s="73" t="str">
        <f t="shared" si="62"/>
        <v>IV. čtvrtletí</v>
      </c>
      <c r="I31" s="75">
        <f t="shared" ref="I31:M31" si="68">H21</f>
        <v>944.93942941586363</v>
      </c>
      <c r="J31" s="75">
        <f t="shared" si="68"/>
        <v>211.05380709087916</v>
      </c>
      <c r="K31" s="75">
        <f t="shared" si="68"/>
        <v>352.58588758991402</v>
      </c>
      <c r="L31" s="75">
        <f t="shared" si="68"/>
        <v>644.47721124675002</v>
      </c>
      <c r="M31" s="75">
        <f t="shared" si="68"/>
        <v>21.98155195904878</v>
      </c>
      <c r="N31" s="61"/>
      <c r="O31" s="72" t="str">
        <f t="shared" si="64"/>
        <v>IV. čtvrtletí</v>
      </c>
      <c r="P31" s="74">
        <f t="shared" ref="P31:T31" si="69">O21</f>
        <v>10325.442862684</v>
      </c>
      <c r="Q31" s="74">
        <f t="shared" si="69"/>
        <v>2305.4018664300002</v>
      </c>
      <c r="R31" s="74">
        <f t="shared" si="69"/>
        <v>3849.7886352370037</v>
      </c>
      <c r="S31" s="74">
        <f t="shared" si="69"/>
        <v>7035.5449326349399</v>
      </c>
      <c r="T31" s="74">
        <f t="shared" si="69"/>
        <v>240.13490768999998</v>
      </c>
      <c r="U31" s="63"/>
    </row>
    <row r="32" spans="1:25" ht="12" customHeight="1">
      <c r="E32" s="63"/>
      <c r="F32" s="63"/>
      <c r="G32" s="63"/>
      <c r="H32" s="63"/>
      <c r="I32" s="63"/>
      <c r="Q32" s="63"/>
      <c r="R32" s="63"/>
      <c r="S32" s="63"/>
      <c r="T32" s="63"/>
      <c r="U32" s="63"/>
    </row>
    <row r="33" spans="4:21" ht="12" customHeight="1">
      <c r="D33" s="451"/>
      <c r="E33" s="63"/>
      <c r="F33" s="63"/>
      <c r="G33" s="63"/>
      <c r="H33" s="63"/>
      <c r="I33" s="63"/>
      <c r="Q33" s="63"/>
      <c r="R33" s="63"/>
      <c r="S33" s="63"/>
      <c r="T33" s="63"/>
      <c r="U33" s="63"/>
    </row>
    <row r="34" spans="4:21" ht="12" customHeight="1">
      <c r="D34" s="451"/>
      <c r="E34" s="63"/>
      <c r="F34" s="63"/>
      <c r="G34" s="63"/>
      <c r="H34" s="63"/>
      <c r="I34" s="63"/>
      <c r="Q34" s="63"/>
      <c r="R34" s="63"/>
      <c r="S34" s="63"/>
      <c r="T34" s="63"/>
      <c r="U34" s="63"/>
    </row>
    <row r="35" spans="4:21" ht="12" customHeight="1">
      <c r="E35" s="63"/>
      <c r="F35" s="63"/>
      <c r="G35" s="63"/>
      <c r="H35" s="63"/>
      <c r="I35" s="63"/>
      <c r="Q35" s="63"/>
      <c r="R35" s="63"/>
      <c r="S35" s="63"/>
      <c r="T35" s="63"/>
      <c r="U35" s="63"/>
    </row>
    <row r="36" spans="4:21" ht="12" customHeight="1">
      <c r="E36" s="63"/>
      <c r="F36" s="63"/>
      <c r="G36" s="63"/>
      <c r="H36" s="63"/>
      <c r="I36" s="63"/>
      <c r="Q36" s="63"/>
      <c r="R36" s="63"/>
      <c r="S36" s="63"/>
      <c r="T36" s="63"/>
      <c r="U36" s="63"/>
    </row>
    <row r="37" spans="4:21" ht="12" customHeight="1">
      <c r="E37" s="63"/>
      <c r="F37" s="63"/>
      <c r="G37" s="63"/>
      <c r="H37" s="63"/>
      <c r="I37" s="63"/>
      <c r="Q37" s="63"/>
      <c r="R37" s="63"/>
      <c r="S37" s="63"/>
      <c r="T37" s="63"/>
      <c r="U37" s="63"/>
    </row>
    <row r="38" spans="4:21" ht="12" customHeight="1">
      <c r="E38" s="63"/>
      <c r="F38" s="63"/>
      <c r="G38" s="63"/>
      <c r="H38" s="63"/>
      <c r="I38" s="63"/>
      <c r="Q38" s="63"/>
      <c r="R38" s="63"/>
      <c r="S38" s="63"/>
      <c r="T38" s="63"/>
      <c r="U38" s="63"/>
    </row>
    <row r="39" spans="4:21" ht="12" customHeight="1">
      <c r="E39" s="63"/>
      <c r="F39" s="63"/>
      <c r="G39" s="63"/>
      <c r="H39" s="63"/>
      <c r="I39" s="63"/>
      <c r="Q39" s="63"/>
      <c r="R39" s="63"/>
      <c r="S39" s="63"/>
      <c r="T39" s="63"/>
      <c r="U39" s="63"/>
    </row>
    <row r="40" spans="4:21" ht="12" customHeight="1"/>
    <row r="41" spans="4:21" ht="12" customHeight="1"/>
    <row r="42" spans="4:21" ht="12" customHeight="1"/>
    <row r="43" spans="4:21" ht="12" customHeight="1"/>
    <row r="44" spans="4:21" ht="12" customHeight="1"/>
  </sheetData>
  <mergeCells count="10">
    <mergeCell ref="D33:D34"/>
    <mergeCell ref="A1:U1"/>
    <mergeCell ref="B2:U2"/>
    <mergeCell ref="B3:G3"/>
    <mergeCell ref="H3:U3"/>
    <mergeCell ref="A26:H26"/>
    <mergeCell ref="I26:M26"/>
    <mergeCell ref="P26:T26"/>
    <mergeCell ref="M4:M5"/>
    <mergeCell ref="T4:T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18:U18 H20:U23 H19:I19 J19:U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8</vt:i4>
      </vt:variant>
    </vt:vector>
  </HeadingPairs>
  <TitlesOfParts>
    <vt:vector size="42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Obálka</vt:lpstr>
      <vt:lpstr>'2'!Oblast_tisku</vt:lpstr>
      <vt:lpstr>Titulní!Oblast_tisku</vt:lpstr>
      <vt:lpstr>'2'!OLE_LINK42</vt:lpstr>
      <vt:lpstr>Úvod!OLE_LINK42</vt:lpstr>
      <vt:lpstr>'2'!OLE_LINK43</vt:lpstr>
      <vt:lpstr>Úvod!OLE_LINK43</vt:lpstr>
      <vt:lpstr>Úvod!OLE_LINK6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2023-02-13T15:33:51Z</cp:lastPrinted>
  <dcterms:created xsi:type="dcterms:W3CDTF">2010-02-15T08:19:53Z</dcterms:created>
  <dcterms:modified xsi:type="dcterms:W3CDTF">2023-02-14T14:02:39Z</dcterms:modified>
</cp:coreProperties>
</file>