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3\"/>
    </mc:Choice>
  </mc:AlternateContent>
  <xr:revisionPtr revIDLastSave="0" documentId="13_ncr:1_{D4048BA4-D0E6-42F8-BAF8-2738615BC36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itulní" sheetId="180" r:id="rId1"/>
    <sheet name="Obsah" sheetId="170" r:id="rId2"/>
    <sheet name="Úvod" sheetId="171" r:id="rId3"/>
    <sheet name="1" sheetId="172" r:id="rId4"/>
    <sheet name="2" sheetId="179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  <sheet name="Obálka" sheetId="181" r:id="rId34"/>
  </sheets>
  <definedNames>
    <definedName name="Datum_OTE" localSheetId="33">"4. 8. 2022"</definedName>
    <definedName name="Datum_OTE">"2. 5. 2017"</definedName>
    <definedName name="_xlnm.Print_Area" localSheetId="4">'2'!$A$1:$I$49</definedName>
    <definedName name="_xlnm.Print_Area" localSheetId="0">Titulní!$A$1:$B$2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'2'!#REF!</definedName>
    <definedName name="OLE_LINK6" localSheetId="2">Úvod!$A$7</definedName>
    <definedName name="OLE_LINK7" localSheetId="4">'2'!#REF!</definedName>
    <definedName name="OLE_LINK7" localSheetId="2">Úvod!$A$7</definedName>
  </definedNames>
  <calcPr calcId="191029"/>
</workbook>
</file>

<file path=xl/calcChain.xml><?xml version="1.0" encoding="utf-8"?>
<calcChain xmlns="http://schemas.openxmlformats.org/spreadsheetml/2006/main">
  <c r="K7" i="168" l="1"/>
  <c r="K13" i="168" s="1"/>
  <c r="K8" i="168"/>
  <c r="K9" i="168"/>
  <c r="K10" i="168"/>
  <c r="K11" i="168"/>
  <c r="K12" i="168"/>
  <c r="I28" i="167"/>
  <c r="J28" i="167"/>
  <c r="I29" i="167"/>
  <c r="J29" i="167"/>
  <c r="J34" i="167" s="1"/>
  <c r="I30" i="167"/>
  <c r="J30" i="167"/>
  <c r="I31" i="167"/>
  <c r="J31" i="167"/>
  <c r="I32" i="167"/>
  <c r="J32" i="167"/>
  <c r="I33" i="167"/>
  <c r="J33" i="167"/>
  <c r="I34" i="167" l="1"/>
  <c r="R44" i="128" l="1"/>
  <c r="R43" i="128"/>
  <c r="I19" i="146"/>
  <c r="G14" i="168" l="1"/>
  <c r="H14" i="168"/>
  <c r="G15" i="168"/>
  <c r="H15" i="168"/>
  <c r="G16" i="168"/>
  <c r="H16" i="168"/>
  <c r="G17" i="168"/>
  <c r="H17" i="168"/>
  <c r="G18" i="168"/>
  <c r="H18" i="168"/>
  <c r="G19" i="168"/>
  <c r="H19" i="168"/>
  <c r="H20" i="168"/>
  <c r="G20" i="168" l="1"/>
  <c r="L19" i="146" l="1"/>
  <c r="L20" i="146"/>
  <c r="L21" i="146"/>
  <c r="L22" i="146"/>
  <c r="L23" i="146"/>
  <c r="L24" i="146"/>
  <c r="L25" i="146"/>
  <c r="J19" i="146"/>
  <c r="J20" i="146"/>
  <c r="J21" i="146"/>
  <c r="J22" i="146"/>
  <c r="J23" i="146"/>
  <c r="J24" i="146"/>
  <c r="J25" i="146"/>
  <c r="F19" i="146"/>
  <c r="F20" i="146"/>
  <c r="F21" i="146"/>
  <c r="F22" i="146"/>
  <c r="F23" i="146"/>
  <c r="F24" i="146"/>
  <c r="F25" i="146"/>
  <c r="C19" i="146"/>
  <c r="C20" i="146"/>
  <c r="C21" i="146"/>
  <c r="C22" i="146"/>
  <c r="C23" i="146"/>
  <c r="C24" i="146"/>
  <c r="C25" i="146"/>
  <c r="B50" i="181" l="1"/>
  <c r="E23" i="146" l="1"/>
  <c r="G23" i="146" s="1"/>
  <c r="G9" i="107" l="1"/>
  <c r="R18" i="122" l="1"/>
  <c r="O19" i="122"/>
  <c r="L18" i="122"/>
  <c r="G18" i="122"/>
  <c r="D18" i="122"/>
  <c r="B18" i="122"/>
  <c r="O20" i="146"/>
  <c r="K19" i="146"/>
  <c r="B20" i="146"/>
  <c r="M25" i="146"/>
  <c r="M24" i="146"/>
  <c r="M23" i="146"/>
  <c r="M22" i="146"/>
  <c r="M21" i="146"/>
  <c r="M20" i="146"/>
  <c r="M19" i="146"/>
  <c r="H25" i="146"/>
  <c r="H24" i="146"/>
  <c r="H23" i="146"/>
  <c r="H22" i="146"/>
  <c r="H21" i="146"/>
  <c r="H20" i="146"/>
  <c r="H19" i="146"/>
  <c r="B23" i="146"/>
  <c r="T23" i="146"/>
  <c r="S23" i="146"/>
  <c r="T20" i="146"/>
  <c r="S20" i="146"/>
  <c r="T19" i="146"/>
  <c r="S19" i="146"/>
  <c r="K20" i="146"/>
  <c r="B19" i="146"/>
  <c r="D20" i="146" l="1"/>
  <c r="T25" i="146"/>
  <c r="S25" i="146"/>
  <c r="Q25" i="146"/>
  <c r="P25" i="146"/>
  <c r="O25" i="146"/>
  <c r="N25" i="146"/>
  <c r="K25" i="146"/>
  <c r="I25" i="146"/>
  <c r="E25" i="146"/>
  <c r="G25" i="146" s="1"/>
  <c r="B25" i="146"/>
  <c r="D25" i="146" s="1"/>
  <c r="T24" i="146"/>
  <c r="S24" i="146"/>
  <c r="Q24" i="146"/>
  <c r="P24" i="146"/>
  <c r="O24" i="146"/>
  <c r="N24" i="146"/>
  <c r="K24" i="146"/>
  <c r="I24" i="146"/>
  <c r="E24" i="146"/>
  <c r="G24" i="146" s="1"/>
  <c r="B24" i="146"/>
  <c r="D24" i="146" s="1"/>
  <c r="Q23" i="146"/>
  <c r="P23" i="146"/>
  <c r="O23" i="146"/>
  <c r="N23" i="146"/>
  <c r="K23" i="146"/>
  <c r="I23" i="146"/>
  <c r="D23" i="146"/>
  <c r="T22" i="146"/>
  <c r="S22" i="146"/>
  <c r="Q22" i="146"/>
  <c r="P22" i="146"/>
  <c r="O22" i="146"/>
  <c r="N22" i="146"/>
  <c r="K22" i="146"/>
  <c r="I22" i="146"/>
  <c r="E22" i="146"/>
  <c r="B22" i="146"/>
  <c r="T21" i="146"/>
  <c r="S21" i="146"/>
  <c r="Q21" i="146"/>
  <c r="E26" i="179" s="1"/>
  <c r="P21" i="146"/>
  <c r="O21" i="146"/>
  <c r="N21" i="146"/>
  <c r="E25" i="179" s="1"/>
  <c r="K21" i="146"/>
  <c r="H22" i="179" s="1"/>
  <c r="I21" i="146"/>
  <c r="H19" i="179" s="1"/>
  <c r="E21" i="146"/>
  <c r="E22" i="179" s="1"/>
  <c r="B21" i="146"/>
  <c r="E19" i="179" s="1"/>
  <c r="Q20" i="146"/>
  <c r="P20" i="146"/>
  <c r="N20" i="146"/>
  <c r="I20" i="146"/>
  <c r="E20" i="146"/>
  <c r="Q19" i="146"/>
  <c r="P19" i="146"/>
  <c r="O19" i="146"/>
  <c r="N19" i="146"/>
  <c r="E19" i="146"/>
  <c r="D19" i="146"/>
  <c r="G20" i="146" l="1"/>
  <c r="R19" i="146"/>
  <c r="G19" i="146"/>
  <c r="D22" i="146"/>
  <c r="R22" i="146"/>
  <c r="G22" i="146"/>
  <c r="R23" i="146"/>
  <c r="R20" i="146"/>
  <c r="D21" i="146"/>
  <c r="E20" i="179" s="1"/>
  <c r="R21" i="146"/>
  <c r="E27" i="179" s="1"/>
  <c r="G21" i="146"/>
  <c r="E23" i="179" s="1"/>
  <c r="R24" i="146"/>
  <c r="R25" i="146"/>
  <c r="B36" i="170" l="1"/>
  <c r="B35" i="170"/>
  <c r="B30" i="170"/>
  <c r="B29" i="170"/>
  <c r="B28" i="170"/>
  <c r="B27" i="170"/>
  <c r="B26" i="170"/>
  <c r="B25" i="170"/>
  <c r="B24" i="170"/>
  <c r="B23" i="170"/>
  <c r="B22" i="170"/>
  <c r="B17" i="170"/>
  <c r="B16" i="170"/>
  <c r="B15" i="170"/>
  <c r="B14" i="170"/>
  <c r="B13" i="170"/>
  <c r="B12" i="170"/>
  <c r="B11" i="170"/>
  <c r="B10" i="170"/>
  <c r="B9" i="170"/>
  <c r="B8" i="170"/>
  <c r="B7" i="170"/>
  <c r="B6" i="170"/>
  <c r="B5" i="170"/>
  <c r="B3" i="170"/>
  <c r="A5" i="170"/>
  <c r="A6" i="170"/>
  <c r="A7" i="170"/>
  <c r="A8" i="170"/>
  <c r="A9" i="170"/>
  <c r="A10" i="170"/>
  <c r="A11" i="170"/>
  <c r="A12" i="170"/>
  <c r="A13" i="170"/>
  <c r="A14" i="170"/>
  <c r="A15" i="170"/>
  <c r="A16" i="170"/>
  <c r="A17" i="170"/>
  <c r="A22" i="170"/>
  <c r="A23" i="170"/>
  <c r="A24" i="170"/>
  <c r="A25" i="170"/>
  <c r="A26" i="170"/>
  <c r="A27" i="170"/>
  <c r="A28" i="170"/>
  <c r="A29" i="170"/>
  <c r="A30" i="170"/>
  <c r="A35" i="170"/>
  <c r="A36" i="170"/>
  <c r="A3" i="170"/>
  <c r="A1" i="179"/>
  <c r="B4" i="126" l="1"/>
  <c r="B4" i="161"/>
  <c r="B4" i="162"/>
  <c r="B4" i="163"/>
  <c r="B4" i="141" l="1"/>
  <c r="B4" i="140"/>
  <c r="B4" i="139"/>
  <c r="B4" i="120"/>
  <c r="A3" i="141"/>
  <c r="A1" i="141" s="1"/>
  <c r="A3" i="120"/>
  <c r="A1" i="120" s="1"/>
  <c r="A3" i="140"/>
  <c r="A1" i="140" s="1"/>
  <c r="A3" i="139"/>
  <c r="A1" i="139" s="1"/>
  <c r="I19" i="147" l="1"/>
  <c r="A4" i="128"/>
  <c r="A30" i="128" s="1"/>
  <c r="D4" i="108" l="1"/>
  <c r="D34" i="108" s="1"/>
  <c r="I34" i="108" s="1"/>
  <c r="D4" i="109"/>
  <c r="D34" i="109" s="1"/>
  <c r="I34" i="109" s="1"/>
  <c r="D4" i="110"/>
  <c r="D34" i="110" s="1"/>
  <c r="I34" i="110" s="1"/>
  <c r="D4" i="111"/>
  <c r="D34" i="111" s="1"/>
  <c r="I34" i="111" s="1"/>
  <c r="D4" i="112"/>
  <c r="D34" i="112" s="1"/>
  <c r="I34" i="112" s="1"/>
  <c r="D4" i="113"/>
  <c r="D34" i="113" s="1"/>
  <c r="I34" i="113" s="1"/>
  <c r="D4" i="107"/>
  <c r="D34" i="107" s="1"/>
  <c r="I34" i="107" s="1"/>
  <c r="D3" i="167"/>
  <c r="I3" i="167" s="1"/>
  <c r="D3" i="166"/>
  <c r="I3" i="166" s="1"/>
  <c r="D3" i="168"/>
  <c r="I3" i="168" s="1"/>
  <c r="D3" i="165"/>
  <c r="I3" i="165" s="1"/>
  <c r="C41" i="167" l="1"/>
  <c r="I41" i="165"/>
  <c r="I41" i="167"/>
  <c r="C41" i="165"/>
  <c r="C41" i="168"/>
  <c r="I41" i="168"/>
  <c r="C41" i="166"/>
  <c r="I41" i="166"/>
  <c r="A3" i="133"/>
  <c r="D4" i="116"/>
  <c r="A3" i="145" l="1"/>
  <c r="A3" i="147"/>
  <c r="A4" i="146"/>
  <c r="B6" i="146" s="1"/>
  <c r="A3" i="122"/>
  <c r="E4" i="170" l="1"/>
  <c r="A4" i="170" l="1"/>
  <c r="B4" i="170"/>
  <c r="B22" i="122"/>
  <c r="B23" i="147" l="1"/>
  <c r="H23" i="147"/>
  <c r="H14" i="116" l="1"/>
  <c r="F23" i="120" s="1"/>
  <c r="E28" i="165" l="1"/>
  <c r="E29" i="165"/>
  <c r="E30" i="165"/>
  <c r="E31" i="165"/>
  <c r="E32" i="165"/>
  <c r="E33" i="165"/>
  <c r="E28" i="167"/>
  <c r="E29" i="167"/>
  <c r="E30" i="167"/>
  <c r="E31" i="167"/>
  <c r="E32" i="167"/>
  <c r="E33" i="167"/>
  <c r="E28" i="166"/>
  <c r="E29" i="166"/>
  <c r="E30" i="166"/>
  <c r="E31" i="166"/>
  <c r="E32" i="166"/>
  <c r="E33" i="166"/>
  <c r="E34" i="166" l="1"/>
  <c r="E34" i="165"/>
  <c r="E34" i="167"/>
  <c r="G40" i="145"/>
  <c r="G37" i="145"/>
  <c r="G21" i="107" l="1"/>
  <c r="H56" i="113" l="1"/>
  <c r="K51" i="105" l="1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H16" i="179" s="1"/>
  <c r="K35" i="105"/>
  <c r="K34" i="105"/>
  <c r="K33" i="105"/>
  <c r="K32" i="105"/>
  <c r="K31" i="105"/>
  <c r="K30" i="105"/>
  <c r="K29" i="105"/>
  <c r="K28" i="105"/>
  <c r="K27" i="105"/>
  <c r="H14" i="179" s="1"/>
  <c r="K26" i="105"/>
  <c r="K25" i="105"/>
  <c r="K24" i="105"/>
  <c r="K23" i="105"/>
  <c r="K22" i="105"/>
  <c r="H13" i="179" s="1"/>
  <c r="K21" i="105"/>
  <c r="K20" i="105"/>
  <c r="K19" i="105"/>
  <c r="K18" i="105"/>
  <c r="H12" i="179" s="1"/>
  <c r="K17" i="105"/>
  <c r="K16" i="105"/>
  <c r="K15" i="105"/>
  <c r="K14" i="105"/>
  <c r="K13" i="105"/>
  <c r="K12" i="105"/>
  <c r="K11" i="105"/>
  <c r="H10" i="179" s="1"/>
  <c r="K10" i="105"/>
  <c r="K9" i="105"/>
  <c r="K8" i="105"/>
  <c r="H9" i="179" s="1"/>
  <c r="K7" i="105"/>
  <c r="K6" i="105"/>
  <c r="G51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E16" i="179" s="1"/>
  <c r="G35" i="105"/>
  <c r="G34" i="105"/>
  <c r="G33" i="105"/>
  <c r="G32" i="105"/>
  <c r="G31" i="105"/>
  <c r="G30" i="105"/>
  <c r="G29" i="105"/>
  <c r="G28" i="105"/>
  <c r="G27" i="105"/>
  <c r="E14" i="179" s="1"/>
  <c r="G26" i="105"/>
  <c r="G25" i="105"/>
  <c r="G24" i="105"/>
  <c r="G23" i="105"/>
  <c r="G22" i="105"/>
  <c r="E13" i="179" s="1"/>
  <c r="G21" i="105"/>
  <c r="G20" i="105"/>
  <c r="G19" i="105"/>
  <c r="G18" i="105"/>
  <c r="E12" i="179" s="1"/>
  <c r="G17" i="105"/>
  <c r="G16" i="105"/>
  <c r="G15" i="105"/>
  <c r="G14" i="105"/>
  <c r="G13" i="105"/>
  <c r="G12" i="105"/>
  <c r="G11" i="105"/>
  <c r="E10" i="179" s="1"/>
  <c r="G10" i="105"/>
  <c r="G9" i="105"/>
  <c r="G8" i="105"/>
  <c r="E9" i="179" s="1"/>
  <c r="G7" i="105"/>
  <c r="G6" i="105"/>
  <c r="E36" i="170" l="1"/>
  <c r="E30" i="170"/>
  <c r="E29" i="170"/>
  <c r="E28" i="170"/>
  <c r="E27" i="170"/>
  <c r="E26" i="170"/>
  <c r="E25" i="170"/>
  <c r="E17" i="170"/>
  <c r="E16" i="170"/>
  <c r="E15" i="170"/>
  <c r="E14" i="170"/>
  <c r="E24" i="170"/>
  <c r="E13" i="170"/>
  <c r="E9" i="170"/>
  <c r="E6" i="170"/>
  <c r="R49" i="128" l="1"/>
  <c r="Q49" i="128"/>
  <c r="P49" i="128"/>
  <c r="O49" i="128"/>
  <c r="N49" i="128"/>
  <c r="M49" i="128"/>
  <c r="L49" i="128"/>
  <c r="K49" i="128"/>
  <c r="J49" i="128"/>
  <c r="I49" i="128"/>
  <c r="H49" i="128"/>
  <c r="G49" i="128"/>
  <c r="F49" i="128"/>
  <c r="E49" i="128"/>
  <c r="D49" i="128"/>
  <c r="C49" i="128"/>
  <c r="B49" i="128"/>
  <c r="R48" i="128"/>
  <c r="Q48" i="128"/>
  <c r="P48" i="128"/>
  <c r="O48" i="128"/>
  <c r="N48" i="128"/>
  <c r="M48" i="128"/>
  <c r="L48" i="128"/>
  <c r="K48" i="128"/>
  <c r="J48" i="128"/>
  <c r="I48" i="128"/>
  <c r="H48" i="128"/>
  <c r="G48" i="128"/>
  <c r="F48" i="128"/>
  <c r="E48" i="128"/>
  <c r="D48" i="128"/>
  <c r="C48" i="128"/>
  <c r="B48" i="128"/>
  <c r="R47" i="128"/>
  <c r="Q47" i="128"/>
  <c r="P47" i="128"/>
  <c r="O47" i="128"/>
  <c r="N47" i="128"/>
  <c r="M47" i="128"/>
  <c r="L47" i="128"/>
  <c r="K47" i="128"/>
  <c r="J47" i="128"/>
  <c r="I47" i="128"/>
  <c r="H47" i="128"/>
  <c r="G47" i="128"/>
  <c r="F47" i="128"/>
  <c r="E47" i="128"/>
  <c r="D47" i="128"/>
  <c r="C47" i="128"/>
  <c r="B47" i="128"/>
  <c r="R46" i="128"/>
  <c r="Q46" i="128"/>
  <c r="P46" i="128"/>
  <c r="O46" i="128"/>
  <c r="N46" i="128"/>
  <c r="M46" i="128"/>
  <c r="L46" i="128"/>
  <c r="K46" i="128"/>
  <c r="J46" i="128"/>
  <c r="I46" i="128"/>
  <c r="H46" i="128"/>
  <c r="G46" i="128"/>
  <c r="F46" i="128"/>
  <c r="E46" i="128"/>
  <c r="D46" i="128"/>
  <c r="C46" i="128"/>
  <c r="B46" i="128"/>
  <c r="R45" i="128"/>
  <c r="Q45" i="128"/>
  <c r="P45" i="128"/>
  <c r="O45" i="128"/>
  <c r="N45" i="128"/>
  <c r="M45" i="128"/>
  <c r="L45" i="128"/>
  <c r="K45" i="128"/>
  <c r="J45" i="128"/>
  <c r="I45" i="128"/>
  <c r="H45" i="128"/>
  <c r="G45" i="128"/>
  <c r="F45" i="128"/>
  <c r="E45" i="128"/>
  <c r="D45" i="128"/>
  <c r="C45" i="128"/>
  <c r="B45" i="128"/>
  <c r="Q44" i="128"/>
  <c r="P44" i="128"/>
  <c r="O44" i="128"/>
  <c r="N44" i="128"/>
  <c r="M44" i="128"/>
  <c r="L44" i="128"/>
  <c r="K44" i="128"/>
  <c r="J44" i="128"/>
  <c r="I44" i="128"/>
  <c r="H44" i="128"/>
  <c r="G44" i="128"/>
  <c r="F44" i="128"/>
  <c r="E44" i="128"/>
  <c r="D44" i="128"/>
  <c r="C44" i="128"/>
  <c r="B44" i="128"/>
  <c r="Q43" i="128"/>
  <c r="P43" i="128"/>
  <c r="O43" i="128"/>
  <c r="N43" i="128"/>
  <c r="M43" i="128"/>
  <c r="L43" i="128"/>
  <c r="K43" i="128"/>
  <c r="J43" i="128"/>
  <c r="I43" i="128"/>
  <c r="H43" i="128"/>
  <c r="G43" i="128"/>
  <c r="F43" i="128"/>
  <c r="E43" i="128"/>
  <c r="D43" i="128"/>
  <c r="C43" i="128"/>
  <c r="B43" i="128"/>
  <c r="E35" i="170" l="1"/>
  <c r="E22" i="170"/>
  <c r="E11" i="170"/>
  <c r="E10" i="170"/>
  <c r="E7" i="170"/>
  <c r="N30" i="146" l="1"/>
  <c r="O30" i="146"/>
  <c r="N31" i="146"/>
  <c r="O31" i="146"/>
  <c r="N32" i="146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O29" i="146"/>
  <c r="N29" i="146"/>
  <c r="O28" i="146"/>
  <c r="N28" i="146"/>
  <c r="M30" i="146"/>
  <c r="M31" i="146"/>
  <c r="M32" i="146"/>
  <c r="M33" i="146"/>
  <c r="M34" i="146"/>
  <c r="M35" i="146"/>
  <c r="M36" i="146"/>
  <c r="M37" i="146"/>
  <c r="M38" i="146"/>
  <c r="M39" i="146"/>
  <c r="M40" i="146"/>
  <c r="M29" i="146"/>
  <c r="F30" i="146"/>
  <c r="F31" i="146"/>
  <c r="F32" i="146"/>
  <c r="F33" i="146"/>
  <c r="F34" i="146"/>
  <c r="F35" i="146"/>
  <c r="F36" i="146"/>
  <c r="F37" i="146"/>
  <c r="F38" i="146"/>
  <c r="F39" i="146"/>
  <c r="F40" i="146"/>
  <c r="F29" i="146"/>
  <c r="E30" i="146"/>
  <c r="E31" i="146"/>
  <c r="E32" i="146"/>
  <c r="E33" i="146"/>
  <c r="E34" i="146"/>
  <c r="E35" i="146"/>
  <c r="E36" i="146"/>
  <c r="E37" i="146"/>
  <c r="E38" i="146"/>
  <c r="E39" i="146"/>
  <c r="E40" i="146"/>
  <c r="E29" i="146"/>
  <c r="D40" i="146"/>
  <c r="D30" i="146"/>
  <c r="D31" i="146"/>
  <c r="D32" i="146"/>
  <c r="D33" i="146"/>
  <c r="D34" i="146"/>
  <c r="D35" i="146"/>
  <c r="D36" i="146"/>
  <c r="D37" i="146"/>
  <c r="D38" i="146"/>
  <c r="D39" i="146"/>
  <c r="D29" i="146"/>
  <c r="O31" i="122"/>
  <c r="N29" i="122"/>
  <c r="O29" i="122"/>
  <c r="N30" i="122"/>
  <c r="O30" i="122"/>
  <c r="N31" i="122"/>
  <c r="N32" i="122"/>
  <c r="O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O28" i="122"/>
  <c r="N28" i="122"/>
  <c r="M29" i="122"/>
  <c r="M30" i="122"/>
  <c r="M31" i="122"/>
  <c r="M32" i="122"/>
  <c r="M33" i="122"/>
  <c r="M34" i="122"/>
  <c r="M35" i="122"/>
  <c r="M36" i="122"/>
  <c r="M37" i="122"/>
  <c r="M38" i="122"/>
  <c r="M39" i="122"/>
  <c r="M28" i="122"/>
  <c r="F29" i="122"/>
  <c r="F30" i="122"/>
  <c r="F31" i="122"/>
  <c r="F32" i="122"/>
  <c r="F33" i="122"/>
  <c r="F34" i="122"/>
  <c r="F35" i="122"/>
  <c r="F36" i="122"/>
  <c r="F37" i="122"/>
  <c r="F38" i="122"/>
  <c r="F39" i="122"/>
  <c r="F28" i="122"/>
  <c r="E29" i="122"/>
  <c r="E30" i="122"/>
  <c r="E31" i="122"/>
  <c r="E32" i="122"/>
  <c r="E33" i="122"/>
  <c r="E34" i="122"/>
  <c r="E35" i="122"/>
  <c r="E36" i="122"/>
  <c r="E37" i="122"/>
  <c r="E38" i="122"/>
  <c r="E39" i="122"/>
  <c r="E28" i="122"/>
  <c r="D38" i="122"/>
  <c r="D39" i="122"/>
  <c r="D29" i="122"/>
  <c r="D30" i="122"/>
  <c r="D31" i="122"/>
  <c r="D32" i="122"/>
  <c r="D33" i="122"/>
  <c r="D34" i="122"/>
  <c r="D35" i="122"/>
  <c r="D36" i="122"/>
  <c r="D37" i="122"/>
  <c r="D28" i="122"/>
  <c r="E23" i="170" l="1"/>
  <c r="E12" i="170"/>
  <c r="E8" i="170"/>
  <c r="E5" i="170"/>
  <c r="E3" i="170"/>
  <c r="A57" i="108" l="1"/>
  <c r="A57" i="109"/>
  <c r="A57" i="110"/>
  <c r="A57" i="111"/>
  <c r="A57" i="112"/>
  <c r="A57" i="113"/>
  <c r="A57" i="107"/>
  <c r="A51" i="108"/>
  <c r="A51" i="109"/>
  <c r="A51" i="110"/>
  <c r="A51" i="111"/>
  <c r="A51" i="112"/>
  <c r="A51" i="113"/>
  <c r="A51" i="107"/>
  <c r="A45" i="108"/>
  <c r="A45" i="109"/>
  <c r="A45" i="110"/>
  <c r="A45" i="111"/>
  <c r="A45" i="112"/>
  <c r="A45" i="113"/>
  <c r="A45" i="107"/>
  <c r="A39" i="108"/>
  <c r="A39" i="109"/>
  <c r="A39" i="110"/>
  <c r="A39" i="111"/>
  <c r="A39" i="112"/>
  <c r="A39" i="113"/>
  <c r="A39" i="107"/>
  <c r="A27" i="108"/>
  <c r="A27" i="109"/>
  <c r="A27" i="110"/>
  <c r="A27" i="111"/>
  <c r="A27" i="112"/>
  <c r="A27" i="113"/>
  <c r="A27" i="107"/>
  <c r="A21" i="108"/>
  <c r="A21" i="109"/>
  <c r="A21" i="110"/>
  <c r="A21" i="111"/>
  <c r="A21" i="112"/>
  <c r="A21" i="113"/>
  <c r="A21" i="107"/>
  <c r="A15" i="108"/>
  <c r="A15" i="109"/>
  <c r="A15" i="110"/>
  <c r="A15" i="111"/>
  <c r="A15" i="112"/>
  <c r="A15" i="113"/>
  <c r="A15" i="107"/>
  <c r="A9" i="108"/>
  <c r="A9" i="109"/>
  <c r="A9" i="110"/>
  <c r="A9" i="111"/>
  <c r="A9" i="112"/>
  <c r="A9" i="113"/>
  <c r="A9" i="107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E34" i="170" l="1"/>
  <c r="D11" i="161"/>
  <c r="E32" i="170"/>
  <c r="E33" i="170"/>
  <c r="E31" i="170"/>
  <c r="C10" i="126"/>
  <c r="D10" i="126"/>
  <c r="B10" i="126"/>
  <c r="C9" i="126"/>
  <c r="D9" i="126"/>
  <c r="B9" i="126"/>
  <c r="C8" i="126"/>
  <c r="D8" i="126"/>
  <c r="B8" i="126"/>
  <c r="C7" i="126"/>
  <c r="D7" i="126"/>
  <c r="B7" i="126"/>
  <c r="A3" i="163"/>
  <c r="A1" i="163" s="1"/>
  <c r="A3" i="162"/>
  <c r="A3" i="161"/>
  <c r="A3" i="126"/>
  <c r="D44" i="168"/>
  <c r="C44" i="168"/>
  <c r="D43" i="168"/>
  <c r="C43" i="168"/>
  <c r="D42" i="168"/>
  <c r="C42" i="168"/>
  <c r="J33" i="168"/>
  <c r="I33" i="168"/>
  <c r="F33" i="168"/>
  <c r="E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J28" i="168"/>
  <c r="I28" i="168"/>
  <c r="F28" i="168"/>
  <c r="E28" i="168"/>
  <c r="D28" i="168"/>
  <c r="A28" i="168"/>
  <c r="A37" i="168" s="1"/>
  <c r="H27" i="168"/>
  <c r="F10" i="162" s="1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K21" i="168"/>
  <c r="H21" i="168"/>
  <c r="G21" i="168"/>
  <c r="A21" i="168"/>
  <c r="B44" i="168" s="1"/>
  <c r="F10" i="161"/>
  <c r="K19" i="168"/>
  <c r="K18" i="168"/>
  <c r="K17" i="168"/>
  <c r="K16" i="168"/>
  <c r="K15" i="168"/>
  <c r="K14" i="168"/>
  <c r="A14" i="168"/>
  <c r="H43" i="168" s="1"/>
  <c r="H13" i="168"/>
  <c r="F10" i="126" s="1"/>
  <c r="H12" i="168"/>
  <c r="G12" i="168"/>
  <c r="H11" i="168"/>
  <c r="G11" i="168"/>
  <c r="H10" i="168"/>
  <c r="G10" i="168"/>
  <c r="H9" i="168"/>
  <c r="G9" i="168"/>
  <c r="H8" i="168"/>
  <c r="G8" i="168"/>
  <c r="H7" i="168"/>
  <c r="G7" i="168"/>
  <c r="A7" i="168"/>
  <c r="B42" i="168" s="1"/>
  <c r="D44" i="167"/>
  <c r="C44" i="167"/>
  <c r="D43" i="167"/>
  <c r="C43" i="167"/>
  <c r="D42" i="167"/>
  <c r="C42" i="167"/>
  <c r="F33" i="167"/>
  <c r="F32" i="167"/>
  <c r="D32" i="167"/>
  <c r="F31" i="167"/>
  <c r="D31" i="167"/>
  <c r="F30" i="167"/>
  <c r="D30" i="167"/>
  <c r="F29" i="167"/>
  <c r="D29" i="167"/>
  <c r="F28" i="167"/>
  <c r="D28" i="167"/>
  <c r="A28" i="167"/>
  <c r="A37" i="167" s="1"/>
  <c r="H27" i="167"/>
  <c r="F8" i="162" s="1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K21" i="167"/>
  <c r="H21" i="167"/>
  <c r="G21" i="167"/>
  <c r="A21" i="167"/>
  <c r="B44" i="167" s="1"/>
  <c r="H20" i="167"/>
  <c r="F8" i="161" s="1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K14" i="167"/>
  <c r="H14" i="167"/>
  <c r="G14" i="167"/>
  <c r="A14" i="167"/>
  <c r="H43" i="167" s="1"/>
  <c r="H13" i="167"/>
  <c r="F8" i="126" s="1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K7" i="167"/>
  <c r="H7" i="167"/>
  <c r="G7" i="167"/>
  <c r="A7" i="167"/>
  <c r="B42" i="167" s="1"/>
  <c r="D44" i="166"/>
  <c r="C44" i="166"/>
  <c r="D43" i="166"/>
  <c r="C43" i="166"/>
  <c r="D42" i="166"/>
  <c r="C42" i="166"/>
  <c r="J33" i="166"/>
  <c r="I33" i="166"/>
  <c r="F33" i="166"/>
  <c r="J32" i="166"/>
  <c r="I32" i="166"/>
  <c r="F32" i="166"/>
  <c r="D32" i="166"/>
  <c r="J31" i="166"/>
  <c r="I31" i="166"/>
  <c r="F31" i="166"/>
  <c r="D31" i="166"/>
  <c r="J30" i="166"/>
  <c r="I30" i="166"/>
  <c r="F30" i="166"/>
  <c r="D30" i="166"/>
  <c r="J29" i="166"/>
  <c r="I29" i="166"/>
  <c r="F29" i="166"/>
  <c r="D29" i="166"/>
  <c r="J28" i="166"/>
  <c r="I28" i="166"/>
  <c r="F28" i="166"/>
  <c r="D28" i="166"/>
  <c r="A28" i="166"/>
  <c r="A37" i="166" s="1"/>
  <c r="H27" i="166"/>
  <c r="F9" i="162" s="1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K21" i="166"/>
  <c r="H21" i="166"/>
  <c r="G21" i="166"/>
  <c r="A21" i="166"/>
  <c r="B44" i="166" s="1"/>
  <c r="H20" i="166"/>
  <c r="F9" i="161" s="1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K14" i="166"/>
  <c r="H14" i="166"/>
  <c r="G14" i="166"/>
  <c r="A14" i="166"/>
  <c r="H43" i="166" s="1"/>
  <c r="H13" i="166"/>
  <c r="F9" i="126" s="1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K7" i="166"/>
  <c r="H7" i="166"/>
  <c r="G7" i="166"/>
  <c r="A7" i="166"/>
  <c r="B42" i="166" s="1"/>
  <c r="D44" i="165"/>
  <c r="C44" i="165"/>
  <c r="D43" i="165"/>
  <c r="C43" i="165"/>
  <c r="D42" i="165"/>
  <c r="C42" i="165"/>
  <c r="J33" i="165"/>
  <c r="I33" i="165"/>
  <c r="F33" i="165"/>
  <c r="J32" i="165"/>
  <c r="I32" i="165"/>
  <c r="F32" i="165"/>
  <c r="D32" i="165"/>
  <c r="J31" i="165"/>
  <c r="I31" i="165"/>
  <c r="F31" i="165"/>
  <c r="D31" i="165"/>
  <c r="J30" i="165"/>
  <c r="I30" i="165"/>
  <c r="F30" i="165"/>
  <c r="D30" i="165"/>
  <c r="J29" i="165"/>
  <c r="I29" i="165"/>
  <c r="F29" i="165"/>
  <c r="D29" i="165"/>
  <c r="J28" i="165"/>
  <c r="I28" i="165"/>
  <c r="F28" i="165"/>
  <c r="D28" i="165"/>
  <c r="A28" i="165"/>
  <c r="A37" i="165" s="1"/>
  <c r="H27" i="165"/>
  <c r="F7" i="162" s="1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K21" i="165"/>
  <c r="H21" i="165"/>
  <c r="G21" i="165"/>
  <c r="A21" i="165"/>
  <c r="B44" i="165" s="1"/>
  <c r="H20" i="165"/>
  <c r="F7" i="161" s="1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K14" i="165"/>
  <c r="H14" i="165"/>
  <c r="G14" i="165"/>
  <c r="A14" i="165"/>
  <c r="B43" i="165" s="1"/>
  <c r="H13" i="165"/>
  <c r="F7" i="126" s="1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K7" i="165"/>
  <c r="H7" i="165"/>
  <c r="G7" i="165"/>
  <c r="A7" i="165"/>
  <c r="B42" i="165" s="1"/>
  <c r="A29" i="116"/>
  <c r="A22" i="116"/>
  <c r="A15" i="116"/>
  <c r="A8" i="116"/>
  <c r="H3" i="145"/>
  <c r="E3" i="145"/>
  <c r="B3" i="145"/>
  <c r="B41" i="145" s="1"/>
  <c r="A34" i="170" l="1"/>
  <c r="B34" i="170"/>
  <c r="A1" i="162"/>
  <c r="E20" i="170" s="1"/>
  <c r="B32" i="170"/>
  <c r="A32" i="170"/>
  <c r="A33" i="170"/>
  <c r="B33" i="170"/>
  <c r="A1" i="161"/>
  <c r="E19" i="170" s="1"/>
  <c r="A1" i="126"/>
  <c r="E18" i="170" s="1"/>
  <c r="A31" i="170"/>
  <c r="B31" i="170"/>
  <c r="C45" i="167"/>
  <c r="E21" i="170"/>
  <c r="H28" i="166"/>
  <c r="H32" i="166"/>
  <c r="H28" i="167"/>
  <c r="H32" i="167"/>
  <c r="H29" i="167"/>
  <c r="C11" i="126"/>
  <c r="E8" i="126" s="1"/>
  <c r="H32" i="165"/>
  <c r="H33" i="165"/>
  <c r="H28" i="168"/>
  <c r="B11" i="126"/>
  <c r="C45" i="166"/>
  <c r="D45" i="167"/>
  <c r="H30" i="166"/>
  <c r="D45" i="166"/>
  <c r="K20" i="168"/>
  <c r="K27" i="168"/>
  <c r="H30" i="168"/>
  <c r="C45" i="168"/>
  <c r="K20" i="165"/>
  <c r="C7" i="163"/>
  <c r="G13" i="166"/>
  <c r="G27" i="166"/>
  <c r="D34" i="166"/>
  <c r="B9" i="163" s="1"/>
  <c r="H29" i="168"/>
  <c r="D41" i="168"/>
  <c r="G37" i="168"/>
  <c r="D34" i="167"/>
  <c r="B8" i="163" s="1"/>
  <c r="I34" i="165"/>
  <c r="K20" i="166"/>
  <c r="K27" i="166"/>
  <c r="H31" i="166"/>
  <c r="H31" i="167"/>
  <c r="G13" i="168"/>
  <c r="G27" i="168"/>
  <c r="D34" i="168"/>
  <c r="B10" i="163" s="1"/>
  <c r="H32" i="168"/>
  <c r="D45" i="168"/>
  <c r="H31" i="165"/>
  <c r="H29" i="166"/>
  <c r="H30" i="167"/>
  <c r="J34" i="168"/>
  <c r="G37" i="165"/>
  <c r="D41" i="166"/>
  <c r="J41" i="165"/>
  <c r="D41" i="167"/>
  <c r="G37" i="166"/>
  <c r="H43" i="165"/>
  <c r="G37" i="167"/>
  <c r="H31" i="168"/>
  <c r="F34" i="168"/>
  <c r="D10" i="163" s="1"/>
  <c r="F34" i="166"/>
  <c r="D9" i="163" s="1"/>
  <c r="G20" i="166"/>
  <c r="J34" i="166"/>
  <c r="K13" i="166"/>
  <c r="K13" i="167"/>
  <c r="K20" i="167"/>
  <c r="K27" i="167"/>
  <c r="G13" i="167"/>
  <c r="G20" i="167"/>
  <c r="G27" i="167"/>
  <c r="F34" i="167"/>
  <c r="D8" i="163" s="1"/>
  <c r="K13" i="165"/>
  <c r="K27" i="165"/>
  <c r="G20" i="165"/>
  <c r="G27" i="165"/>
  <c r="H33" i="168"/>
  <c r="B43" i="168"/>
  <c r="E34" i="168"/>
  <c r="I34" i="168"/>
  <c r="K28" i="168" s="1"/>
  <c r="H42" i="168"/>
  <c r="H44" i="168"/>
  <c r="H33" i="167"/>
  <c r="B43" i="167"/>
  <c r="K32" i="167"/>
  <c r="H42" i="167"/>
  <c r="H44" i="167"/>
  <c r="H33" i="166"/>
  <c r="B43" i="166"/>
  <c r="I34" i="166"/>
  <c r="K31" i="166" s="1"/>
  <c r="H42" i="166"/>
  <c r="H44" i="166"/>
  <c r="H29" i="165"/>
  <c r="D45" i="165"/>
  <c r="H30" i="165"/>
  <c r="J34" i="165"/>
  <c r="G13" i="165"/>
  <c r="F34" i="165"/>
  <c r="C45" i="165"/>
  <c r="D34" i="165"/>
  <c r="H28" i="165"/>
  <c r="H42" i="165"/>
  <c r="H44" i="165"/>
  <c r="B21" i="170" l="1"/>
  <c r="A21" i="170"/>
  <c r="B19" i="170"/>
  <c r="A19" i="170"/>
  <c r="B20" i="170"/>
  <c r="A20" i="170"/>
  <c r="B18" i="170"/>
  <c r="A18" i="170"/>
  <c r="J41" i="166"/>
  <c r="D41" i="165"/>
  <c r="D7" i="163"/>
  <c r="B7" i="163"/>
  <c r="J43" i="165"/>
  <c r="K30" i="165"/>
  <c r="J41" i="168"/>
  <c r="G31" i="165"/>
  <c r="I44" i="165"/>
  <c r="E7" i="126"/>
  <c r="E10" i="126"/>
  <c r="E9" i="126"/>
  <c r="G30" i="165"/>
  <c r="G33" i="165"/>
  <c r="K32" i="165"/>
  <c r="I43" i="165"/>
  <c r="J42" i="165"/>
  <c r="G29" i="165"/>
  <c r="G32" i="165"/>
  <c r="G28" i="165"/>
  <c r="I42" i="165"/>
  <c r="K31" i="165"/>
  <c r="G29" i="166"/>
  <c r="C9" i="163"/>
  <c r="G31" i="167"/>
  <c r="C8" i="163"/>
  <c r="G33" i="168"/>
  <c r="C10" i="163"/>
  <c r="K28" i="165"/>
  <c r="H34" i="165"/>
  <c r="F7" i="163" s="1"/>
  <c r="H33" i="179" s="1"/>
  <c r="K29" i="165"/>
  <c r="J44" i="165"/>
  <c r="K33" i="165"/>
  <c r="J41" i="167"/>
  <c r="G30" i="168"/>
  <c r="K30" i="166"/>
  <c r="K32" i="166"/>
  <c r="G30" i="167"/>
  <c r="I44" i="168"/>
  <c r="I42" i="168"/>
  <c r="I43" i="168"/>
  <c r="H34" i="168"/>
  <c r="F10" i="163" s="1"/>
  <c r="H36" i="179" s="1"/>
  <c r="G32" i="168"/>
  <c r="K32" i="168"/>
  <c r="K29" i="168"/>
  <c r="K30" i="168"/>
  <c r="G31" i="168"/>
  <c r="G28" i="168"/>
  <c r="G29" i="168"/>
  <c r="J44" i="168"/>
  <c r="J42" i="168"/>
  <c r="J43" i="168"/>
  <c r="K33" i="168"/>
  <c r="K31" i="168"/>
  <c r="I44" i="167"/>
  <c r="I42" i="167"/>
  <c r="I43" i="167"/>
  <c r="H34" i="167"/>
  <c r="F8" i="163" s="1"/>
  <c r="H34" i="179" s="1"/>
  <c r="G32" i="167"/>
  <c r="K29" i="167"/>
  <c r="K28" i="167"/>
  <c r="K33" i="167"/>
  <c r="G28" i="167"/>
  <c r="G29" i="167"/>
  <c r="J44" i="167"/>
  <c r="J42" i="167"/>
  <c r="J43" i="167"/>
  <c r="G33" i="167"/>
  <c r="K30" i="167"/>
  <c r="K31" i="167"/>
  <c r="G32" i="166"/>
  <c r="I44" i="166"/>
  <c r="I42" i="166"/>
  <c r="I43" i="166"/>
  <c r="H34" i="166"/>
  <c r="F9" i="163" s="1"/>
  <c r="H35" i="179" s="1"/>
  <c r="G33" i="166"/>
  <c r="G28" i="166"/>
  <c r="K28" i="166"/>
  <c r="G30" i="166"/>
  <c r="J44" i="166"/>
  <c r="J42" i="166"/>
  <c r="J43" i="166"/>
  <c r="K33" i="166"/>
  <c r="G31" i="166"/>
  <c r="K29" i="166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G20" i="107" l="1"/>
  <c r="G14" i="107"/>
  <c r="G26" i="107"/>
  <c r="I45" i="165"/>
  <c r="J45" i="165"/>
  <c r="E11" i="126"/>
  <c r="G34" i="165"/>
  <c r="K34" i="165"/>
  <c r="I45" i="167"/>
  <c r="J45" i="167"/>
  <c r="G34" i="166"/>
  <c r="K34" i="168"/>
  <c r="J45" i="168"/>
  <c r="G34" i="168"/>
  <c r="I45" i="168"/>
  <c r="I45" i="166"/>
  <c r="J45" i="166"/>
  <c r="K34" i="166"/>
  <c r="K34" i="167"/>
  <c r="G34" i="167"/>
  <c r="K55" i="113"/>
  <c r="K54" i="113"/>
  <c r="K53" i="113"/>
  <c r="K52" i="113"/>
  <c r="K51" i="113"/>
  <c r="K49" i="113"/>
  <c r="K48" i="113"/>
  <c r="K47" i="113"/>
  <c r="K46" i="113"/>
  <c r="K45" i="113"/>
  <c r="K43" i="113"/>
  <c r="K42" i="113"/>
  <c r="K41" i="113"/>
  <c r="K40" i="113"/>
  <c r="K39" i="113"/>
  <c r="K55" i="112"/>
  <c r="K54" i="112"/>
  <c r="K53" i="112"/>
  <c r="K52" i="112"/>
  <c r="K51" i="112"/>
  <c r="K49" i="112"/>
  <c r="K48" i="112"/>
  <c r="K47" i="112"/>
  <c r="K46" i="112"/>
  <c r="K45" i="112"/>
  <c r="K43" i="112"/>
  <c r="K42" i="112"/>
  <c r="K41" i="112"/>
  <c r="K40" i="112"/>
  <c r="K39" i="112"/>
  <c r="K55" i="111"/>
  <c r="K54" i="111"/>
  <c r="K53" i="111"/>
  <c r="K52" i="111"/>
  <c r="K51" i="111"/>
  <c r="K49" i="111"/>
  <c r="K48" i="111"/>
  <c r="K47" i="111"/>
  <c r="K46" i="111"/>
  <c r="K45" i="111"/>
  <c r="K43" i="111"/>
  <c r="K42" i="111"/>
  <c r="K41" i="111"/>
  <c r="K40" i="111"/>
  <c r="K39" i="111"/>
  <c r="K55" i="110"/>
  <c r="K54" i="110"/>
  <c r="K53" i="110"/>
  <c r="K52" i="110"/>
  <c r="K51" i="110"/>
  <c r="K49" i="110"/>
  <c r="K48" i="110"/>
  <c r="K47" i="110"/>
  <c r="K46" i="110"/>
  <c r="K45" i="110"/>
  <c r="K43" i="110"/>
  <c r="K42" i="110"/>
  <c r="K41" i="110"/>
  <c r="K40" i="110"/>
  <c r="K39" i="110"/>
  <c r="K55" i="109"/>
  <c r="K54" i="109"/>
  <c r="K53" i="109"/>
  <c r="K52" i="109"/>
  <c r="K51" i="109"/>
  <c r="K49" i="109"/>
  <c r="K48" i="109"/>
  <c r="K47" i="109"/>
  <c r="K46" i="109"/>
  <c r="K45" i="109"/>
  <c r="K43" i="109"/>
  <c r="K42" i="109"/>
  <c r="K41" i="109"/>
  <c r="K40" i="109"/>
  <c r="K39" i="109"/>
  <c r="K55" i="108"/>
  <c r="K54" i="108"/>
  <c r="K53" i="108"/>
  <c r="K52" i="108"/>
  <c r="K51" i="108"/>
  <c r="K49" i="108"/>
  <c r="K48" i="108"/>
  <c r="K47" i="108"/>
  <c r="K46" i="108"/>
  <c r="K45" i="108"/>
  <c r="K43" i="108"/>
  <c r="K42" i="108"/>
  <c r="K41" i="108"/>
  <c r="K40" i="108"/>
  <c r="K39" i="108"/>
  <c r="K25" i="113"/>
  <c r="K24" i="113"/>
  <c r="K23" i="113"/>
  <c r="K22" i="113"/>
  <c r="K21" i="113"/>
  <c r="K19" i="113"/>
  <c r="K18" i="113"/>
  <c r="K17" i="113"/>
  <c r="K16" i="113"/>
  <c r="K15" i="113"/>
  <c r="K13" i="113"/>
  <c r="K12" i="113"/>
  <c r="K11" i="113"/>
  <c r="K10" i="113"/>
  <c r="K9" i="113"/>
  <c r="K25" i="112"/>
  <c r="K24" i="112"/>
  <c r="K23" i="112"/>
  <c r="K22" i="112"/>
  <c r="K21" i="112"/>
  <c r="K19" i="112"/>
  <c r="K18" i="112"/>
  <c r="K17" i="112"/>
  <c r="K16" i="112"/>
  <c r="K15" i="112"/>
  <c r="K13" i="112"/>
  <c r="K12" i="112"/>
  <c r="K11" i="112"/>
  <c r="K10" i="112"/>
  <c r="K9" i="112"/>
  <c r="K25" i="111"/>
  <c r="K24" i="111"/>
  <c r="K23" i="111"/>
  <c r="K22" i="111"/>
  <c r="K21" i="111"/>
  <c r="K19" i="111"/>
  <c r="K18" i="111"/>
  <c r="K17" i="111"/>
  <c r="K16" i="111"/>
  <c r="K15" i="111"/>
  <c r="K13" i="111"/>
  <c r="K12" i="111"/>
  <c r="K11" i="111"/>
  <c r="K10" i="111"/>
  <c r="K9" i="111"/>
  <c r="K25" i="110"/>
  <c r="K24" i="110"/>
  <c r="K23" i="110"/>
  <c r="K22" i="110"/>
  <c r="K21" i="110"/>
  <c r="K19" i="110"/>
  <c r="K18" i="110"/>
  <c r="K17" i="110"/>
  <c r="K16" i="110"/>
  <c r="K15" i="110"/>
  <c r="K13" i="110"/>
  <c r="K12" i="110"/>
  <c r="K11" i="110"/>
  <c r="K10" i="110"/>
  <c r="K9" i="110"/>
  <c r="K25" i="109"/>
  <c r="K24" i="109"/>
  <c r="K23" i="109"/>
  <c r="K22" i="109"/>
  <c r="K21" i="109"/>
  <c r="K19" i="109"/>
  <c r="K18" i="109"/>
  <c r="K17" i="109"/>
  <c r="K16" i="109"/>
  <c r="K15" i="109"/>
  <c r="K13" i="109"/>
  <c r="K12" i="109"/>
  <c r="K11" i="109"/>
  <c r="K10" i="109"/>
  <c r="K9" i="109"/>
  <c r="K25" i="108"/>
  <c r="K24" i="108"/>
  <c r="K23" i="108"/>
  <c r="K22" i="108"/>
  <c r="K21" i="108"/>
  <c r="K19" i="108"/>
  <c r="K18" i="108"/>
  <c r="K17" i="108"/>
  <c r="K16" i="108"/>
  <c r="K15" i="108"/>
  <c r="K13" i="108"/>
  <c r="K12" i="108"/>
  <c r="K11" i="108"/>
  <c r="K10" i="108"/>
  <c r="K9" i="108"/>
  <c r="K14" i="112" l="1"/>
  <c r="K44" i="110"/>
  <c r="K56" i="112"/>
  <c r="K26" i="110"/>
  <c r="K56" i="108"/>
  <c r="K20" i="113"/>
  <c r="K14" i="108"/>
  <c r="K44" i="113"/>
  <c r="K50" i="113"/>
  <c r="K56" i="113"/>
  <c r="K26" i="113"/>
  <c r="K14" i="113"/>
  <c r="K44" i="112"/>
  <c r="K50" i="112"/>
  <c r="K20" i="112"/>
  <c r="K26" i="112"/>
  <c r="K50" i="111"/>
  <c r="K56" i="111"/>
  <c r="K44" i="111"/>
  <c r="K14" i="111"/>
  <c r="K20" i="111"/>
  <c r="K26" i="111"/>
  <c r="K50" i="110"/>
  <c r="K56" i="110"/>
  <c r="K14" i="110"/>
  <c r="K20" i="110"/>
  <c r="K44" i="109"/>
  <c r="K50" i="109"/>
  <c r="K56" i="109"/>
  <c r="K14" i="109"/>
  <c r="K20" i="109"/>
  <c r="K26" i="109"/>
  <c r="K44" i="108"/>
  <c r="K50" i="108"/>
  <c r="K20" i="108"/>
  <c r="K26" i="108"/>
  <c r="F40" i="145" l="1"/>
  <c r="D22" i="140" l="1"/>
  <c r="C22" i="140"/>
  <c r="D22" i="139"/>
  <c r="C22" i="139"/>
  <c r="D22" i="120"/>
  <c r="C22" i="120"/>
  <c r="K17" i="107" l="1"/>
  <c r="I27" i="107"/>
  <c r="J61" i="108"/>
  <c r="I61" i="108"/>
  <c r="J60" i="108"/>
  <c r="I60" i="108"/>
  <c r="J59" i="108"/>
  <c r="I59" i="108"/>
  <c r="J58" i="108"/>
  <c r="I58" i="108"/>
  <c r="J57" i="108"/>
  <c r="I57" i="108"/>
  <c r="J61" i="109"/>
  <c r="I61" i="109"/>
  <c r="J60" i="109"/>
  <c r="I60" i="109"/>
  <c r="J59" i="109"/>
  <c r="I59" i="109"/>
  <c r="J58" i="109"/>
  <c r="I58" i="109"/>
  <c r="J57" i="109"/>
  <c r="I57" i="109"/>
  <c r="J61" i="110"/>
  <c r="I61" i="110"/>
  <c r="J60" i="110"/>
  <c r="I60" i="110"/>
  <c r="J59" i="110"/>
  <c r="I59" i="110"/>
  <c r="J58" i="110"/>
  <c r="I58" i="110"/>
  <c r="J57" i="110"/>
  <c r="I57" i="110"/>
  <c r="J61" i="111"/>
  <c r="I61" i="111"/>
  <c r="J60" i="111"/>
  <c r="I60" i="111"/>
  <c r="J59" i="111"/>
  <c r="I59" i="111"/>
  <c r="J58" i="111"/>
  <c r="I58" i="111"/>
  <c r="J57" i="111"/>
  <c r="I57" i="111"/>
  <c r="J61" i="112"/>
  <c r="I61" i="112"/>
  <c r="J60" i="112"/>
  <c r="I60" i="112"/>
  <c r="J59" i="112"/>
  <c r="I59" i="112"/>
  <c r="J58" i="112"/>
  <c r="I58" i="112"/>
  <c r="J57" i="112"/>
  <c r="I57" i="112"/>
  <c r="J61" i="113"/>
  <c r="I61" i="113"/>
  <c r="J60" i="113"/>
  <c r="I60" i="113"/>
  <c r="J59" i="113"/>
  <c r="I59" i="113"/>
  <c r="J58" i="113"/>
  <c r="I58" i="113"/>
  <c r="J57" i="113"/>
  <c r="I57" i="113"/>
  <c r="J61" i="107"/>
  <c r="I61" i="107"/>
  <c r="J60" i="107"/>
  <c r="I60" i="107"/>
  <c r="J59" i="107"/>
  <c r="I59" i="107"/>
  <c r="J58" i="107"/>
  <c r="I58" i="107"/>
  <c r="J57" i="107"/>
  <c r="I57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2" i="110" l="1"/>
  <c r="K60" i="110" s="1"/>
  <c r="I62" i="108"/>
  <c r="K59" i="108" s="1"/>
  <c r="J32" i="107"/>
  <c r="I32" i="113"/>
  <c r="K31" i="113" s="1"/>
  <c r="J32" i="113"/>
  <c r="I62" i="112"/>
  <c r="K60" i="112" s="1"/>
  <c r="J62" i="111"/>
  <c r="J32" i="111"/>
  <c r="I32" i="111"/>
  <c r="K31" i="111" s="1"/>
  <c r="J62" i="109"/>
  <c r="I32" i="109"/>
  <c r="K28" i="109" s="1"/>
  <c r="J32" i="109"/>
  <c r="I62" i="107"/>
  <c r="I32" i="107"/>
  <c r="J62" i="113"/>
  <c r="I62" i="113"/>
  <c r="K57" i="113" s="1"/>
  <c r="J62" i="112"/>
  <c r="J32" i="112"/>
  <c r="I32" i="112"/>
  <c r="K31" i="112" s="1"/>
  <c r="I62" i="111"/>
  <c r="K57" i="111" s="1"/>
  <c r="J62" i="110"/>
  <c r="J32" i="110"/>
  <c r="I32" i="110"/>
  <c r="K31" i="110" s="1"/>
  <c r="I62" i="109"/>
  <c r="K61" i="109" s="1"/>
  <c r="J62" i="108"/>
  <c r="J32" i="108"/>
  <c r="I32" i="108"/>
  <c r="K30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9" i="112" l="1"/>
  <c r="K61" i="110"/>
  <c r="K57" i="109"/>
  <c r="K31" i="109"/>
  <c r="K58" i="113"/>
  <c r="K61" i="113"/>
  <c r="K29" i="111"/>
  <c r="K27" i="111"/>
  <c r="K28" i="111"/>
  <c r="K58" i="110"/>
  <c r="K30" i="110"/>
  <c r="K29" i="110"/>
  <c r="K59" i="109"/>
  <c r="K60" i="109"/>
  <c r="K30" i="109"/>
  <c r="K27" i="109"/>
  <c r="K31" i="108"/>
  <c r="K28" i="108"/>
  <c r="K59" i="113"/>
  <c r="K60" i="113"/>
  <c r="K29" i="113"/>
  <c r="K27" i="113"/>
  <c r="K30" i="113"/>
  <c r="K28" i="113"/>
  <c r="K61" i="112"/>
  <c r="K58" i="112"/>
  <c r="K59" i="112"/>
  <c r="K57" i="112"/>
  <c r="K30" i="112"/>
  <c r="K27" i="112"/>
  <c r="K28" i="112"/>
  <c r="K61" i="111"/>
  <c r="K58" i="111"/>
  <c r="K59" i="111"/>
  <c r="K60" i="111"/>
  <c r="K30" i="111"/>
  <c r="K59" i="110"/>
  <c r="K57" i="110"/>
  <c r="K28" i="110"/>
  <c r="K27" i="110"/>
  <c r="K58" i="109"/>
  <c r="K29" i="109"/>
  <c r="K60" i="108"/>
  <c r="K58" i="108"/>
  <c r="K57" i="108"/>
  <c r="K61" i="108"/>
  <c r="K29" i="108"/>
  <c r="K27" i="108"/>
  <c r="K9" i="163"/>
  <c r="K10" i="163"/>
  <c r="K7" i="163"/>
  <c r="K8" i="163"/>
  <c r="K11" i="163"/>
  <c r="K62" i="111" l="1"/>
  <c r="K32" i="110"/>
  <c r="K62" i="113"/>
  <c r="K32" i="113"/>
  <c r="K62" i="109"/>
  <c r="K32" i="108"/>
  <c r="K62" i="108"/>
  <c r="K62" i="112"/>
  <c r="K32" i="112"/>
  <c r="K32" i="111"/>
  <c r="K62" i="110"/>
  <c r="K32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19" i="116"/>
  <c r="K18" i="116"/>
  <c r="K17" i="116"/>
  <c r="K23" i="116"/>
  <c r="K24" i="116"/>
  <c r="K25" i="116"/>
  <c r="K26" i="116"/>
  <c r="K27" i="116"/>
  <c r="K22" i="116"/>
  <c r="K16" i="116"/>
  <c r="K20" i="116"/>
  <c r="K15" i="116"/>
  <c r="K9" i="116"/>
  <c r="K10" i="116"/>
  <c r="K11" i="116"/>
  <c r="K12" i="116"/>
  <c r="K13" i="116"/>
  <c r="K8" i="116"/>
  <c r="J34" i="116"/>
  <c r="I34" i="116"/>
  <c r="J33" i="116"/>
  <c r="I33" i="116"/>
  <c r="J32" i="116"/>
  <c r="I32" i="116"/>
  <c r="J31" i="116"/>
  <c r="I31" i="116"/>
  <c r="J30" i="116"/>
  <c r="I30" i="116"/>
  <c r="J29" i="116"/>
  <c r="I29" i="116"/>
  <c r="E11" i="161" l="1"/>
  <c r="E11" i="162"/>
  <c r="K14" i="116"/>
  <c r="K21" i="116"/>
  <c r="J35" i="116"/>
  <c r="D11" i="126"/>
  <c r="I35" i="116"/>
  <c r="K28" i="116"/>
  <c r="K33" i="116" l="1"/>
  <c r="K32" i="116"/>
  <c r="K29" i="116"/>
  <c r="K30" i="116"/>
  <c r="K31" i="116"/>
  <c r="K34" i="116"/>
  <c r="K35" i="116" l="1"/>
  <c r="H55" i="113" l="1"/>
  <c r="H49" i="113"/>
  <c r="H43" i="113"/>
  <c r="H25" i="113"/>
  <c r="H19" i="113"/>
  <c r="H13" i="113"/>
  <c r="H55" i="112"/>
  <c r="H49" i="112"/>
  <c r="H43" i="112"/>
  <c r="H25" i="112"/>
  <c r="H19" i="112"/>
  <c r="H13" i="112"/>
  <c r="H55" i="111"/>
  <c r="H49" i="111"/>
  <c r="H43" i="111"/>
  <c r="H25" i="111"/>
  <c r="H19" i="111"/>
  <c r="H13" i="111"/>
  <c r="H55" i="110"/>
  <c r="H49" i="110"/>
  <c r="H43" i="110"/>
  <c r="H25" i="110"/>
  <c r="H19" i="110"/>
  <c r="H13" i="110"/>
  <c r="H55" i="109"/>
  <c r="H49" i="109"/>
  <c r="H43" i="109"/>
  <c r="H25" i="109"/>
  <c r="H19" i="109"/>
  <c r="H13" i="109"/>
  <c r="H55" i="108"/>
  <c r="H49" i="108"/>
  <c r="H43" i="108"/>
  <c r="H25" i="108"/>
  <c r="H19" i="108"/>
  <c r="H13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6" i="116"/>
  <c r="H19" i="116"/>
  <c r="H12" i="116"/>
  <c r="S21" i="122" l="1"/>
  <c r="C19" i="122" l="1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3" i="116"/>
  <c r="T27" i="147"/>
  <c r="S27" i="147"/>
  <c r="M27" i="147"/>
  <c r="L27" i="147"/>
  <c r="K27" i="147"/>
  <c r="F27" i="147"/>
  <c r="E31" i="107" l="1"/>
  <c r="H31" i="107" s="1"/>
  <c r="E33" i="116" l="1"/>
  <c r="F33" i="116"/>
  <c r="E32" i="116"/>
  <c r="D33" i="116"/>
  <c r="H33" i="116" l="1"/>
  <c r="F38" i="145"/>
  <c r="E38" i="145"/>
  <c r="G38" i="145" s="1"/>
  <c r="F61" i="113" l="1"/>
  <c r="E61" i="113"/>
  <c r="H61" i="113" s="1"/>
  <c r="D61" i="113"/>
  <c r="F60" i="113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D57" i="113"/>
  <c r="G55" i="113"/>
  <c r="H54" i="113"/>
  <c r="G54" i="113"/>
  <c r="H53" i="113"/>
  <c r="G53" i="113"/>
  <c r="H52" i="113"/>
  <c r="G52" i="113"/>
  <c r="H51" i="113"/>
  <c r="G51" i="113"/>
  <c r="H50" i="113"/>
  <c r="G49" i="113"/>
  <c r="H48" i="113"/>
  <c r="G48" i="113"/>
  <c r="H47" i="113"/>
  <c r="G47" i="113"/>
  <c r="H46" i="113"/>
  <c r="G46" i="113"/>
  <c r="H45" i="113"/>
  <c r="G45" i="113"/>
  <c r="H44" i="113"/>
  <c r="G43" i="113"/>
  <c r="H42" i="113"/>
  <c r="G42" i="113"/>
  <c r="H41" i="113"/>
  <c r="G41" i="113"/>
  <c r="H40" i="113"/>
  <c r="G40" i="113"/>
  <c r="H39" i="113"/>
  <c r="G39" i="113"/>
  <c r="F61" i="112"/>
  <c r="E61" i="112"/>
  <c r="H61" i="112" s="1"/>
  <c r="D61" i="112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D57" i="112"/>
  <c r="H56" i="112"/>
  <c r="G55" i="112"/>
  <c r="H54" i="112"/>
  <c r="G54" i="112"/>
  <c r="H53" i="112"/>
  <c r="G53" i="112"/>
  <c r="H52" i="112"/>
  <c r="G52" i="112"/>
  <c r="H51" i="112"/>
  <c r="G51" i="112"/>
  <c r="H50" i="112"/>
  <c r="G49" i="112"/>
  <c r="H48" i="112"/>
  <c r="G48" i="112"/>
  <c r="H47" i="112"/>
  <c r="G47" i="112"/>
  <c r="H46" i="112"/>
  <c r="G46" i="112"/>
  <c r="H45" i="112"/>
  <c r="G45" i="112"/>
  <c r="H44" i="112"/>
  <c r="G43" i="112"/>
  <c r="H42" i="112"/>
  <c r="G42" i="112"/>
  <c r="H41" i="112"/>
  <c r="G41" i="112"/>
  <c r="H40" i="112"/>
  <c r="G40" i="112"/>
  <c r="H39" i="112"/>
  <c r="G39" i="112"/>
  <c r="F61" i="111"/>
  <c r="E61" i="111"/>
  <c r="H61" i="111" s="1"/>
  <c r="D61" i="111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D57" i="111"/>
  <c r="H56" i="111"/>
  <c r="G55" i="111"/>
  <c r="H54" i="111"/>
  <c r="G54" i="111"/>
  <c r="H53" i="111"/>
  <c r="G53" i="111"/>
  <c r="H52" i="111"/>
  <c r="G52" i="111"/>
  <c r="H51" i="111"/>
  <c r="G51" i="111"/>
  <c r="H50" i="111"/>
  <c r="G49" i="111"/>
  <c r="H48" i="111"/>
  <c r="G48" i="111"/>
  <c r="H47" i="111"/>
  <c r="G47" i="111"/>
  <c r="H46" i="111"/>
  <c r="G46" i="111"/>
  <c r="H45" i="111"/>
  <c r="G45" i="111"/>
  <c r="H44" i="111"/>
  <c r="G43" i="111"/>
  <c r="H42" i="111"/>
  <c r="G42" i="111"/>
  <c r="H41" i="111"/>
  <c r="G41" i="111"/>
  <c r="H40" i="111"/>
  <c r="G40" i="111"/>
  <c r="H39" i="111"/>
  <c r="G39" i="111"/>
  <c r="F61" i="110"/>
  <c r="E61" i="110"/>
  <c r="H61" i="110" s="1"/>
  <c r="D61" i="110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D57" i="110"/>
  <c r="H56" i="110"/>
  <c r="G55" i="110"/>
  <c r="H54" i="110"/>
  <c r="G54" i="110"/>
  <c r="H53" i="110"/>
  <c r="G53" i="110"/>
  <c r="H52" i="110"/>
  <c r="G52" i="110"/>
  <c r="H51" i="110"/>
  <c r="G51" i="110"/>
  <c r="H50" i="110"/>
  <c r="G49" i="110"/>
  <c r="H48" i="110"/>
  <c r="G48" i="110"/>
  <c r="H47" i="110"/>
  <c r="G47" i="110"/>
  <c r="H46" i="110"/>
  <c r="G46" i="110"/>
  <c r="H45" i="110"/>
  <c r="G45" i="110"/>
  <c r="H44" i="110"/>
  <c r="G43" i="110"/>
  <c r="H42" i="110"/>
  <c r="G42" i="110"/>
  <c r="H41" i="110"/>
  <c r="G41" i="110"/>
  <c r="H40" i="110"/>
  <c r="G40" i="110"/>
  <c r="H39" i="110"/>
  <c r="G39" i="110"/>
  <c r="F61" i="109"/>
  <c r="E61" i="109"/>
  <c r="H61" i="109" s="1"/>
  <c r="D61" i="109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D57" i="109"/>
  <c r="H56" i="109"/>
  <c r="G55" i="109"/>
  <c r="H54" i="109"/>
  <c r="G54" i="109"/>
  <c r="H53" i="109"/>
  <c r="G53" i="109"/>
  <c r="H52" i="109"/>
  <c r="G52" i="109"/>
  <c r="H51" i="109"/>
  <c r="G51" i="109"/>
  <c r="H50" i="109"/>
  <c r="G49" i="109"/>
  <c r="H48" i="109"/>
  <c r="G48" i="109"/>
  <c r="H47" i="109"/>
  <c r="G47" i="109"/>
  <c r="H46" i="109"/>
  <c r="G46" i="109"/>
  <c r="H45" i="109"/>
  <c r="G45" i="109"/>
  <c r="H44" i="109"/>
  <c r="G43" i="109"/>
  <c r="H42" i="109"/>
  <c r="G42" i="109"/>
  <c r="H41" i="109"/>
  <c r="G41" i="109"/>
  <c r="H40" i="109"/>
  <c r="G40" i="109"/>
  <c r="H39" i="109"/>
  <c r="G39" i="109"/>
  <c r="G41" i="108"/>
  <c r="F61" i="108"/>
  <c r="E61" i="108"/>
  <c r="H61" i="108" s="1"/>
  <c r="D61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H56" i="108"/>
  <c r="G55" i="108"/>
  <c r="H54" i="108"/>
  <c r="G54" i="108"/>
  <c r="H53" i="108"/>
  <c r="G53" i="108"/>
  <c r="H52" i="108"/>
  <c r="G52" i="108"/>
  <c r="H51" i="108"/>
  <c r="G51" i="108"/>
  <c r="H50" i="108"/>
  <c r="G49" i="108"/>
  <c r="H48" i="108"/>
  <c r="G48" i="108"/>
  <c r="H47" i="108"/>
  <c r="G47" i="108"/>
  <c r="H46" i="108"/>
  <c r="G46" i="108"/>
  <c r="H45" i="108"/>
  <c r="G45" i="108"/>
  <c r="H44" i="108"/>
  <c r="G43" i="108"/>
  <c r="H42" i="108"/>
  <c r="G42" i="108"/>
  <c r="H41" i="108"/>
  <c r="H40" i="108"/>
  <c r="G40" i="108"/>
  <c r="H39" i="108"/>
  <c r="G39" i="108"/>
  <c r="F31" i="113"/>
  <c r="E31" i="113"/>
  <c r="H31" i="113" s="1"/>
  <c r="D31" i="113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D27" i="113"/>
  <c r="H26" i="113"/>
  <c r="G25" i="113"/>
  <c r="H24" i="113"/>
  <c r="G24" i="113"/>
  <c r="H23" i="113"/>
  <c r="G23" i="113"/>
  <c r="H22" i="113"/>
  <c r="G22" i="113"/>
  <c r="H21" i="113"/>
  <c r="G21" i="113"/>
  <c r="H20" i="113"/>
  <c r="G19" i="113"/>
  <c r="H18" i="113"/>
  <c r="G18" i="113"/>
  <c r="H17" i="113"/>
  <c r="G17" i="113"/>
  <c r="H16" i="113"/>
  <c r="G16" i="113"/>
  <c r="H15" i="113"/>
  <c r="G15" i="113"/>
  <c r="H14" i="113"/>
  <c r="G13" i="113"/>
  <c r="H12" i="113"/>
  <c r="G12" i="113"/>
  <c r="H11" i="113"/>
  <c r="G11" i="113"/>
  <c r="H10" i="113"/>
  <c r="G10" i="113"/>
  <c r="H9" i="113"/>
  <c r="G9" i="113"/>
  <c r="F31" i="112"/>
  <c r="E31" i="112"/>
  <c r="H31" i="112" s="1"/>
  <c r="D31" i="112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D27" i="112"/>
  <c r="H26" i="112"/>
  <c r="G25" i="112"/>
  <c r="H24" i="112"/>
  <c r="G24" i="112"/>
  <c r="H23" i="112"/>
  <c r="G23" i="112"/>
  <c r="H22" i="112"/>
  <c r="G22" i="112"/>
  <c r="H21" i="112"/>
  <c r="G21" i="112"/>
  <c r="H20" i="112"/>
  <c r="G19" i="112"/>
  <c r="H18" i="112"/>
  <c r="G18" i="112"/>
  <c r="H17" i="112"/>
  <c r="G17" i="112"/>
  <c r="H16" i="112"/>
  <c r="G16" i="112"/>
  <c r="H15" i="112"/>
  <c r="G15" i="112"/>
  <c r="H14" i="112"/>
  <c r="G13" i="112"/>
  <c r="H12" i="112"/>
  <c r="G12" i="112"/>
  <c r="H11" i="112"/>
  <c r="G11" i="112"/>
  <c r="H10" i="112"/>
  <c r="G10" i="112"/>
  <c r="H9" i="112"/>
  <c r="G9" i="112"/>
  <c r="F31" i="111"/>
  <c r="E31" i="111"/>
  <c r="H31" i="111" s="1"/>
  <c r="D31" i="111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D27" i="111"/>
  <c r="H26" i="111"/>
  <c r="G25" i="111"/>
  <c r="H24" i="111"/>
  <c r="G24" i="111"/>
  <c r="H23" i="111"/>
  <c r="G23" i="111"/>
  <c r="H22" i="111"/>
  <c r="G22" i="111"/>
  <c r="H21" i="111"/>
  <c r="G21" i="111"/>
  <c r="H20" i="111"/>
  <c r="G19" i="111"/>
  <c r="H18" i="111"/>
  <c r="G18" i="111"/>
  <c r="H17" i="111"/>
  <c r="G17" i="111"/>
  <c r="H16" i="111"/>
  <c r="G16" i="111"/>
  <c r="H15" i="111"/>
  <c r="G15" i="111"/>
  <c r="H14" i="111"/>
  <c r="G13" i="111"/>
  <c r="H12" i="111"/>
  <c r="G12" i="111"/>
  <c r="H11" i="111"/>
  <c r="G11" i="111"/>
  <c r="H10" i="111"/>
  <c r="G10" i="111"/>
  <c r="H9" i="111"/>
  <c r="G9" i="111"/>
  <c r="F31" i="110"/>
  <c r="E31" i="110"/>
  <c r="H31" i="110" s="1"/>
  <c r="D31" i="110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D27" i="110"/>
  <c r="H26" i="110"/>
  <c r="G25" i="110"/>
  <c r="H24" i="110"/>
  <c r="G24" i="110"/>
  <c r="H23" i="110"/>
  <c r="G23" i="110"/>
  <c r="H22" i="110"/>
  <c r="G22" i="110"/>
  <c r="H21" i="110"/>
  <c r="G21" i="110"/>
  <c r="H20" i="110"/>
  <c r="G19" i="110"/>
  <c r="H18" i="110"/>
  <c r="G18" i="110"/>
  <c r="H17" i="110"/>
  <c r="G17" i="110"/>
  <c r="H16" i="110"/>
  <c r="G16" i="110"/>
  <c r="H15" i="110"/>
  <c r="G15" i="110"/>
  <c r="H14" i="110"/>
  <c r="G13" i="110"/>
  <c r="H12" i="110"/>
  <c r="G12" i="110"/>
  <c r="H11" i="110"/>
  <c r="G11" i="110"/>
  <c r="H10" i="110"/>
  <c r="G10" i="110"/>
  <c r="H9" i="110"/>
  <c r="G9" i="110"/>
  <c r="F31" i="109"/>
  <c r="E31" i="109"/>
  <c r="H31" i="109" s="1"/>
  <c r="D31" i="109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D27" i="109"/>
  <c r="H26" i="109"/>
  <c r="G25" i="109"/>
  <c r="H24" i="109"/>
  <c r="G24" i="109"/>
  <c r="H23" i="109"/>
  <c r="G23" i="109"/>
  <c r="H22" i="109"/>
  <c r="G22" i="109"/>
  <c r="H21" i="109"/>
  <c r="G21" i="109"/>
  <c r="H20" i="109"/>
  <c r="G19" i="109"/>
  <c r="H18" i="109"/>
  <c r="G18" i="109"/>
  <c r="H17" i="109"/>
  <c r="G17" i="109"/>
  <c r="H16" i="109"/>
  <c r="G16" i="109"/>
  <c r="H15" i="109"/>
  <c r="G15" i="109"/>
  <c r="H14" i="109"/>
  <c r="G13" i="109"/>
  <c r="H12" i="109"/>
  <c r="G12" i="109"/>
  <c r="H11" i="109"/>
  <c r="G11" i="109"/>
  <c r="H10" i="109"/>
  <c r="G10" i="109"/>
  <c r="H9" i="109"/>
  <c r="G9" i="109"/>
  <c r="G25" i="108"/>
  <c r="G19" i="108"/>
  <c r="G13" i="108"/>
  <c r="G12" i="108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2" i="109" l="1"/>
  <c r="G44" i="107"/>
  <c r="K44" i="107"/>
  <c r="K50" i="107"/>
  <c r="K56" i="107"/>
  <c r="K62" i="107"/>
  <c r="G44" i="112"/>
  <c r="G56" i="112"/>
  <c r="G50" i="111"/>
  <c r="G44" i="109"/>
  <c r="G56" i="109"/>
  <c r="G14" i="109"/>
  <c r="G26" i="109"/>
  <c r="G56" i="108"/>
  <c r="G20" i="113"/>
  <c r="G20" i="111"/>
  <c r="G44" i="113"/>
  <c r="G56" i="113"/>
  <c r="G50" i="113"/>
  <c r="G14" i="113"/>
  <c r="G26" i="113"/>
  <c r="G50" i="112"/>
  <c r="G26" i="112"/>
  <c r="G14" i="112"/>
  <c r="G20" i="112"/>
  <c r="G44" i="111"/>
  <c r="G56" i="111"/>
  <c r="G14" i="111"/>
  <c r="G26" i="111"/>
  <c r="G44" i="110"/>
  <c r="G56" i="110"/>
  <c r="G50" i="110"/>
  <c r="G14" i="110"/>
  <c r="G26" i="110"/>
  <c r="G20" i="110"/>
  <c r="G50" i="109"/>
  <c r="G20" i="109"/>
  <c r="G44" i="108"/>
  <c r="G50" i="108"/>
  <c r="G50" i="107"/>
  <c r="G56" i="107"/>
  <c r="E62" i="113"/>
  <c r="G57" i="113" s="1"/>
  <c r="E32" i="113"/>
  <c r="H32" i="113" s="1"/>
  <c r="D62" i="113"/>
  <c r="E62" i="112"/>
  <c r="G60" i="112" s="1"/>
  <c r="E32" i="112"/>
  <c r="G28" i="112" s="1"/>
  <c r="D62" i="111"/>
  <c r="F62" i="111"/>
  <c r="D32" i="111"/>
  <c r="F62" i="110"/>
  <c r="D62" i="110"/>
  <c r="D32" i="110"/>
  <c r="F32" i="110"/>
  <c r="F32" i="109"/>
  <c r="D32" i="109"/>
  <c r="F62" i="108"/>
  <c r="F62" i="113"/>
  <c r="F32" i="113"/>
  <c r="D32" i="113"/>
  <c r="H57" i="112"/>
  <c r="D62" i="112"/>
  <c r="F62" i="112"/>
  <c r="D32" i="112"/>
  <c r="F32" i="112"/>
  <c r="H27" i="112"/>
  <c r="E62" i="111"/>
  <c r="H62" i="111" s="1"/>
  <c r="F32" i="111"/>
  <c r="E32" i="111"/>
  <c r="G30" i="111" s="1"/>
  <c r="E62" i="110"/>
  <c r="H62" i="110" s="1"/>
  <c r="E32" i="110"/>
  <c r="G30" i="110" s="1"/>
  <c r="D62" i="109"/>
  <c r="E62" i="109"/>
  <c r="G59" i="109" s="1"/>
  <c r="E32" i="109"/>
  <c r="H32" i="109" s="1"/>
  <c r="D62" i="108"/>
  <c r="E62" i="108"/>
  <c r="H62" i="108" s="1"/>
  <c r="H57" i="113"/>
  <c r="H57" i="111"/>
  <c r="H57" i="110"/>
  <c r="H57" i="109"/>
  <c r="H27" i="113"/>
  <c r="H27" i="111"/>
  <c r="H27" i="110"/>
  <c r="H27" i="109"/>
  <c r="G57" i="112" l="1"/>
  <c r="G58" i="112"/>
  <c r="G60" i="113"/>
  <c r="G59" i="112"/>
  <c r="G61" i="112"/>
  <c r="H62" i="112"/>
  <c r="G59" i="113"/>
  <c r="G61" i="113"/>
  <c r="G58" i="108"/>
  <c r="G59" i="111"/>
  <c r="G27" i="113"/>
  <c r="G30" i="113"/>
  <c r="G30" i="112"/>
  <c r="G57" i="110"/>
  <c r="G31" i="113"/>
  <c r="G58" i="109"/>
  <c r="G61" i="109"/>
  <c r="G29" i="109"/>
  <c r="G28" i="109"/>
  <c r="G30" i="109"/>
  <c r="G31" i="109"/>
  <c r="G57" i="108"/>
  <c r="G59" i="108"/>
  <c r="G60" i="108"/>
  <c r="G61" i="108"/>
  <c r="G58" i="113"/>
  <c r="H62" i="113"/>
  <c r="G29" i="113"/>
  <c r="G28" i="113"/>
  <c r="G29" i="112"/>
  <c r="G31" i="112"/>
  <c r="G60" i="109"/>
  <c r="G57" i="109"/>
  <c r="H62" i="109"/>
  <c r="G27" i="109"/>
  <c r="H32" i="112"/>
  <c r="G27" i="112"/>
  <c r="G57" i="111"/>
  <c r="G31" i="111"/>
  <c r="H32" i="111"/>
  <c r="G59" i="110"/>
  <c r="G31" i="110"/>
  <c r="H32" i="110"/>
  <c r="G60" i="111"/>
  <c r="G61" i="111"/>
  <c r="G58" i="111"/>
  <c r="G29" i="111"/>
  <c r="G28" i="111"/>
  <c r="G27" i="111"/>
  <c r="G60" i="110"/>
  <c r="G61" i="110"/>
  <c r="G58" i="110"/>
  <c r="G29" i="110"/>
  <c r="G28" i="110"/>
  <c r="G27" i="110"/>
  <c r="G62" i="112" l="1"/>
  <c r="G62" i="113"/>
  <c r="G62" i="109"/>
  <c r="G62" i="108"/>
  <c r="G32" i="113"/>
  <c r="G62" i="110"/>
  <c r="G32" i="110"/>
  <c r="G32" i="109"/>
  <c r="G32" i="112"/>
  <c r="G62" i="111"/>
  <c r="G32" i="111"/>
  <c r="N18" i="147" l="1"/>
  <c r="G21" i="147"/>
  <c r="G18" i="147"/>
  <c r="S18" i="147"/>
  <c r="T28" i="147" s="1"/>
  <c r="S19" i="147"/>
  <c r="T29" i="147" s="1"/>
  <c r="S20" i="147"/>
  <c r="T30" i="147" s="1"/>
  <c r="S21" i="147"/>
  <c r="T31" i="147" s="1"/>
  <c r="S22" i="147"/>
  <c r="S23" i="147"/>
  <c r="S24" i="147"/>
  <c r="L18" i="147"/>
  <c r="M28" i="147" s="1"/>
  <c r="L19" i="147"/>
  <c r="M29" i="147" s="1"/>
  <c r="L20" i="147"/>
  <c r="M30" i="147" s="1"/>
  <c r="L21" i="147"/>
  <c r="M31" i="147" s="1"/>
  <c r="L22" i="147"/>
  <c r="L23" i="147"/>
  <c r="L24" i="147"/>
  <c r="F18" i="147"/>
  <c r="F28" i="147" s="1"/>
  <c r="F19" i="147"/>
  <c r="F20" i="147"/>
  <c r="F21" i="147"/>
  <c r="F22" i="147"/>
  <c r="F23" i="147"/>
  <c r="F24" i="147"/>
  <c r="F31" i="108"/>
  <c r="E31" i="108"/>
  <c r="H31" i="108" s="1"/>
  <c r="D31" i="108"/>
  <c r="F30" i="108"/>
  <c r="E30" i="108"/>
  <c r="H30" i="108" s="1"/>
  <c r="D30" i="108"/>
  <c r="F29" i="108"/>
  <c r="E29" i="108"/>
  <c r="H29" i="108" s="1"/>
  <c r="D29" i="108"/>
  <c r="F28" i="108"/>
  <c r="E28" i="108"/>
  <c r="D28" i="108"/>
  <c r="F27" i="108"/>
  <c r="E27" i="108"/>
  <c r="H27" i="108" s="1"/>
  <c r="D27" i="108"/>
  <c r="H26" i="108"/>
  <c r="H24" i="108"/>
  <c r="G24" i="108"/>
  <c r="H23" i="108"/>
  <c r="G23" i="108"/>
  <c r="H22" i="108"/>
  <c r="G22" i="108"/>
  <c r="H21" i="108"/>
  <c r="G21" i="108"/>
  <c r="G26" i="108" s="1"/>
  <c r="H20" i="108"/>
  <c r="H18" i="108"/>
  <c r="G18" i="108"/>
  <c r="H17" i="108"/>
  <c r="G17" i="108"/>
  <c r="H16" i="108"/>
  <c r="G16" i="108"/>
  <c r="H15" i="108"/>
  <c r="G15" i="108"/>
  <c r="H14" i="108"/>
  <c r="H12" i="108"/>
  <c r="H11" i="108"/>
  <c r="G11" i="108"/>
  <c r="H10" i="108"/>
  <c r="G10" i="108"/>
  <c r="H9" i="108"/>
  <c r="G9" i="108"/>
  <c r="G14" i="108" s="1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3" i="116"/>
  <c r="G12" i="116"/>
  <c r="G11" i="116"/>
  <c r="G10" i="116"/>
  <c r="G9" i="116"/>
  <c r="G8" i="116"/>
  <c r="F32" i="108" l="1"/>
  <c r="G14" i="116"/>
  <c r="G20" i="108"/>
  <c r="E32" i="108"/>
  <c r="H32" i="108" s="1"/>
  <c r="D62" i="107"/>
  <c r="F62" i="107"/>
  <c r="H28" i="108"/>
  <c r="D32" i="108"/>
  <c r="E62" i="107"/>
  <c r="G59" i="107" s="1"/>
  <c r="G29" i="108" l="1"/>
  <c r="G31" i="108"/>
  <c r="G28" i="108"/>
  <c r="G27" i="108"/>
  <c r="G30" i="108"/>
  <c r="G60" i="107"/>
  <c r="H62" i="107"/>
  <c r="G57" i="107"/>
  <c r="G61" i="107"/>
  <c r="G58" i="107"/>
  <c r="G32" i="108" l="1"/>
  <c r="G62" i="107"/>
  <c r="H39" i="145"/>
  <c r="H40" i="145"/>
  <c r="B39" i="145"/>
  <c r="I20" i="122" l="1"/>
  <c r="B20" i="122"/>
  <c r="C27" i="147" l="1"/>
  <c r="D27" i="147"/>
  <c r="E27" i="147"/>
  <c r="B27" i="147"/>
  <c r="R18" i="128" l="1"/>
  <c r="P20" i="128"/>
  <c r="R20" i="128"/>
  <c r="B18" i="128"/>
  <c r="C18" i="128"/>
  <c r="D18" i="128"/>
  <c r="E18" i="128"/>
  <c r="F18" i="128"/>
  <c r="G18" i="128"/>
  <c r="H18" i="128"/>
  <c r="I18" i="128"/>
  <c r="J18" i="128"/>
  <c r="K18" i="128"/>
  <c r="L18" i="128"/>
  <c r="M18" i="128"/>
  <c r="N18" i="128"/>
  <c r="O18" i="128"/>
  <c r="P18" i="128"/>
  <c r="Q18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R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19" i="147"/>
  <c r="C19" i="147"/>
  <c r="D19" i="147"/>
  <c r="E19" i="147"/>
  <c r="G19" i="147"/>
  <c r="H19" i="147"/>
  <c r="I29" i="147" s="1"/>
  <c r="J29" i="147"/>
  <c r="J19" i="147"/>
  <c r="K29" i="147" s="1"/>
  <c r="K19" i="147"/>
  <c r="L29" i="147" s="1"/>
  <c r="M19" i="147"/>
  <c r="N19" i="147"/>
  <c r="O19" i="147"/>
  <c r="P29" i="147" s="1"/>
  <c r="P19" i="147"/>
  <c r="Q29" i="147" s="1"/>
  <c r="Q19" i="147"/>
  <c r="R29" i="147" s="1"/>
  <c r="R19" i="147"/>
  <c r="S29" i="147" s="1"/>
  <c r="T19" i="147"/>
  <c r="U19" i="147"/>
  <c r="B20" i="147"/>
  <c r="C20" i="147"/>
  <c r="D20" i="147"/>
  <c r="E20" i="147"/>
  <c r="G20" i="147"/>
  <c r="H20" i="147"/>
  <c r="I30" i="147" s="1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22" i="147"/>
  <c r="J22" i="147"/>
  <c r="K22" i="147"/>
  <c r="M22" i="147"/>
  <c r="N22" i="147"/>
  <c r="O22" i="147"/>
  <c r="P22" i="147"/>
  <c r="Q22" i="147"/>
  <c r="R22" i="147"/>
  <c r="T22" i="147"/>
  <c r="U22" i="147"/>
  <c r="C23" i="147"/>
  <c r="D23" i="147"/>
  <c r="E23" i="147"/>
  <c r="G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R22" i="128" l="1"/>
  <c r="H37" i="145"/>
  <c r="J37" i="145"/>
  <c r="D37" i="145"/>
  <c r="F20" i="140" l="1"/>
  <c r="F20" i="139"/>
  <c r="F20" i="120"/>
  <c r="F18" i="140"/>
  <c r="F18" i="139"/>
  <c r="F18" i="120"/>
  <c r="F16" i="140"/>
  <c r="F16" i="139"/>
  <c r="F16" i="120"/>
  <c r="F14" i="140"/>
  <c r="F14" i="139"/>
  <c r="F14" i="120"/>
  <c r="F12" i="140"/>
  <c r="F12" i="139"/>
  <c r="F12" i="120"/>
  <c r="F10" i="140"/>
  <c r="F10" i="120"/>
  <c r="F18" i="141" l="1"/>
  <c r="F10" i="141"/>
  <c r="F10" i="139"/>
  <c r="F16" i="141" l="1"/>
  <c r="F20" i="141"/>
  <c r="F12" i="141"/>
  <c r="F14" i="141"/>
  <c r="G16" i="116" l="1"/>
  <c r="G17" i="116"/>
  <c r="G18" i="116"/>
  <c r="G19" i="116"/>
  <c r="G20" i="116"/>
  <c r="G15" i="116"/>
  <c r="G21" i="116" l="1"/>
  <c r="C18" i="147" l="1"/>
  <c r="C28" i="147" s="1"/>
  <c r="D18" i="147"/>
  <c r="D28" i="147" s="1"/>
  <c r="E18" i="147"/>
  <c r="E28" i="147" s="1"/>
  <c r="B18" i="147"/>
  <c r="B28" i="147" s="1"/>
  <c r="G8" i="141" l="1"/>
  <c r="H8" i="141"/>
  <c r="I8" i="141"/>
  <c r="J8" i="141"/>
  <c r="G9" i="14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7" i="141"/>
  <c r="J7" i="141"/>
  <c r="I7" i="141"/>
  <c r="H7" i="141"/>
  <c r="K18" i="141" l="1"/>
  <c r="K16" i="141"/>
  <c r="K8" i="141"/>
  <c r="K13" i="141"/>
  <c r="K11" i="141"/>
  <c r="K23" i="141"/>
  <c r="K21" i="141"/>
  <c r="K19" i="141"/>
  <c r="K17" i="141"/>
  <c r="K14" i="141"/>
  <c r="K22" i="141"/>
  <c r="K15" i="141"/>
  <c r="K12" i="141"/>
  <c r="K10" i="141"/>
  <c r="K9" i="141"/>
  <c r="K20" i="141"/>
  <c r="K7" i="141"/>
  <c r="C10" i="141" l="1"/>
  <c r="D10" i="141"/>
  <c r="C12" i="141"/>
  <c r="D12" i="141"/>
  <c r="C14" i="141"/>
  <c r="D14" i="141"/>
  <c r="C16" i="141"/>
  <c r="D16" i="141"/>
  <c r="C18" i="141"/>
  <c r="D18" i="141"/>
  <c r="C20" i="141"/>
  <c r="D20" i="141"/>
  <c r="C7" i="140"/>
  <c r="D7" i="140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B7" i="140"/>
  <c r="C7" i="139"/>
  <c r="D7" i="139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B7" i="139"/>
  <c r="C7" i="120"/>
  <c r="D7" i="120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7" i="120"/>
  <c r="B21" i="120" l="1"/>
  <c r="D21" i="120"/>
  <c r="E7" i="120" s="1"/>
  <c r="C21" i="120"/>
  <c r="Q27" i="147" l="1"/>
  <c r="R27" i="147"/>
  <c r="P27" i="147"/>
  <c r="O29" i="147"/>
  <c r="O30" i="147"/>
  <c r="O31" i="147"/>
  <c r="O28" i="147"/>
  <c r="J27" i="147"/>
  <c r="I27" i="147"/>
  <c r="H29" i="147"/>
  <c r="H30" i="147"/>
  <c r="H31" i="147"/>
  <c r="H28" i="147"/>
  <c r="T18" i="147" l="1"/>
  <c r="M18" i="147"/>
  <c r="R18" i="147"/>
  <c r="S28" i="147" s="1"/>
  <c r="Q18" i="147"/>
  <c r="R28" i="147" s="1"/>
  <c r="P18" i="147"/>
  <c r="Q28" i="147" s="1"/>
  <c r="O18" i="147"/>
  <c r="P28" i="147" s="1"/>
  <c r="K18" i="147"/>
  <c r="L28" i="147" s="1"/>
  <c r="J18" i="147"/>
  <c r="K28" i="147" s="1"/>
  <c r="I18" i="147"/>
  <c r="J28" i="147" s="1"/>
  <c r="H18" i="147"/>
  <c r="I28" i="147" s="1"/>
  <c r="U18" i="147" l="1"/>
  <c r="K6" i="146" l="1"/>
  <c r="H6" i="146" l="1"/>
  <c r="M6" i="146"/>
  <c r="I6" i="146"/>
  <c r="C6" i="146"/>
  <c r="E6" i="146"/>
  <c r="E39" i="145"/>
  <c r="F45" i="145"/>
  <c r="J40" i="145"/>
  <c r="I40" i="145"/>
  <c r="I47" i="145"/>
  <c r="I39" i="145"/>
  <c r="I46" i="145"/>
  <c r="I38" i="145"/>
  <c r="H38" i="145"/>
  <c r="E40" i="145"/>
  <c r="F47" i="145" s="1"/>
  <c r="F39" i="145"/>
  <c r="D40" i="145"/>
  <c r="C38" i="145"/>
  <c r="C39" i="145"/>
  <c r="C40" i="145"/>
  <c r="B40" i="145"/>
  <c r="C47" i="145" s="1"/>
  <c r="C46" i="145"/>
  <c r="B38" i="145"/>
  <c r="I37" i="145"/>
  <c r="F37" i="145"/>
  <c r="E37" i="145"/>
  <c r="C37" i="145"/>
  <c r="B37" i="145"/>
  <c r="H41" i="145"/>
  <c r="E41" i="145"/>
  <c r="H29" i="179" l="1"/>
  <c r="H30" i="179"/>
  <c r="G39" i="145"/>
  <c r="E30" i="179"/>
  <c r="C45" i="145"/>
  <c r="E29" i="179"/>
  <c r="I45" i="145"/>
  <c r="J38" i="145"/>
  <c r="D39" i="145"/>
  <c r="J39" i="145"/>
  <c r="D38" i="145"/>
  <c r="L6" i="146"/>
  <c r="F6" i="146"/>
  <c r="J6" i="146"/>
  <c r="F46" i="145"/>
  <c r="I4" i="113"/>
  <c r="I4" i="112"/>
  <c r="I4" i="111"/>
  <c r="I4" i="110"/>
  <c r="I4" i="109"/>
  <c r="I4" i="108"/>
  <c r="I4" i="107"/>
  <c r="K5" i="105"/>
  <c r="J5" i="105"/>
  <c r="I5" i="105"/>
  <c r="H5" i="105"/>
  <c r="A38" i="116"/>
  <c r="I4" i="116"/>
  <c r="D21" i="140"/>
  <c r="D23" i="140" s="1"/>
  <c r="C21" i="140"/>
  <c r="C23" i="140" s="1"/>
  <c r="B21" i="140"/>
  <c r="B23" i="140" s="1"/>
  <c r="D21" i="139"/>
  <c r="D23" i="139" s="1"/>
  <c r="C21" i="139"/>
  <c r="C23" i="139" s="1"/>
  <c r="B21" i="139"/>
  <c r="B23" i="139" s="1"/>
  <c r="E7" i="140" l="1"/>
  <c r="E9" i="140"/>
  <c r="E14" i="140"/>
  <c r="E19" i="140"/>
  <c r="E10" i="140"/>
  <c r="E15" i="140"/>
  <c r="E13" i="140"/>
  <c r="E18" i="140"/>
  <c r="E11" i="140"/>
  <c r="E17" i="140"/>
  <c r="E10" i="139"/>
  <c r="E11" i="139"/>
  <c r="E19" i="139"/>
  <c r="E9" i="139"/>
  <c r="E13" i="139"/>
  <c r="E17" i="139"/>
  <c r="E14" i="139"/>
  <c r="E18" i="139"/>
  <c r="E7" i="139"/>
  <c r="E15" i="139"/>
  <c r="E8" i="139"/>
  <c r="E12" i="139"/>
  <c r="E16" i="139"/>
  <c r="E8" i="140"/>
  <c r="E12" i="140"/>
  <c r="E16" i="140"/>
  <c r="E20" i="140"/>
  <c r="E20" i="139"/>
  <c r="G38" i="116"/>
  <c r="J42" i="116"/>
  <c r="I42" i="116"/>
  <c r="H45" i="116"/>
  <c r="H44" i="116"/>
  <c r="H43" i="116"/>
  <c r="D42" i="116"/>
  <c r="C42" i="116"/>
  <c r="B45" i="116"/>
  <c r="B44" i="116"/>
  <c r="B43" i="116"/>
  <c r="D32" i="133"/>
  <c r="D33" i="133"/>
  <c r="D34" i="133"/>
  <c r="F30" i="133"/>
  <c r="G30" i="133"/>
  <c r="H30" i="133"/>
  <c r="E30" i="133"/>
  <c r="D31" i="133"/>
  <c r="C19" i="133"/>
  <c r="F33" i="133" s="1"/>
  <c r="K22" i="133"/>
  <c r="K18" i="133"/>
  <c r="F18" i="133"/>
  <c r="F22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J21" i="133"/>
  <c r="I21" i="133"/>
  <c r="H21" i="133"/>
  <c r="G21" i="133"/>
  <c r="E21" i="133"/>
  <c r="D21" i="133"/>
  <c r="C21" i="133"/>
  <c r="B21" i="133"/>
  <c r="K20" i="133"/>
  <c r="J20" i="133"/>
  <c r="I20" i="133"/>
  <c r="H20" i="133"/>
  <c r="G20" i="133"/>
  <c r="E20" i="133"/>
  <c r="H34" i="133" s="1"/>
  <c r="D20" i="133"/>
  <c r="G34" i="133" s="1"/>
  <c r="C20" i="133"/>
  <c r="F34" i="133" s="1"/>
  <c r="B20" i="133"/>
  <c r="E34" i="133" s="1"/>
  <c r="J19" i="133"/>
  <c r="I19" i="133"/>
  <c r="H19" i="133"/>
  <c r="G19" i="133"/>
  <c r="E19" i="133"/>
  <c r="H33" i="133" s="1"/>
  <c r="D19" i="133"/>
  <c r="G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J17" i="133"/>
  <c r="I17" i="133"/>
  <c r="H17" i="133"/>
  <c r="G17" i="133"/>
  <c r="E17" i="133"/>
  <c r="H31" i="133" s="1"/>
  <c r="D17" i="133"/>
  <c r="G31" i="133" s="1"/>
  <c r="C17" i="133"/>
  <c r="F31" i="133" s="1"/>
  <c r="B17" i="133"/>
  <c r="E31" i="133" s="1"/>
  <c r="F20" i="133" l="1"/>
  <c r="E21" i="139"/>
  <c r="E21" i="140"/>
  <c r="K23" i="133"/>
  <c r="K21" i="133"/>
  <c r="K19" i="133"/>
  <c r="K17" i="133"/>
  <c r="F19" i="133"/>
  <c r="F23" i="133"/>
  <c r="F17" i="133"/>
  <c r="F21" i="133"/>
  <c r="B17" i="128"/>
  <c r="R17" i="128"/>
  <c r="Q17" i="128"/>
  <c r="P17" i="128"/>
  <c r="O17" i="128"/>
  <c r="N17" i="128"/>
  <c r="M17" i="128"/>
  <c r="L17" i="128"/>
  <c r="K17" i="128"/>
  <c r="J17" i="128"/>
  <c r="I17" i="128"/>
  <c r="H17" i="128"/>
  <c r="G17" i="128"/>
  <c r="F17" i="128"/>
  <c r="E17" i="128"/>
  <c r="D17" i="128"/>
  <c r="C17" i="128"/>
  <c r="C24" i="122" l="1"/>
  <c r="C23" i="122"/>
  <c r="C22" i="122"/>
  <c r="C21" i="122"/>
  <c r="C20" i="122"/>
  <c r="C18" i="122"/>
  <c r="S24" i="122"/>
  <c r="R24" i="122"/>
  <c r="Q24" i="122"/>
  <c r="N24" i="122"/>
  <c r="M24" i="122"/>
  <c r="L24" i="122"/>
  <c r="K24" i="122"/>
  <c r="S23" i="122"/>
  <c r="R23" i="122"/>
  <c r="Q23" i="122"/>
  <c r="P23" i="122"/>
  <c r="N23" i="122"/>
  <c r="M23" i="122"/>
  <c r="L23" i="122"/>
  <c r="K23" i="122"/>
  <c r="S22" i="122"/>
  <c r="R22" i="122"/>
  <c r="Q22" i="122"/>
  <c r="N22" i="122"/>
  <c r="M22" i="122"/>
  <c r="L22" i="122"/>
  <c r="K22" i="122"/>
  <c r="R21" i="122"/>
  <c r="Q21" i="122"/>
  <c r="N21" i="122"/>
  <c r="M21" i="122"/>
  <c r="L21" i="122"/>
  <c r="K21" i="122"/>
  <c r="S20" i="122"/>
  <c r="R20" i="122"/>
  <c r="Q20" i="122"/>
  <c r="N20" i="122"/>
  <c r="M20" i="122"/>
  <c r="L20" i="122"/>
  <c r="K20" i="122"/>
  <c r="S19" i="122"/>
  <c r="R19" i="122"/>
  <c r="Q19" i="122"/>
  <c r="P19" i="122"/>
  <c r="N19" i="122"/>
  <c r="M19" i="122"/>
  <c r="L19" i="122"/>
  <c r="K19" i="122"/>
  <c r="S18" i="122"/>
  <c r="Q18" i="122"/>
  <c r="N18" i="122"/>
  <c r="M18" i="122"/>
  <c r="K18" i="122"/>
  <c r="P21" i="122"/>
  <c r="O21" i="122"/>
  <c r="P20" i="122"/>
  <c r="O20" i="122"/>
  <c r="O23" i="122"/>
  <c r="P24" i="122"/>
  <c r="O24" i="122"/>
  <c r="P22" i="122"/>
  <c r="O22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J21" i="122"/>
  <c r="I21" i="122"/>
  <c r="H21" i="122"/>
  <c r="E21" i="122"/>
  <c r="D21" i="122"/>
  <c r="B21" i="122"/>
  <c r="J20" i="122"/>
  <c r="H20" i="122"/>
  <c r="E20" i="122"/>
  <c r="D20" i="122"/>
  <c r="J19" i="122"/>
  <c r="I19" i="122"/>
  <c r="H19" i="122"/>
  <c r="E19" i="122"/>
  <c r="D19" i="122"/>
  <c r="B19" i="122"/>
  <c r="J18" i="122"/>
  <c r="I18" i="122"/>
  <c r="H18" i="122"/>
  <c r="E18" i="122"/>
  <c r="G21" i="122"/>
  <c r="G20" i="122"/>
  <c r="G19" i="122"/>
  <c r="G24" i="122"/>
  <c r="O18" i="122" l="1"/>
  <c r="P18" i="122"/>
  <c r="F24" i="122"/>
  <c r="G22" i="122"/>
  <c r="F19" i="122"/>
  <c r="F21" i="122"/>
  <c r="F23" i="122"/>
  <c r="G23" i="122"/>
  <c r="F18" i="122"/>
  <c r="F20" i="122"/>
  <c r="F22" i="122"/>
  <c r="B23" i="120" l="1"/>
  <c r="C23" i="120"/>
  <c r="E10" i="120" l="1"/>
  <c r="E13" i="120"/>
  <c r="E20" i="120"/>
  <c r="E19" i="120"/>
  <c r="E12" i="120"/>
  <c r="E17" i="120"/>
  <c r="E9" i="120"/>
  <c r="D23" i="120"/>
  <c r="E15" i="120"/>
  <c r="E8" i="120"/>
  <c r="E16" i="120"/>
  <c r="E11" i="120"/>
  <c r="E18" i="120"/>
  <c r="E14" i="120"/>
  <c r="E21" i="120" l="1"/>
  <c r="E30" i="116"/>
  <c r="F34" i="116" l="1"/>
  <c r="E34" i="116"/>
  <c r="F30" i="116"/>
  <c r="E31" i="116"/>
  <c r="F31" i="116"/>
  <c r="F32" i="116"/>
  <c r="F29" i="116"/>
  <c r="D30" i="116"/>
  <c r="D31" i="116"/>
  <c r="D32" i="116"/>
  <c r="D29" i="116"/>
  <c r="E29" i="116"/>
  <c r="H27" i="116"/>
  <c r="F22" i="140" s="1"/>
  <c r="D45" i="116"/>
  <c r="H25" i="116"/>
  <c r="H24" i="116"/>
  <c r="H23" i="116"/>
  <c r="H22" i="116"/>
  <c r="H20" i="116"/>
  <c r="F22" i="139" s="1"/>
  <c r="D44" i="116"/>
  <c r="H18" i="116"/>
  <c r="H17" i="116"/>
  <c r="H16" i="116"/>
  <c r="H15" i="116"/>
  <c r="H9" i="116"/>
  <c r="H10" i="116"/>
  <c r="H11" i="116"/>
  <c r="F22" i="120"/>
  <c r="H8" i="116"/>
  <c r="C22" i="141" l="1"/>
  <c r="D22" i="141"/>
  <c r="E35" i="116"/>
  <c r="D35" i="116"/>
  <c r="E38" i="179" s="1"/>
  <c r="F35" i="116"/>
  <c r="H34" i="116"/>
  <c r="F22" i="141" s="1"/>
  <c r="H30" i="116"/>
  <c r="H32" i="116"/>
  <c r="H21" i="116"/>
  <c r="F11" i="161" s="1"/>
  <c r="C44" i="116"/>
  <c r="H31" i="116"/>
  <c r="H29" i="116"/>
  <c r="D11" i="163" l="1"/>
  <c r="B11" i="163"/>
  <c r="C11" i="163"/>
  <c r="E10" i="163" s="1"/>
  <c r="E36" i="179" s="1"/>
  <c r="F23" i="139"/>
  <c r="G23" i="116"/>
  <c r="G27" i="116"/>
  <c r="G24" i="116"/>
  <c r="G22" i="116"/>
  <c r="G25" i="116"/>
  <c r="G26" i="116"/>
  <c r="D43" i="116"/>
  <c r="D46" i="116" s="1"/>
  <c r="J43" i="116"/>
  <c r="J44" i="116"/>
  <c r="J45" i="116"/>
  <c r="H28" i="116"/>
  <c r="F11" i="162" s="1"/>
  <c r="C45" i="116"/>
  <c r="C43" i="116"/>
  <c r="F11" i="126"/>
  <c r="E7" i="163" l="1"/>
  <c r="E33" i="179" s="1"/>
  <c r="E9" i="163"/>
  <c r="E35" i="179" s="1"/>
  <c r="E8" i="163"/>
  <c r="G28" i="116"/>
  <c r="F23" i="140"/>
  <c r="C46" i="116"/>
  <c r="I43" i="116"/>
  <c r="G30" i="116"/>
  <c r="G32" i="116"/>
  <c r="G34" i="116"/>
  <c r="G29" i="116"/>
  <c r="G31" i="116"/>
  <c r="G33" i="116"/>
  <c r="J46" i="116"/>
  <c r="H35" i="116"/>
  <c r="F11" i="163" s="1"/>
  <c r="I45" i="116"/>
  <c r="I44" i="116"/>
  <c r="E11" i="163" l="1"/>
  <c r="E34" i="179"/>
  <c r="G35" i="116"/>
  <c r="F23" i="141"/>
  <c r="I46" i="116"/>
  <c r="F15" i="140"/>
  <c r="F15" i="139"/>
  <c r="F15" i="120"/>
  <c r="F13" i="140"/>
  <c r="F13" i="139"/>
  <c r="F13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7" i="141" s="1"/>
  <c r="E32" i="107"/>
  <c r="B15" i="141"/>
  <c r="D15" i="141"/>
  <c r="C9" i="141"/>
  <c r="B8" i="141"/>
  <c r="B17" i="141"/>
  <c r="B13" i="141"/>
  <c r="D13" i="141"/>
  <c r="D19" i="141"/>
  <c r="B18" i="141"/>
  <c r="D17" i="141"/>
  <c r="B16" i="141"/>
  <c r="B14" i="141"/>
  <c r="B12" i="141"/>
  <c r="D11" i="141"/>
  <c r="B11" i="141"/>
  <c r="F11" i="141"/>
  <c r="C11" i="141"/>
  <c r="B10" i="141"/>
  <c r="D9" i="141"/>
  <c r="B9" i="141"/>
  <c r="D8" i="141"/>
  <c r="F8" i="140"/>
  <c r="B19" i="141"/>
  <c r="B20" i="141"/>
  <c r="F19" i="120"/>
  <c r="F19" i="139"/>
  <c r="F19" i="140"/>
  <c r="C19" i="141"/>
  <c r="F17" i="120"/>
  <c r="F17" i="139"/>
  <c r="F17" i="140"/>
  <c r="F11" i="120"/>
  <c r="F11" i="139"/>
  <c r="F11" i="140"/>
  <c r="F9" i="120"/>
  <c r="F9" i="139"/>
  <c r="F9" i="140"/>
  <c r="D7" i="141"/>
  <c r="F8" i="139"/>
  <c r="F8" i="120"/>
  <c r="H18" i="107"/>
  <c r="H12" i="107"/>
  <c r="H24" i="107"/>
  <c r="H27" i="107"/>
  <c r="H11" i="107"/>
  <c r="H17" i="107"/>
  <c r="H23" i="107"/>
  <c r="H26" i="107"/>
  <c r="F7" i="140" s="1"/>
  <c r="H28" i="107"/>
  <c r="H10" i="107"/>
  <c r="F7" i="120"/>
  <c r="H16" i="107"/>
  <c r="H20" i="107"/>
  <c r="F7" i="139" s="1"/>
  <c r="H22" i="107"/>
  <c r="H29" i="107"/>
  <c r="H15" i="107"/>
  <c r="H21" i="107"/>
  <c r="H30" i="107"/>
  <c r="H32" i="107" l="1"/>
  <c r="F7" i="141" s="1"/>
  <c r="G31" i="107"/>
  <c r="C7" i="141"/>
  <c r="F9" i="141"/>
  <c r="F8" i="141"/>
  <c r="F17" i="141"/>
  <c r="C17" i="141"/>
  <c r="F15" i="141"/>
  <c r="C15" i="141"/>
  <c r="B21" i="141"/>
  <c r="B23" i="141" s="1"/>
  <c r="F13" i="141"/>
  <c r="C13" i="141"/>
  <c r="D21" i="141"/>
  <c r="E8" i="141" s="1"/>
  <c r="C8" i="141"/>
  <c r="F19" i="141"/>
  <c r="G28" i="107"/>
  <c r="G30" i="107"/>
  <c r="G29" i="107"/>
  <c r="G27" i="107"/>
  <c r="G32" i="107" l="1"/>
  <c r="C21" i="141"/>
  <c r="C23" i="141" s="1"/>
  <c r="E17" i="141"/>
  <c r="E7" i="141"/>
  <c r="E18" i="141"/>
  <c r="E13" i="141"/>
  <c r="E14" i="141"/>
  <c r="E12" i="141"/>
  <c r="E15" i="141"/>
  <c r="E11" i="141"/>
  <c r="E10" i="141"/>
  <c r="E16" i="141"/>
  <c r="E9" i="141"/>
  <c r="E19" i="141"/>
  <c r="E20" i="141"/>
  <c r="D23" i="141"/>
  <c r="E21" i="141" l="1"/>
</calcChain>
</file>

<file path=xl/sharedStrings.xml><?xml version="1.0" encoding="utf-8"?>
<sst xmlns="http://schemas.openxmlformats.org/spreadsheetml/2006/main" count="1556" uniqueCount="322">
  <si>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</si>
  <si>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</si>
  <si>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</si>
  <si>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</si>
  <si>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</si>
  <si>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</si>
  <si>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</si>
  <si>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</si>
  <si>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</si>
  <si>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</si>
  <si>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</si>
  <si>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</si>
  <si>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</si>
  <si>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</si>
  <si>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</si>
  <si>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</si>
  <si>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</si>
  <si>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</si>
  <si>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</si>
  <si>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</si>
  <si>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</si>
  <si>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</si>
  <si>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</si>
  <si>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</si>
  <si>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</si>
  <si>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</si>
  <si>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</si>
  <si>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</si>
  <si>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</si>
  <si>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</si>
  <si>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</si>
  <si>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</si>
  <si>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</si>
  <si>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</si>
  <si>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</si>
  <si>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</si>
  <si>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</si>
  <si>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</si>
  <si>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</si>
  <si>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</si>
  <si>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</si>
  <si>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</si>
  <si>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</si>
  <si>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</si>
  <si>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</si>
  <si>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</si>
  <si>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</si>
  <si>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</si>
  <si>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I. čtvrtletí</t>
  </si>
  <si>
    <t>Tok plynu do/z plynárenské soustavy ČR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</si>
  <si>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</si>
  <si>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</si>
  <si>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</si>
  <si>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</si>
  <si>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</si>
  <si>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</si>
  <si>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</si>
  <si>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</si>
  <si>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</si>
  <si>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</si>
  <si>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</si>
  <si>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 xml:space="preserve">       Průměrná teplota ovzduší podle krajů (°C)</t>
  </si>
  <si>
    <t>Průměr</t>
  </si>
  <si>
    <t>III. čtvrtletí</t>
  </si>
  <si>
    <t>Spotřeba plynu
v ČR</t>
  </si>
  <si>
    <t>Moravia GS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</si>
  <si>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</si>
  <si>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</si>
  <si>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</si>
  <si>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</si>
  <si>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</si>
  <si>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</si>
  <si>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</si>
  <si>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</si>
  <si>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</si>
  <si>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</si>
  <si>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</si>
  <si>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</si>
  <si>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</si>
  <si>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</si>
  <si>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</si>
  <si>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</si>
  <si>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</si>
  <si>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</si>
  <si>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Ostatní společnosti</t>
  </si>
  <si>
    <t>zákazníci připojeni přímo k PS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</si>
  <si>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</si>
  <si>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</si>
  <si>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</si>
  <si>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</si>
  <si>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</si>
  <si>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</si>
  <si>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</si>
  <si>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</si>
  <si>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OP+VS+PKS</t>
  </si>
  <si>
    <t xml:space="preserve"> OP+VS+PKS</t>
  </si>
  <si>
    <t>VS+PKS</t>
  </si>
  <si>
    <t>Bilanční rozdíl v PS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</si>
  <si>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</si>
  <si>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</si>
  <si>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</si>
  <si>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</si>
  <si>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</si>
  <si>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</si>
  <si>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</si>
  <si>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</si>
  <si>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</si>
  <si>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</si>
  <si>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</si>
  <si>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</si>
  <si>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</si>
  <si>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</si>
  <si>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</si>
  <si>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</si>
  <si>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</si>
  <si>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</si>
  <si>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</si>
  <si>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</si>
  <si>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</si>
  <si>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</si>
  <si>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</si>
  <si>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</si>
  <si>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</si>
  <si>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</si>
  <si>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</si>
  <si>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</si>
  <si>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</si>
  <si>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</si>
  <si>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</si>
  <si>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</si>
  <si>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</si>
  <si>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</si>
  <si>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</si>
  <si>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</si>
  <si>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</si>
  <si>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</si>
  <si>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</si>
  <si>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</si>
  <si>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</si>
  <si>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</si>
  <si>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</si>
  <si>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</si>
  <si>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</si>
  <si>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</si>
  <si>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</si>
  <si>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</si>
  <si>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</si>
  <si>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</si>
  <si>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</si>
  <si>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</si>
  <si>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</si>
  <si>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</si>
  <si>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</si>
  <si>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</si>
  <si>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Spotřeba plynu 
na výrobu 
elektřiny</t>
  </si>
  <si>
    <t>Skutečná spotřeba 
plynu v ČR</t>
  </si>
  <si>
    <t>Přepočtená spotřeba 
plynu v ČR</t>
  </si>
  <si>
    <t>Teplota ovzduší v ČR (°C)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</si>
  <si>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</si>
  <si>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</si>
  <si>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</si>
  <si>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</si>
  <si>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</si>
  <si>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</si>
  <si>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</si>
  <si>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</si>
  <si>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</si>
  <si>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</si>
  <si>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</si>
  <si>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</si>
  <si>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</si>
  <si>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</si>
  <si>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</si>
  <si>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</si>
  <si>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</si>
  <si>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</si>
  <si>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</si>
  <si>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</si>
  <si>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</si>
  <si>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</si>
  <si>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</si>
  <si>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</si>
  <si>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</si>
  <si>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</si>
  <si>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</si>
  <si>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Počet 
zákazníků</t>
  </si>
  <si>
    <t>Teplota ovzduší</t>
  </si>
  <si>
    <t xml:space="preserve">                           Kraje</t>
  </si>
  <si>
    <t>Přepravní soustava a zásobníky plynu ČR</t>
  </si>
  <si>
    <t>Bilanční rozdíl
v přepravní soustavě</t>
  </si>
  <si>
    <t>saldo
ze/do ZP</t>
  </si>
  <si>
    <t>saldo
do/z ČR</t>
  </si>
  <si>
    <t>Tok plynu do/z
plynárenské soustavy ČR</t>
  </si>
  <si>
    <t>Tok plynu ze/do ZP,
které náleží do PLS ČR</t>
  </si>
  <si>
    <t>Spotřeba plynu [MWh]</t>
  </si>
  <si>
    <t>připojena 
k RDS</t>
  </si>
  <si>
    <t>připojena 
k LDS</t>
  </si>
  <si>
    <t>Do ČR</t>
  </si>
  <si>
    <t>Z ČR</t>
  </si>
  <si>
    <t>Ze ZP</t>
  </si>
  <si>
    <t>Do ZP</t>
  </si>
  <si>
    <t>RWE GS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</si>
  <si>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</si>
  <si>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Společnost GasNet, s.r.o. (provozovatel regionální distribuční soustavy) </t>
  </si>
  <si>
    <t>Společnost Moravia Gas Storage a.s. (provozovatel zásobníku plynu)</t>
  </si>
  <si>
    <t>Společnost NET4GAS, s.r.o. (provozovatel přepravní plynárenské soustavy)</t>
  </si>
  <si>
    <t>Společnost Pražská plynárenská Distribuce, a.s., člen koncernu Pražská plynárenská, a.s. (provozovatel regionální distribuční soustavy)</t>
  </si>
  <si>
    <t>Společnost RWE Gas Storage CZ, s.r.o. (provozovatel zásobníků plynu)</t>
  </si>
  <si>
    <t>±1,0</t>
  </si>
  <si>
    <t>EG.D, a.s.</t>
  </si>
  <si>
    <t>Společnost EG.D, a.s. (provozovatel regionální distribuční soustavy)</t>
  </si>
  <si>
    <t>EG.D</t>
  </si>
  <si>
    <t xml:space="preserve"> EG.D</t>
  </si>
  <si>
    <t>MND ES</t>
  </si>
  <si>
    <t>Společnost MND Energy Storage a.s. (provozovatel zásobníku plynu)</t>
  </si>
  <si>
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</t>
  </si>
  <si>
    <t>Tok plynu do plynárenské soustavy ČR</t>
  </si>
  <si>
    <t>/</t>
  </si>
  <si>
    <t>GWh</t>
  </si>
  <si>
    <t>Tok plynu z plynárenské soustavy ČR</t>
  </si>
  <si>
    <t>Tok plynu ze zásobníků plynu ČR (těžba)</t>
  </si>
  <si>
    <t>Tok plynu do zásobníků plynu ČR (vtláčení)</t>
  </si>
  <si>
    <t>Stav provozních zásob u zásobníků plynu ČR na konci čtrvrtletí</t>
  </si>
  <si>
    <t>Dodávky od výrobců plynu vč. vlastní spotřeby (vnitrostátní těžba)</t>
  </si>
  <si>
    <t>Skutečná spotřeba plynu v ČR</t>
  </si>
  <si>
    <t>Meziroční změna skutečné spotřeby plynu (nárůst +, pokles -)</t>
  </si>
  <si>
    <t>%</t>
  </si>
  <si>
    <t>Přepočtená spotřeba plynu v ČR</t>
  </si>
  <si>
    <t>Meziroční změna přepočtené spotřeby plynu (nárůst +, pokles -)</t>
  </si>
  <si>
    <t>Průměrná teplota za celé čtvrtletí</t>
  </si>
  <si>
    <t>°C</t>
  </si>
  <si>
    <t>Dlouhodobý teplotní normál</t>
  </si>
  <si>
    <t>Odchylka od dlouhodobého teplotního normálu</t>
  </si>
  <si>
    <t>Maximální denní spotřeba plynu v ČR</t>
  </si>
  <si>
    <t>Minimální denní spotřeba plynu v ČR</t>
  </si>
  <si>
    <t>Podíl / meziroční změna u společnosti PP Distribuce</t>
  </si>
  <si>
    <t>Podíl / meziroční změna u společnosti GasNet</t>
  </si>
  <si>
    <t>Podíl / meziroční změna u společnosti EG.D</t>
  </si>
  <si>
    <t>Podíl / meziroční změna u ostatních společností</t>
  </si>
  <si>
    <t>Celkový počet zákazníků v plynárenské soustavě ČR</t>
  </si>
  <si>
    <t>Bilanční rozdíl 
v PS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</si>
  <si>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plynárenských společností 
    na celkové spotřebě v ČR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</si>
  <si>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dlouhodobý teplotní normál</t>
    </r>
  </si>
  <si>
    <r>
      <rPr>
        <vertAlign val="superscript"/>
        <sz val="8"/>
        <rFont val="Arial"/>
        <family val="2"/>
        <charset val="238"/>
      </rPr>
      <t xml:space="preserve">3) </t>
    </r>
    <r>
      <rPr>
        <sz val="8"/>
        <rFont val="Arial"/>
        <family val="2"/>
        <charset val="238"/>
      </rPr>
      <t>odchylka od dlouhodobého teplotního normálu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</si>
  <si>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kraje na celkové spotřebě 
   zákazníků v ČR</t>
    </r>
  </si>
  <si>
    <t>OBSAH</t>
  </si>
  <si>
    <t>ÚVOD</t>
  </si>
  <si>
    <t>Výroba plynu
v ČR
(včetně VS)</t>
  </si>
  <si>
    <r>
      <t>Tok plynu do/z plynárenské soustavy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</si>
  <si>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Tok plynu ze/do ZP, které náleží do PLS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</si>
  <si>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Spotřeba plynu v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</si>
  <si>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Plynárenská soustava</t>
    </r>
    <r>
      <rPr>
        <sz val="11"/>
        <color rgb="FF233060"/>
        <rFont val="Arial"/>
        <family val="2"/>
        <charset val="238"/>
      </rPr>
      <t xml:space="preserve"> (kapitola 3)</t>
    </r>
  </si>
  <si>
    <r>
      <t xml:space="preserve">Spotřeba zemního plynu </t>
    </r>
    <r>
      <rPr>
        <sz val="11"/>
        <color rgb="FF233060"/>
        <rFont val="Arial"/>
        <family val="2"/>
        <charset val="238"/>
      </rPr>
      <t>(kapitola 4)</t>
    </r>
  </si>
  <si>
    <r>
      <t>Spotřeba zemního plynu podle distribučních soustav</t>
    </r>
    <r>
      <rPr>
        <sz val="11"/>
        <color rgb="FF233060"/>
        <rFont val="Arial"/>
        <family val="2"/>
        <charset val="238"/>
      </rPr>
      <t xml:space="preserve"> (kapitola 5)</t>
    </r>
  </si>
  <si>
    <r>
      <t>Spotřeba plynu po kategoriích 
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</si>
  <si>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Spotřeba plynu celkem 
(GWh)</t>
  </si>
  <si>
    <t>Pražská plynárenská 
Distribuce, a.s.</t>
  </si>
  <si>
    <t>Spotřeba plynu podle krajů (MWh)</t>
  </si>
  <si>
    <r>
      <t>mil. m</t>
    </r>
    <r>
      <rPr>
        <vertAlign val="superscript"/>
        <sz val="11"/>
        <rFont val="Arial"/>
        <family val="2"/>
        <charset val="238"/>
      </rPr>
      <t>3</t>
    </r>
  </si>
  <si>
    <t xml:space="preserve"> </t>
  </si>
  <si>
    <r>
      <t>mil. m</t>
    </r>
    <r>
      <rPr>
        <b/>
        <vertAlign val="superscript"/>
        <sz val="8"/>
        <rFont val="Arial"/>
        <family val="2"/>
        <charset val="238"/>
      </rPr>
      <t>3</t>
    </r>
  </si>
  <si>
    <r>
      <t>tis. m</t>
    </r>
    <r>
      <rPr>
        <b/>
        <vertAlign val="superscript"/>
        <sz val="8"/>
        <rFont val="Arial"/>
        <family val="2"/>
        <charset val="238"/>
      </rPr>
      <t>3</t>
    </r>
  </si>
  <si>
    <t>MWh</t>
  </si>
  <si>
    <t>Teplota ovzduší v ČR</t>
  </si>
  <si>
    <t xml:space="preserve"> změna</t>
  </si>
  <si>
    <t>změna</t>
  </si>
  <si>
    <t>OP
VS
PKS</t>
  </si>
  <si>
    <t>Max</t>
  </si>
  <si>
    <t>Min</t>
  </si>
  <si>
    <r>
      <t>(tis. m</t>
    </r>
    <r>
      <rPr>
        <b/>
        <vertAlign val="superscript"/>
        <sz val="8"/>
        <color rgb="FF233060"/>
        <rFont val="Arial"/>
        <family val="2"/>
        <charset val="238"/>
      </rPr>
      <t>3</t>
    </r>
    <r>
      <rPr>
        <b/>
        <sz val="8"/>
        <color rgb="FF233060"/>
        <rFont val="Arial"/>
        <family val="2"/>
        <charset val="238"/>
      </rPr>
      <t>)</t>
    </r>
  </si>
  <si>
    <t>Změna spotřeby</t>
  </si>
  <si>
    <r>
      <t>Spotřeba plynu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</si>
  <si>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Podíl jednotlivých měsíců na spotřebě plynu</t>
  </si>
  <si>
    <r>
      <t>Spotřeba plynu podle plynárenských společností 
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</si>
  <si>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Průměrná teplota ovzduší podle plynárenských společností (°C)</t>
  </si>
  <si>
    <t>Podíl spotřeby plynu 
podle plynárenských společností</t>
  </si>
  <si>
    <r>
      <t>Spotřeba plynu (tis. m</t>
    </r>
    <r>
      <rPr>
        <b/>
        <vertAlign val="superscript"/>
        <sz val="8"/>
        <rFont val="Arial"/>
        <family val="2"/>
        <charset val="238"/>
      </rPr>
      <t>3</t>
    </r>
    <r>
      <rPr>
        <b/>
        <sz val="8"/>
        <rFont val="Arial"/>
        <family val="2"/>
        <charset val="238"/>
      </rPr>
      <t>)</t>
    </r>
  </si>
  <si>
    <t>Spotřeba plynu (MWh)</t>
  </si>
  <si>
    <r>
      <t>Spotřeba zemního plynu podle plynárenských soustav v ČR po jednotlivých čtvrtletích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</si>
  <si>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Podíl</t>
    </r>
    <r>
      <rPr>
        <b/>
        <vertAlign val="superscript"/>
        <sz val="8"/>
        <rFont val="Arial"/>
        <family val="2"/>
        <charset val="238"/>
      </rPr>
      <t>1)</t>
    </r>
  </si>
  <si>
    <r>
      <t>Normál</t>
    </r>
    <r>
      <rPr>
        <b/>
        <vertAlign val="superscript"/>
        <sz val="8"/>
        <color theme="1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</si>
  <si>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color theme="1"/>
        <rFont val="Arial"/>
        <family val="2"/>
        <charset val="238"/>
      </rPr>
      <t>3)</t>
    </r>
  </si>
  <si>
    <t>Změna</t>
  </si>
  <si>
    <t>Plynárenské 
společnosti</t>
  </si>
  <si>
    <r>
      <t>Normál</t>
    </r>
    <r>
      <rPr>
        <b/>
        <vertAlign val="superscript"/>
        <sz val="8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</si>
  <si>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rFont val="Arial"/>
        <family val="2"/>
        <charset val="238"/>
      </rPr>
      <t>3)</t>
    </r>
  </si>
  <si>
    <t>1 ZKRATKY A POJMY</t>
  </si>
  <si>
    <t>3 PLYNÁRENSKÁ SOUSTAVA</t>
  </si>
  <si>
    <t>4 SPOTŘEBA ZEMNÍHO PLYNU</t>
  </si>
  <si>
    <t>5 SPOTŘEBA ZEMNÍHO PLYNU PODLE DISTRIBUČNÍCH SOUSTAV</t>
  </si>
  <si>
    <t>6 SPOTŘEBA ZEMNÍHO PLYNU PODLE KRAJŮ</t>
  </si>
  <si>
    <t>7 MAPA PLYNÁRENSKÉ SOUSTAVY ČR</t>
  </si>
  <si>
    <t>3.1 Čtvrtletní bilance plynárenské soustavy ČR</t>
  </si>
  <si>
    <t>3.2 Bilance plynárenské soustavy ČR v průběhu roku</t>
  </si>
  <si>
    <t>4.1 Spotřeba zemního plynu v ČR v průběhu roku</t>
  </si>
  <si>
    <t>4.2 Spotřeba zemního plynu v ČR podle kategorií zákazníků v průběhu roku</t>
  </si>
  <si>
    <t>4.3 Denní průběh spotřeb zemního plynu v ČR</t>
  </si>
  <si>
    <t>5.1 Spotřeba zemního plynu podle kategorií zákazníků v ČR</t>
  </si>
  <si>
    <t>5.2 Spotřeba zemního plynu u společnosti PP Distribuce</t>
  </si>
  <si>
    <t>5.3 Spotřeba zemního plynu u společnosti GasNet</t>
  </si>
  <si>
    <t>5.4 Spotřeba zemního plynu u společnosti EG.D</t>
  </si>
  <si>
    <t>5.5 Spotřeba zemního plynu u ostatních společností</t>
  </si>
  <si>
    <t>5.10 Spotřeba zemního plynu podle plynárenských soustav v průběhu roku</t>
  </si>
  <si>
    <t>6.1 Spotřeba zemního plynu: Jihočeský a Jihomoravský kraj</t>
  </si>
  <si>
    <t>6.2 Spotřeba zemního plynu: Karlovarský a Královéhradecký kraj</t>
  </si>
  <si>
    <t>6.3 Spotřeba zemního plynu: Liberecký a Moravskoslezský kraj</t>
  </si>
  <si>
    <t>6.4 Spotřeba zemního plynu: Olomoucký a Pardubický kraj</t>
  </si>
  <si>
    <t>6.5 Spotřeba zemního plynu: Plzeňský kraj a Hlavní město Praha</t>
  </si>
  <si>
    <t>6.6 Spotřeba zemního plynu: Středočeský a Ústecký kraj</t>
  </si>
  <si>
    <t>6.7 Spotřeba zemního plynu: Kraj Vysočina a Zlínský kraj</t>
  </si>
  <si>
    <t>6.12 Spotřeba zemního plynu podle krajů v ČR v průběhu roku</t>
  </si>
  <si>
    <t>Podíl jednotlivých kategorií 
na celkovém počtu zákazníků</t>
  </si>
  <si>
    <t>Oddělení statistiky a sledování kvality</t>
  </si>
  <si>
    <t>plyn.statistika@eru.cz</t>
  </si>
  <si>
    <t>spotřeba 
v LDS, která není 
v RDS</t>
  </si>
  <si>
    <t>Vydání</t>
  </si>
  <si>
    <t>Denní fyzické množství plynu pro pohon kompresních stanic a ostatní plyn,
který představuje neměřené hodnoty rozdílového množství celkové bilance PS</t>
  </si>
  <si>
    <t>Poznámka: Případnou kolidující hodnotu v objemových a energetických jednotkách "Bilanční rozdíl v přepravní soustavě" způsobuje odlišné spalné teplo na vstupech a výstupech plynárenské soustavy. Tato hodnota představuje neměřené hodnoty rozdílového množství celkové bilance přepravní soustavy.</t>
  </si>
  <si>
    <t xml:space="preserve">Energetický regulační úřad (ERÚ) zveřejňuje čtvrtletní zprávu o provozu plynárenské soustavy ČR za dané čtvrtletí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 rámci ČR nebo Evropské unie a odbornou veřejnost.
ERÚ v této zprávě uvádí všechna dostupná provozně technická data, která představují fyzické toky plynu. Údaje pro čtvrtletní zprávu jsou získávány na základě vyhlášky č. 404/2016 Sb., o náležitostech a členění výkazů nezbytných pro zpracování zpráv o provozu soustav v energetických odvětvích, včetně termínů, rozsahu a pravidel pro sestavování výkazů (statistická vyhláška), ve znění pozdějších předpisů, která nabyla účinnost dnem 1. ledna 2017. V rámci svých kompetencí, určených § 20a odst. 4 písm. e) energetického zákona, zpracovává operátor trhu své měsíční a roční statistiky o trhu s 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plynárenství č. 9/2018 ze dne 14. 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2023, kterou ERÚ předpokládá zveřejnit do konce května roku 2024.
</t>
  </si>
  <si>
    <t>* Prognóza spotřeby plynu do konce roku 2023 byla zpracována v prosinci 2022.</t>
  </si>
  <si>
    <r>
      <rPr>
        <b/>
        <sz val="24"/>
        <color rgb="FF1A3366"/>
        <rFont val="Arial"/>
        <family val="2"/>
        <charset val="238"/>
      </rPr>
      <t xml:space="preserve">ČTVRTLETNÍ ZPRÁVA O PROVOZU 
PLYNÁRENSKÉ SOUSTAVY
ČESKÉ REPUBLIKY
</t>
    </r>
    <r>
      <rPr>
        <b/>
        <sz val="24"/>
        <color theme="8"/>
        <rFont val="Arial"/>
        <family val="2"/>
        <charset val="238"/>
      </rPr>
      <t>ZA III. ČTVRTLETÍ 2023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</si>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</sst>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</numFmts>
  <fonts count="143">
    <font>
      <sz val="10"/>
      <name val="Arial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rgb="FFFF0000"/>
      <name val="Arial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FF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vertAlign val="superscript"/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16"/>
      <color rgb="FF233060"/>
      <name val="Arial"/>
      <family val="2"/>
      <charset val="238"/>
    </font>
    <font>
      <b/>
      <sz val="10"/>
      <color rgb="FF233060"/>
      <name val="Arial"/>
      <family val="2"/>
      <charset val="238"/>
    </font>
    <font>
      <sz val="10"/>
      <color rgb="FF233060"/>
      <name val="Arial"/>
      <family val="2"/>
      <charset val="238"/>
    </font>
    <font>
      <b/>
      <sz val="11"/>
      <color rgb="FF233060"/>
      <name val="Arial"/>
      <family val="2"/>
      <charset val="238"/>
    </font>
    <font>
      <sz val="11"/>
      <color rgb="FF233060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8" tint="-0.249977111117893"/>
      <name val="Arial"/>
      <family val="2"/>
      <charset val="238"/>
    </font>
    <font>
      <sz val="14"/>
      <color rgb="FF233060"/>
      <name val="Arial"/>
      <family val="2"/>
      <charset val="238"/>
    </font>
    <font>
      <sz val="26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8"/>
      <color rgb="FF000099"/>
      <name val="Arial"/>
      <family val="2"/>
      <charset val="238"/>
    </font>
    <font>
      <sz val="8"/>
      <color rgb="FF233060"/>
      <name val="Arial"/>
      <family val="2"/>
      <charset val="238"/>
    </font>
    <font>
      <b/>
      <sz val="8"/>
      <color rgb="FF233060"/>
      <name val="Arial"/>
      <family val="2"/>
      <charset val="238"/>
    </font>
    <font>
      <b/>
      <vertAlign val="superscript"/>
      <sz val="10"/>
      <color rgb="FF233060"/>
      <name val="Arial"/>
      <family val="2"/>
      <charset val="238"/>
    </font>
    <font>
      <b/>
      <sz val="10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7"/>
      <color rgb="FF153366"/>
      <name val="Arial"/>
      <family val="2"/>
      <charset val="238"/>
      <scheme val="minor"/>
    </font>
    <font>
      <b/>
      <sz val="24"/>
      <color theme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u/>
      <sz val="8"/>
      <name val="Arial"/>
      <family val="2"/>
      <charset val="238"/>
    </font>
    <font>
      <b/>
      <vertAlign val="superscript"/>
      <sz val="8"/>
      <color rgb="FF233060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14"/>
      <color rgb="FF233060"/>
      <name val="Arial"/>
      <family val="2"/>
      <charset val="238"/>
    </font>
    <font>
      <b/>
      <sz val="11"/>
      <color rgb="FFE53A2E"/>
      <name val="Arial"/>
      <family val="2"/>
      <charset val="238"/>
    </font>
    <font>
      <sz val="11"/>
      <color theme="3"/>
      <name val="Arial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0">
    <xf numFmtId="0" fontId="0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9" fontId="9" fillId="0" borderId="0" applyFont="0" applyFill="0" applyBorder="0" applyAlignment="0" applyProtection="0"/>
    <xf numFmtId="4" fontId="12" fillId="3" borderId="3" applyNumberFormat="0" applyProtection="0">
      <alignment vertical="center"/>
    </xf>
    <xf numFmtId="4" fontId="12" fillId="4" borderId="3" applyNumberFormat="0" applyProtection="0">
      <alignment horizontal="left" vertical="center" indent="1"/>
    </xf>
    <xf numFmtId="4" fontId="12" fillId="5" borderId="0" applyNumberFormat="0" applyProtection="0">
      <alignment horizontal="left" vertical="center" indent="1"/>
    </xf>
    <xf numFmtId="4" fontId="13" fillId="6" borderId="3" applyNumberFormat="0" applyProtection="0">
      <alignment horizontal="right" vertical="center"/>
    </xf>
    <xf numFmtId="4" fontId="13" fillId="7" borderId="3" applyNumberFormat="0" applyProtection="0">
      <alignment horizontal="left" vertical="center" indent="1"/>
    </xf>
    <xf numFmtId="2" fontId="9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4" fontId="14" fillId="4" borderId="3" applyNumberFormat="0" applyProtection="0">
      <alignment vertical="center"/>
    </xf>
    <xf numFmtId="0" fontId="12" fillId="4" borderId="3" applyNumberFormat="0" applyProtection="0">
      <alignment horizontal="left" vertical="top" indent="1"/>
    </xf>
    <xf numFmtId="4" fontId="13" fillId="8" borderId="3" applyNumberFormat="0" applyProtection="0">
      <alignment horizontal="right" vertical="center"/>
    </xf>
    <xf numFmtId="4" fontId="13" fillId="9" borderId="3" applyNumberFormat="0" applyProtection="0">
      <alignment horizontal="right" vertical="center"/>
    </xf>
    <xf numFmtId="4" fontId="13" fillId="10" borderId="3" applyNumberFormat="0" applyProtection="0">
      <alignment horizontal="right" vertical="center"/>
    </xf>
    <xf numFmtId="4" fontId="13" fillId="11" borderId="3" applyNumberFormat="0" applyProtection="0">
      <alignment horizontal="right" vertical="center"/>
    </xf>
    <xf numFmtId="4" fontId="13" fillId="12" borderId="3" applyNumberFormat="0" applyProtection="0">
      <alignment horizontal="right" vertical="center"/>
    </xf>
    <xf numFmtId="4" fontId="13" fillId="13" borderId="3" applyNumberFormat="0" applyProtection="0">
      <alignment horizontal="right" vertical="center"/>
    </xf>
    <xf numFmtId="4" fontId="13" fillId="14" borderId="3" applyNumberFormat="0" applyProtection="0">
      <alignment horizontal="right" vertical="center"/>
    </xf>
    <xf numFmtId="4" fontId="13" fillId="15" borderId="3" applyNumberFormat="0" applyProtection="0">
      <alignment horizontal="right" vertical="center"/>
    </xf>
    <xf numFmtId="4" fontId="13" fillId="16" borderId="3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4" fontId="15" fillId="17" borderId="0" applyNumberFormat="0" applyProtection="0">
      <alignment horizontal="left" vertical="center" indent="1"/>
    </xf>
    <xf numFmtId="4" fontId="13" fillId="7" borderId="3" applyNumberFormat="0" applyProtection="0">
      <alignment horizontal="right" vertical="center"/>
    </xf>
    <xf numFmtId="4" fontId="16" fillId="6" borderId="0" applyNumberFormat="0" applyProtection="0">
      <alignment horizontal="left" vertical="center" indent="1"/>
    </xf>
    <xf numFmtId="4" fontId="16" fillId="5" borderId="0" applyNumberFormat="0" applyProtection="0">
      <alignment horizontal="left" vertical="center" indent="1"/>
    </xf>
    <xf numFmtId="0" fontId="9" fillId="17" borderId="3" applyNumberFormat="0" applyProtection="0">
      <alignment horizontal="left" vertical="center" indent="1"/>
    </xf>
    <xf numFmtId="0" fontId="9" fillId="17" borderId="3" applyNumberFormat="0" applyProtection="0">
      <alignment horizontal="left" vertical="top" indent="1"/>
    </xf>
    <xf numFmtId="0" fontId="9" fillId="5" borderId="3" applyNumberFormat="0" applyProtection="0">
      <alignment horizontal="left" vertical="center" indent="1"/>
    </xf>
    <xf numFmtId="0" fontId="9" fillId="5" borderId="3" applyNumberFormat="0" applyProtection="0">
      <alignment horizontal="left" vertical="top" indent="1"/>
    </xf>
    <xf numFmtId="0" fontId="9" fillId="18" borderId="3" applyNumberFormat="0" applyProtection="0">
      <alignment horizontal="left" vertical="center" indent="1"/>
    </xf>
    <xf numFmtId="0" fontId="9" fillId="18" borderId="3" applyNumberFormat="0" applyProtection="0">
      <alignment horizontal="left" vertical="top" indent="1"/>
    </xf>
    <xf numFmtId="0" fontId="9" fillId="19" borderId="3" applyNumberFormat="0" applyProtection="0">
      <alignment horizontal="left" vertical="center" indent="1"/>
    </xf>
    <xf numFmtId="0" fontId="9" fillId="19" borderId="3" applyNumberFormat="0" applyProtection="0">
      <alignment horizontal="left" vertical="top" indent="1"/>
    </xf>
    <xf numFmtId="4" fontId="13" fillId="20" borderId="3" applyNumberFormat="0" applyProtection="0">
      <alignment vertical="center"/>
    </xf>
    <xf numFmtId="4" fontId="17" fillId="20" borderId="3" applyNumberFormat="0" applyProtection="0">
      <alignment vertical="center"/>
    </xf>
    <xf numFmtId="4" fontId="13" fillId="20" borderId="3" applyNumberFormat="0" applyProtection="0">
      <alignment horizontal="left" vertical="center" indent="1"/>
    </xf>
    <xf numFmtId="0" fontId="13" fillId="20" borderId="3" applyNumberFormat="0" applyProtection="0">
      <alignment horizontal="left" vertical="top" indent="1"/>
    </xf>
    <xf numFmtId="4" fontId="17" fillId="6" borderId="3" applyNumberFormat="0" applyProtection="0">
      <alignment horizontal="right" vertical="center"/>
    </xf>
    <xf numFmtId="0" fontId="13" fillId="5" borderId="3" applyNumberFormat="0" applyProtection="0">
      <alignment horizontal="left" vertical="top" indent="1"/>
    </xf>
    <xf numFmtId="4" fontId="18" fillId="0" borderId="0" applyNumberFormat="0" applyProtection="0">
      <alignment horizontal="left" vertical="center" indent="1"/>
    </xf>
    <xf numFmtId="4" fontId="19" fillId="6" borderId="3" applyNumberFormat="0" applyProtection="0">
      <alignment horizontal="right" vertical="center"/>
    </xf>
    <xf numFmtId="0" fontId="9" fillId="0" borderId="0"/>
    <xf numFmtId="0" fontId="20" fillId="21" borderId="4" applyNumberFormat="0" applyFont="0" applyFill="0" applyAlignment="0" applyProtection="0"/>
    <xf numFmtId="0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3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168" fontId="20" fillId="21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2" fontId="20" fillId="21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21" borderId="0" applyNumberFormat="0" applyFill="0" applyBorder="0" applyAlignment="0" applyProtection="0"/>
    <xf numFmtId="0" fontId="23" fillId="21" borderId="0" applyNumberFormat="0" applyFill="0" applyBorder="0" applyAlignment="0" applyProtection="0"/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" fontId="34" fillId="0" borderId="0">
      <alignment horizontal="lef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0"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0" fontId="36" fillId="0" borderId="0"/>
    <xf numFmtId="0" fontId="37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8" fillId="0" borderId="0"/>
    <xf numFmtId="0" fontId="38" fillId="0" borderId="0"/>
    <xf numFmtId="0" fontId="39" fillId="26" borderId="0" applyNumberFormat="0" applyBorder="0" applyAlignment="0" applyProtection="0"/>
    <xf numFmtId="0" fontId="39" fillId="9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39" fillId="29" borderId="0" applyNumberFormat="0" applyBorder="0" applyAlignment="0" applyProtection="0"/>
    <xf numFmtId="0" fontId="39" fillId="9" borderId="0" applyNumberFormat="0" applyBorder="0" applyAlignment="0" applyProtection="0"/>
    <xf numFmtId="0" fontId="39" fillId="3" borderId="0" applyNumberFormat="0" applyBorder="0" applyAlignment="0" applyProtection="0"/>
    <xf numFmtId="0" fontId="39" fillId="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29" borderId="0" applyNumberFormat="0" applyBorder="0" applyAlignment="0" applyProtection="0"/>
    <xf numFmtId="0" fontId="40" fillId="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2" fillId="38" borderId="0" applyNumberFormat="0" applyBorder="0" applyAlignment="0" applyProtection="0"/>
    <xf numFmtId="0" fontId="41" fillId="33" borderId="0" applyNumberFormat="0" applyBorder="0" applyAlignment="0" applyProtection="0"/>
    <xf numFmtId="0" fontId="41" fillId="39" borderId="0" applyNumberFormat="0" applyBorder="0" applyAlignment="0" applyProtection="0"/>
    <xf numFmtId="0" fontId="42" fillId="34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2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" fontId="45" fillId="0" borderId="8" applyAlignment="0">
      <alignment horizontal="left" vertical="center"/>
    </xf>
    <xf numFmtId="173" fontId="46" fillId="4" borderId="9" applyNumberFormat="0" applyFont="0" applyFill="0" applyBorder="0" applyAlignment="0">
      <alignment horizontal="center"/>
    </xf>
    <xf numFmtId="173" fontId="46" fillId="4" borderId="9" applyNumberFormat="0" applyFont="0" applyFill="0" applyBorder="0" applyAlignment="0">
      <alignment horizontal="center"/>
    </xf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9" fillId="0" borderId="0" applyNumberForma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2" fillId="0" borderId="0" applyNumberFormat="0" applyAlignment="0"/>
    <xf numFmtId="0" fontId="53" fillId="0" borderId="0" applyNumberFormat="0" applyAlignment="0"/>
    <xf numFmtId="0" fontId="52" fillId="0" borderId="0" applyNumberFormat="0" applyAlignment="0"/>
    <xf numFmtId="0" fontId="53" fillId="0" borderId="0" applyNumberFormat="0" applyAlignment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0" fontId="54" fillId="0" borderId="0">
      <alignment horizontal="center" vertical="center"/>
    </xf>
    <xf numFmtId="0" fontId="54" fillId="44" borderId="0">
      <alignment horizontal="center" vertical="center"/>
    </xf>
    <xf numFmtId="0" fontId="54" fillId="45" borderId="0">
      <alignment horizontal="center" vertical="center"/>
    </xf>
    <xf numFmtId="0" fontId="54" fillId="46" borderId="0">
      <alignment horizontal="center" vertical="center"/>
    </xf>
    <xf numFmtId="15" fontId="38" fillId="0" borderId="0"/>
    <xf numFmtId="15" fontId="38" fillId="0" borderId="0"/>
    <xf numFmtId="15" fontId="38" fillId="0" borderId="0"/>
    <xf numFmtId="15" fontId="38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38" fontId="58" fillId="50" borderId="0" applyNumberFormat="0" applyBorder="0" applyAlignment="0" applyProtection="0"/>
    <xf numFmtId="0" fontId="59" fillId="0" borderId="12" applyNumberFormat="0" applyAlignment="0" applyProtection="0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60" fillId="51" borderId="0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76" fontId="9" fillId="52" borderId="0"/>
    <xf numFmtId="176" fontId="9" fillId="52" borderId="0"/>
    <xf numFmtId="176" fontId="9" fillId="52" borderId="0"/>
    <xf numFmtId="176" fontId="9" fillId="52" borderId="0"/>
    <xf numFmtId="0" fontId="61" fillId="53" borderId="13" applyNumberFormat="0" applyAlignment="0" applyProtection="0"/>
    <xf numFmtId="176" fontId="9" fillId="54" borderId="0"/>
    <xf numFmtId="176" fontId="9" fillId="54" borderId="0"/>
    <xf numFmtId="176" fontId="9" fillId="54" borderId="0"/>
    <xf numFmtId="176" fontId="9" fillId="54" borderId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3" borderId="0" applyNumberFormat="0" applyBorder="0" applyAlignment="0" applyProtection="0"/>
    <xf numFmtId="0" fontId="26" fillId="23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0" fontId="9" fillId="0" borderId="0" applyNumberFormat="0" applyFill="0" applyBorder="0" applyAlignment="0" applyProtection="0"/>
    <xf numFmtId="0" fontId="7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71" fillId="0" borderId="0"/>
    <xf numFmtId="0" fontId="71" fillId="0" borderId="0"/>
    <xf numFmtId="0" fontId="72" fillId="0" borderId="0"/>
    <xf numFmtId="0" fontId="3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175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0" borderId="0"/>
    <xf numFmtId="0" fontId="36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18" applyNumberFormat="0" applyFill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0" fontId="49" fillId="0" borderId="0" applyNumberFormat="0" applyFill="0" applyBorder="0" applyAlignment="0" applyProtection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0" fontId="9" fillId="0" borderId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0" fontId="9" fillId="0" borderId="0"/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9" fillId="0" borderId="0"/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9" fillId="0" borderId="0"/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0" fontId="9" fillId="0" borderId="0"/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0" fontId="9" fillId="0" borderId="0"/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0" fontId="9" fillId="0" borderId="0"/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0" fontId="9" fillId="0" borderId="0"/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0" fontId="9" fillId="0" borderId="0"/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0" fontId="9" fillId="0" borderId="0"/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0" fontId="9" fillId="0" borderId="0"/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0" fontId="9" fillId="0" borderId="0"/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0" fontId="9" fillId="0" borderId="0"/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0" fontId="9" fillId="0" borderId="0"/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0" fontId="9" fillId="0" borderId="0"/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0" fontId="9" fillId="0" borderId="0"/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9" fillId="0" borderId="0"/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58" borderId="19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0" borderId="0"/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9" fillId="0" borderId="0"/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60" borderId="19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0" borderId="0"/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9" fillId="0" borderId="0"/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9" fillId="0" borderId="0"/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9" fillId="0" borderId="0"/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9" fillId="0" borderId="0"/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0" borderId="0"/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58" fillId="62" borderId="22" applyNumberFormat="0">
      <protection locked="0"/>
    </xf>
    <xf numFmtId="0" fontId="9" fillId="0" borderId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0" fontId="9" fillId="0" borderId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9" fillId="0" borderId="0"/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0" fontId="9" fillId="0" borderId="0"/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0" borderId="0"/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79" fillId="0" borderId="0"/>
    <xf numFmtId="0" fontId="9" fillId="0" borderId="0"/>
    <xf numFmtId="0" fontId="79" fillId="0" borderId="0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9" fillId="0" borderId="0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2" fillId="29" borderId="0" applyNumberFormat="0" applyBorder="0" applyAlignment="0" applyProtection="0"/>
    <xf numFmtId="0" fontId="25" fillId="22" borderId="0" applyNumberFormat="0" applyBorder="0" applyAlignment="0" applyProtection="0"/>
    <xf numFmtId="0" fontId="83" fillId="0" borderId="0"/>
    <xf numFmtId="40" fontId="84" fillId="0" borderId="0" applyBorder="0">
      <alignment horizontal="right"/>
    </xf>
    <xf numFmtId="0" fontId="73" fillId="0" borderId="0" applyNumberFormat="0" applyFill="0" applyBorder="0" applyAlignment="0" applyProtection="0"/>
    <xf numFmtId="0" fontId="85" fillId="3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6" fillId="62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8" fillId="62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9" fillId="0" borderId="0" applyNumberFormat="0" applyFill="0" applyBorder="0" applyAlignment="0" applyProtection="0"/>
    <xf numFmtId="0" fontId="40" fillId="65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56" borderId="0" applyNumberFormat="0" applyBorder="0" applyAlignment="0" applyProtection="0"/>
    <xf numFmtId="0" fontId="40" fillId="66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9" fillId="0" borderId="0"/>
  </cellStyleXfs>
  <cellXfs count="535">
    <xf numFmtId="0" fontId="0" fillId="0" borderId="0" xfId="0"/>
    <xf numFmtId="0" fontId="92" fillId="0" borderId="0" xfId="2" applyFont="1" applyFill="1" applyBorder="1" applyAlignment="1">
      <alignment horizontal="left"/>
    </xf>
    <xf numFmtId="0" fontId="94" fillId="0" borderId="0" xfId="2" applyFont="1" applyFill="1"/>
    <xf numFmtId="0" fontId="95" fillId="0" borderId="0" xfId="2" applyFont="1" applyFill="1" applyAlignment="1"/>
    <xf numFmtId="0" fontId="45" fillId="0" borderId="0" xfId="2" applyFont="1" applyFill="1"/>
    <xf numFmtId="0" fontId="96" fillId="0" borderId="0" xfId="2" applyFont="1" applyFill="1" applyBorder="1" applyAlignment="1">
      <alignment horizontal="left"/>
    </xf>
    <xf numFmtId="0" fontId="45" fillId="0" borderId="0" xfId="2" applyFont="1" applyFill="1" applyAlignment="1"/>
    <xf numFmtId="0" fontId="45" fillId="0" borderId="0" xfId="2" applyFont="1" applyFill="1" applyAlignment="1">
      <alignment horizontal="left" vertical="top" wrapText="1"/>
    </xf>
    <xf numFmtId="0" fontId="45" fillId="0" borderId="0" xfId="2" applyFont="1" applyFill="1" applyAlignment="1">
      <alignment horizontal="center" vertical="top" wrapText="1"/>
    </xf>
    <xf numFmtId="0" fontId="45" fillId="0" borderId="0" xfId="2" applyFont="1" applyFill="1" applyAlignment="1">
      <alignment vertical="top"/>
    </xf>
    <xf numFmtId="0" fontId="45" fillId="0" borderId="0" xfId="2" applyFont="1" applyFill="1" applyBorder="1" applyAlignment="1">
      <alignment horizontal="center" vertical="top" wrapText="1"/>
    </xf>
    <xf numFmtId="0" fontId="11" fillId="0" borderId="0" xfId="2" applyFont="1" applyFill="1" applyAlignment="1">
      <alignment vertical="top" wrapText="1"/>
    </xf>
    <xf numFmtId="0" fontId="45" fillId="0" borderId="0" xfId="2" applyFont="1" applyFill="1" applyBorder="1"/>
    <xf numFmtId="0" fontId="91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horizontal="justify" vertical="top" wrapText="1"/>
    </xf>
    <xf numFmtId="0" fontId="91" fillId="0" borderId="0" xfId="2" applyFont="1" applyFill="1" applyBorder="1" applyAlignment="1">
      <alignment horizontal="left" vertical="top"/>
    </xf>
    <xf numFmtId="0" fontId="92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/>
    </xf>
    <xf numFmtId="0" fontId="92" fillId="0" borderId="0" xfId="527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 wrapText="1"/>
    </xf>
    <xf numFmtId="0" fontId="92" fillId="0" borderId="0" xfId="527" applyFont="1" applyFill="1" applyBorder="1" applyAlignment="1">
      <alignment vertical="top" wrapText="1"/>
    </xf>
    <xf numFmtId="0" fontId="98" fillId="0" borderId="0" xfId="2" applyFont="1" applyFill="1" applyBorder="1" applyAlignment="1">
      <alignment horizontal="right"/>
    </xf>
    <xf numFmtId="0" fontId="92" fillId="0" borderId="0" xfId="2" applyFont="1" applyFill="1" applyBorder="1"/>
    <xf numFmtId="0" fontId="92" fillId="0" borderId="0" xfId="2" applyFont="1" applyFill="1" applyBorder="1" applyAlignment="1">
      <alignment horizontal="left" vertical="top"/>
    </xf>
    <xf numFmtId="0" fontId="98" fillId="0" borderId="0" xfId="2" applyFont="1" applyFill="1" applyBorder="1"/>
    <xf numFmtId="0" fontId="99" fillId="0" borderId="0" xfId="2" applyFont="1" applyFill="1"/>
    <xf numFmtId="0" fontId="100" fillId="0" borderId="0" xfId="2" applyFont="1" applyFill="1" applyAlignment="1"/>
    <xf numFmtId="0" fontId="101" fillId="0" borderId="0" xfId="2" applyFont="1" applyFill="1" applyBorder="1" applyAlignment="1"/>
    <xf numFmtId="0" fontId="99" fillId="0" borderId="0" xfId="2" applyFont="1" applyFill="1" applyAlignment="1"/>
    <xf numFmtId="0" fontId="54" fillId="2" borderId="0" xfId="2" applyFont="1" applyFill="1" applyAlignment="1">
      <alignment vertical="top" wrapText="1"/>
    </xf>
    <xf numFmtId="0" fontId="99" fillId="0" borderId="0" xfId="2" applyFont="1" applyFill="1" applyAlignment="1">
      <alignment vertical="top" wrapText="1"/>
    </xf>
    <xf numFmtId="3" fontId="92" fillId="0" borderId="0" xfId="2" applyNumberFormat="1" applyFont="1" applyFill="1"/>
    <xf numFmtId="0" fontId="92" fillId="0" borderId="0" xfId="2" applyFont="1" applyFill="1"/>
    <xf numFmtId="0" fontId="54" fillId="2" borderId="0" xfId="2" applyFont="1" applyFill="1" applyAlignment="1">
      <alignment horizontal="right" vertical="top" wrapText="1"/>
    </xf>
    <xf numFmtId="0" fontId="99" fillId="0" borderId="0" xfId="2" applyFont="1" applyFill="1" applyAlignment="1">
      <alignment horizontal="right" vertical="top" wrapText="1"/>
    </xf>
    <xf numFmtId="3" fontId="99" fillId="0" borderId="0" xfId="2" applyNumberFormat="1" applyFont="1" applyFill="1"/>
    <xf numFmtId="167" fontId="92" fillId="0" borderId="0" xfId="1" applyNumberFormat="1" applyFont="1" applyFill="1"/>
    <xf numFmtId="0" fontId="92" fillId="0" borderId="0" xfId="0" applyFont="1" applyAlignment="1">
      <alignment horizontal="right"/>
    </xf>
    <xf numFmtId="165" fontId="92" fillId="0" borderId="0" xfId="2" applyNumberFormat="1" applyFont="1" applyFill="1"/>
    <xf numFmtId="0" fontId="45" fillId="0" borderId="0" xfId="0" applyFont="1" applyFill="1"/>
    <xf numFmtId="0" fontId="45" fillId="0" borderId="0" xfId="0" applyFont="1" applyFill="1" applyAlignment="1"/>
    <xf numFmtId="3" fontId="45" fillId="0" borderId="0" xfId="0" applyNumberFormat="1" applyFont="1" applyFill="1" applyBorder="1"/>
    <xf numFmtId="2" fontId="45" fillId="0" borderId="0" xfId="0" applyNumberFormat="1" applyFont="1" applyFill="1"/>
    <xf numFmtId="0" fontId="45" fillId="0" borderId="0" xfId="0" applyFont="1" applyFill="1" applyBorder="1" applyAlignment="1">
      <alignment horizontal="right"/>
    </xf>
    <xf numFmtId="0" fontId="45" fillId="0" borderId="0" xfId="0" applyFont="1" applyFill="1" applyBorder="1"/>
    <xf numFmtId="0" fontId="104" fillId="0" borderId="0" xfId="2" applyFont="1" applyFill="1"/>
    <xf numFmtId="0" fontId="105" fillId="0" borderId="0" xfId="2" applyFont="1" applyFill="1" applyBorder="1" applyAlignment="1">
      <alignment horizontal="right"/>
    </xf>
    <xf numFmtId="0" fontId="106" fillId="0" borderId="0" xfId="2" applyFont="1" applyFill="1" applyBorder="1"/>
    <xf numFmtId="0" fontId="107" fillId="0" borderId="0" xfId="2" applyFont="1" applyFill="1" applyBorder="1" applyAlignment="1">
      <alignment horizontal="right"/>
    </xf>
    <xf numFmtId="0" fontId="105" fillId="0" borderId="0" xfId="2" applyFont="1" applyFill="1" applyBorder="1" applyAlignment="1">
      <alignment horizontal="left"/>
    </xf>
    <xf numFmtId="0" fontId="106" fillId="0" borderId="0" xfId="2" applyFont="1" applyFill="1" applyBorder="1" applyAlignment="1">
      <alignment horizontal="left"/>
    </xf>
    <xf numFmtId="1" fontId="106" fillId="0" borderId="0" xfId="2" applyNumberFormat="1" applyFont="1" applyFill="1" applyBorder="1" applyAlignment="1">
      <alignment horizontal="left"/>
    </xf>
    <xf numFmtId="0" fontId="106" fillId="0" borderId="0" xfId="2" applyNumberFormat="1" applyFont="1" applyFill="1" applyBorder="1" applyAlignment="1">
      <alignment horizontal="left"/>
    </xf>
    <xf numFmtId="0" fontId="106" fillId="0" borderId="0" xfId="2" applyFont="1" applyFill="1" applyBorder="1" applyAlignment="1">
      <alignment horizontal="right"/>
    </xf>
    <xf numFmtId="0" fontId="104" fillId="0" borderId="0" xfId="2" applyFont="1" applyFill="1" applyBorder="1" applyAlignment="1">
      <alignment horizontal="left"/>
    </xf>
    <xf numFmtId="0" fontId="104" fillId="0" borderId="0" xfId="0" applyFont="1" applyFill="1"/>
    <xf numFmtId="3" fontId="45" fillId="0" borderId="0" xfId="2" applyNumberFormat="1" applyFont="1" applyFill="1" applyBorder="1" applyAlignment="1">
      <alignment horizontal="right"/>
    </xf>
    <xf numFmtId="3" fontId="45" fillId="0" borderId="0" xfId="2" applyNumberFormat="1" applyFont="1" applyFill="1" applyBorder="1"/>
    <xf numFmtId="165" fontId="45" fillId="0" borderId="0" xfId="2" applyNumberFormat="1" applyFont="1" applyFill="1" applyBorder="1" applyAlignment="1">
      <alignment horizontal="right"/>
    </xf>
    <xf numFmtId="166" fontId="45" fillId="0" borderId="0" xfId="2" applyNumberFormat="1" applyFont="1" applyFill="1" applyBorder="1" applyAlignment="1">
      <alignment horizontal="right"/>
    </xf>
    <xf numFmtId="0" fontId="45" fillId="0" borderId="0" xfId="2" applyFont="1" applyFill="1" applyBorder="1" applyAlignment="1">
      <alignment wrapText="1"/>
    </xf>
    <xf numFmtId="0" fontId="110" fillId="0" borderId="0" xfId="2" applyFont="1" applyFill="1" applyBorder="1"/>
    <xf numFmtId="165" fontId="110" fillId="0" borderId="0" xfId="2" applyNumberFormat="1" applyFont="1" applyFill="1" applyBorder="1"/>
    <xf numFmtId="165" fontId="45" fillId="0" borderId="0" xfId="2" applyNumberFormat="1" applyFont="1" applyFill="1" applyBorder="1"/>
    <xf numFmtId="0" fontId="11" fillId="0" borderId="0" xfId="2" applyFont="1" applyFill="1" applyBorder="1" applyAlignment="1"/>
    <xf numFmtId="4" fontId="45" fillId="0" borderId="0" xfId="2" applyNumberFormat="1" applyFont="1" applyFill="1" applyBorder="1"/>
    <xf numFmtId="3" fontId="116" fillId="0" borderId="0" xfId="2" applyNumberFormat="1" applyFont="1" applyFill="1" applyBorder="1"/>
    <xf numFmtId="0" fontId="118" fillId="0" borderId="0" xfId="2" applyFont="1" applyFill="1" applyBorder="1" applyAlignment="1">
      <alignment wrapText="1"/>
    </xf>
    <xf numFmtId="164" fontId="45" fillId="0" borderId="0" xfId="1" applyNumberFormat="1" applyFont="1" applyFill="1" applyBorder="1"/>
    <xf numFmtId="0" fontId="104" fillId="0" borderId="0" xfId="2" applyFont="1" applyFill="1" applyBorder="1"/>
    <xf numFmtId="1" fontId="110" fillId="0" borderId="0" xfId="2" applyNumberFormat="1" applyFont="1" applyFill="1" applyBorder="1" applyAlignment="1">
      <alignment horizontal="right" wrapText="1"/>
    </xf>
    <xf numFmtId="0" fontId="110" fillId="0" borderId="0" xfId="2" applyFont="1" applyFill="1" applyBorder="1" applyAlignment="1">
      <alignment wrapText="1"/>
    </xf>
    <xf numFmtId="0" fontId="110" fillId="0" borderId="0" xfId="2" applyFont="1" applyFill="1" applyBorder="1" applyAlignment="1">
      <alignment horizontal="right"/>
    </xf>
    <xf numFmtId="0" fontId="110" fillId="0" borderId="0" xfId="2" applyFont="1" applyFill="1" applyBorder="1" applyAlignment="1">
      <alignment horizontal="right" wrapText="1"/>
    </xf>
    <xf numFmtId="3" fontId="110" fillId="0" borderId="0" xfId="2" applyNumberFormat="1" applyFont="1" applyFill="1" applyBorder="1" applyAlignment="1">
      <alignment horizontal="right"/>
    </xf>
    <xf numFmtId="165" fontId="110" fillId="0" borderId="0" xfId="2" applyNumberFormat="1" applyFont="1" applyFill="1" applyBorder="1" applyAlignment="1">
      <alignment horizontal="right"/>
    </xf>
    <xf numFmtId="0" fontId="9" fillId="0" borderId="0" xfId="0" applyFont="1" applyFill="1" applyBorder="1"/>
    <xf numFmtId="3" fontId="9" fillId="0" borderId="0" xfId="0" applyNumberFormat="1" applyFont="1" applyFill="1" applyBorder="1"/>
    <xf numFmtId="3" fontId="45" fillId="0" borderId="0" xfId="0" applyNumberFormat="1" applyFont="1" applyFill="1" applyBorder="1" applyAlignment="1">
      <alignment vertical="center"/>
    </xf>
    <xf numFmtId="0" fontId="121" fillId="0" borderId="0" xfId="0" applyFont="1" applyFill="1" applyBorder="1"/>
    <xf numFmtId="3" fontId="118" fillId="0" borderId="0" xfId="0" applyNumberFormat="1" applyFont="1" applyFill="1" applyBorder="1" applyAlignment="1">
      <alignment horizontal="right"/>
    </xf>
    <xf numFmtId="3" fontId="118" fillId="0" borderId="0" xfId="0" applyNumberFormat="1" applyFont="1" applyFill="1" applyBorder="1"/>
    <xf numFmtId="0" fontId="118" fillId="0" borderId="0" xfId="0" applyFont="1" applyFill="1" applyBorder="1" applyAlignment="1">
      <alignment horizontal="right"/>
    </xf>
    <xf numFmtId="3" fontId="45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122" fillId="0" borderId="0" xfId="0" applyFont="1" applyFill="1"/>
    <xf numFmtId="0" fontId="123" fillId="0" borderId="0" xfId="0" applyFont="1" applyFill="1"/>
    <xf numFmtId="0" fontId="45" fillId="0" borderId="0" xfId="0" applyFont="1" applyFill="1" applyBorder="1" applyAlignment="1">
      <alignment horizontal="left" vertical="center"/>
    </xf>
    <xf numFmtId="3" fontId="45" fillId="0" borderId="0" xfId="0" applyNumberFormat="1" applyFont="1" applyFill="1" applyBorder="1" applyAlignment="1">
      <alignment horizontal="right" vertical="center"/>
    </xf>
    <xf numFmtId="165" fontId="9" fillId="0" borderId="0" xfId="0" applyNumberFormat="1" applyFont="1" applyFill="1"/>
    <xf numFmtId="3" fontId="122" fillId="0" borderId="0" xfId="0" applyNumberFormat="1" applyFont="1" applyFill="1"/>
    <xf numFmtId="1" fontId="122" fillId="0" borderId="0" xfId="0" applyNumberFormat="1" applyFont="1" applyFill="1"/>
    <xf numFmtId="3" fontId="116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/>
    <xf numFmtId="0" fontId="45" fillId="0" borderId="0" xfId="0" applyFont="1" applyFill="1" applyBorder="1" applyAlignment="1">
      <alignment vertical="center"/>
    </xf>
    <xf numFmtId="164" fontId="45" fillId="0" borderId="0" xfId="1" applyNumberFormat="1" applyFont="1" applyFill="1" applyBorder="1" applyAlignment="1">
      <alignment vertical="center"/>
    </xf>
    <xf numFmtId="164" fontId="45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/>
    <xf numFmtId="0" fontId="45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right" vertical="center"/>
    </xf>
    <xf numFmtId="0" fontId="123" fillId="0" borderId="0" xfId="0" applyFont="1" applyFill="1" applyBorder="1" applyAlignment="1">
      <alignment horizontal="left"/>
    </xf>
    <xf numFmtId="9" fontId="9" fillId="0" borderId="0" xfId="1" applyFont="1" applyFill="1" applyBorder="1"/>
    <xf numFmtId="0" fontId="9" fillId="0" borderId="0" xfId="0" applyFont="1" applyFill="1" applyAlignment="1">
      <alignment horizontal="left"/>
    </xf>
    <xf numFmtId="164" fontId="9" fillId="0" borderId="0" xfId="0" applyNumberFormat="1" applyFont="1" applyFill="1"/>
    <xf numFmtId="0" fontId="111" fillId="0" borderId="0" xfId="57" applyFont="1" applyFill="1"/>
    <xf numFmtId="0" fontId="9" fillId="0" borderId="0" xfId="2" applyFont="1" applyFill="1"/>
    <xf numFmtId="0" fontId="125" fillId="0" borderId="0" xfId="2" applyFont="1" applyFill="1" applyAlignment="1">
      <alignment horizontal="right"/>
    </xf>
    <xf numFmtId="167" fontId="110" fillId="0" borderId="0" xfId="2" applyNumberFormat="1" applyFont="1" applyFill="1" applyBorder="1" applyAlignment="1">
      <alignment horizontal="right"/>
    </xf>
    <xf numFmtId="167" fontId="45" fillId="0" borderId="0" xfId="2" applyNumberFormat="1" applyFont="1" applyFill="1" applyBorder="1" applyAlignment="1">
      <alignment horizontal="right"/>
    </xf>
    <xf numFmtId="3" fontId="124" fillId="0" borderId="0" xfId="2" applyNumberFormat="1" applyFont="1" applyFill="1" applyBorder="1"/>
    <xf numFmtId="0" fontId="9" fillId="0" borderId="0" xfId="2" applyFont="1" applyFill="1" applyBorder="1" applyAlignment="1"/>
    <xf numFmtId="0" fontId="9" fillId="0" borderId="0" xfId="2" applyFont="1" applyFill="1" applyBorder="1"/>
    <xf numFmtId="3" fontId="9" fillId="0" borderId="0" xfId="2" applyNumberFormat="1" applyFont="1" applyFill="1" applyBorder="1"/>
    <xf numFmtId="0" fontId="45" fillId="0" borderId="0" xfId="2" applyFont="1" applyFill="1" applyBorder="1" applyAlignment="1"/>
    <xf numFmtId="3" fontId="9" fillId="0" borderId="0" xfId="2" applyNumberFormat="1" applyFont="1" applyFill="1"/>
    <xf numFmtId="0" fontId="104" fillId="0" borderId="0" xfId="57" applyFont="1" applyFill="1"/>
    <xf numFmtId="0" fontId="126" fillId="0" borderId="0" xfId="2" applyFont="1" applyFill="1" applyBorder="1"/>
    <xf numFmtId="0" fontId="127" fillId="0" borderId="0" xfId="0" applyFont="1" applyFill="1" applyBorder="1" applyAlignment="1">
      <alignment vertical="center"/>
    </xf>
    <xf numFmtId="0" fontId="105" fillId="0" borderId="0" xfId="0" applyFont="1" applyFill="1" applyBorder="1"/>
    <xf numFmtId="0" fontId="127" fillId="0" borderId="0" xfId="0" applyFont="1" applyFill="1" applyBorder="1" applyAlignment="1">
      <alignment wrapText="1"/>
    </xf>
    <xf numFmtId="0" fontId="127" fillId="0" borderId="0" xfId="0" applyFont="1" applyFill="1" applyBorder="1" applyAlignment="1">
      <alignment vertical="center" wrapText="1"/>
    </xf>
    <xf numFmtId="0" fontId="105" fillId="0" borderId="0" xfId="0" applyFont="1" applyFill="1"/>
    <xf numFmtId="0" fontId="127" fillId="0" borderId="0" xfId="0" applyFont="1" applyFill="1" applyBorder="1"/>
    <xf numFmtId="0" fontId="10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vertical="center" wrapText="1"/>
    </xf>
    <xf numFmtId="0" fontId="9" fillId="2" borderId="0" xfId="0" applyFont="1" applyFill="1" applyBorder="1"/>
    <xf numFmtId="3" fontId="45" fillId="2" borderId="0" xfId="0" applyNumberFormat="1" applyFont="1" applyFill="1" applyBorder="1" applyAlignment="1">
      <alignment horizontal="right" vertical="center"/>
    </xf>
    <xf numFmtId="1" fontId="93" fillId="2" borderId="0" xfId="0" applyNumberFormat="1" applyFont="1" applyFill="1" applyBorder="1" applyAlignment="1">
      <alignment horizontal="right" vertical="center" wrapText="1"/>
    </xf>
    <xf numFmtId="0" fontId="93" fillId="2" borderId="0" xfId="0" applyFont="1" applyFill="1" applyBorder="1" applyAlignment="1">
      <alignment horizontal="right" wrapText="1"/>
    </xf>
    <xf numFmtId="0" fontId="45" fillId="0" borderId="0" xfId="0" applyFont="1" applyFill="1" applyBorder="1" applyAlignment="1">
      <alignment horizontal="left" vertical="center"/>
    </xf>
    <xf numFmtId="0" fontId="119" fillId="0" borderId="0" xfId="0" applyFont="1" applyFill="1" applyBorder="1" applyAlignment="1">
      <alignment horizontal="left" wrapText="1"/>
    </xf>
    <xf numFmtId="0" fontId="24" fillId="0" borderId="0" xfId="1535" applyFont="1"/>
    <xf numFmtId="0" fontId="27" fillId="0" borderId="0" xfId="1535" applyFont="1" applyAlignment="1">
      <alignment horizontal="left" vertical="center"/>
    </xf>
    <xf numFmtId="0" fontId="133" fillId="0" borderId="0" xfId="1538" applyFont="1" applyAlignment="1">
      <alignment horizontal="left" vertical="center" wrapText="1"/>
    </xf>
    <xf numFmtId="0" fontId="27" fillId="0" borderId="0" xfId="1535" applyFont="1" applyAlignment="1">
      <alignment horizontal="center" vertical="center"/>
    </xf>
    <xf numFmtId="49" fontId="90" fillId="0" borderId="0" xfId="1538" applyNumberFormat="1" applyFont="1" applyAlignment="1">
      <alignment vertical="top" wrapText="1"/>
    </xf>
    <xf numFmtId="49" fontId="28" fillId="0" borderId="0" xfId="1535" applyNumberFormat="1" applyFont="1" applyAlignment="1">
      <alignment vertical="center"/>
    </xf>
    <xf numFmtId="0" fontId="29" fillId="0" borderId="0" xfId="1535" applyFont="1"/>
    <xf numFmtId="0" fontId="30" fillId="0" borderId="0" xfId="1535" applyFont="1"/>
    <xf numFmtId="0" fontId="24" fillId="0" borderId="0" xfId="1535" applyFont="1" applyAlignment="1">
      <alignment horizontal="left" vertical="center"/>
    </xf>
    <xf numFmtId="0" fontId="30" fillId="0" borderId="0" xfId="1535" applyFont="1" applyAlignment="1">
      <alignment horizontal="center"/>
    </xf>
    <xf numFmtId="0" fontId="24" fillId="0" borderId="0" xfId="1535" applyFont="1" applyAlignment="1">
      <alignment horizontal="right" vertical="center"/>
    </xf>
    <xf numFmtId="0" fontId="24" fillId="0" borderId="0" xfId="1535" applyFont="1" applyAlignment="1">
      <alignment horizontal="left" vertical="center" indent="1"/>
    </xf>
    <xf numFmtId="0" fontId="31" fillId="0" borderId="0" xfId="1535" applyFont="1"/>
    <xf numFmtId="0" fontId="31" fillId="0" borderId="0" xfId="1535" applyFont="1" applyAlignment="1">
      <alignment horizontal="right" vertical="center"/>
    </xf>
    <xf numFmtId="0" fontId="31" fillId="0" borderId="0" xfId="1535" applyFont="1" applyAlignment="1">
      <alignment horizontal="left" vertical="center" indent="1"/>
    </xf>
    <xf numFmtId="49" fontId="27" fillId="0" borderId="0" xfId="1535" applyNumberFormat="1" applyFont="1" applyAlignment="1">
      <alignment vertical="center"/>
    </xf>
    <xf numFmtId="0" fontId="45" fillId="2" borderId="0" xfId="0" applyFont="1" applyFill="1" applyBorder="1" applyAlignment="1"/>
    <xf numFmtId="0" fontId="45" fillId="2" borderId="0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right" vertical="center" wrapText="1"/>
    </xf>
    <xf numFmtId="0" fontId="45" fillId="2" borderId="25" xfId="0" applyFont="1" applyFill="1" applyBorder="1"/>
    <xf numFmtId="0" fontId="45" fillId="2" borderId="0" xfId="0" applyFont="1" applyFill="1" applyBorder="1" applyAlignment="1">
      <alignment horizontal="left" vertical="center"/>
    </xf>
    <xf numFmtId="3" fontId="45" fillId="2" borderId="3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center"/>
    </xf>
    <xf numFmtId="3" fontId="109" fillId="2" borderId="33" xfId="0" applyNumberFormat="1" applyFont="1" applyFill="1" applyBorder="1" applyAlignment="1">
      <alignment vertical="center"/>
    </xf>
    <xf numFmtId="3" fontId="109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horizontal="left" vertical="center"/>
    </xf>
    <xf numFmtId="3" fontId="45" fillId="2" borderId="29" xfId="0" applyNumberFormat="1" applyFont="1" applyFill="1" applyBorder="1" applyAlignment="1">
      <alignment vertical="center"/>
    </xf>
    <xf numFmtId="3" fontId="45" fillId="2" borderId="25" xfId="0" applyNumberFormat="1" applyFont="1" applyFill="1" applyBorder="1" applyAlignment="1">
      <alignment vertical="center"/>
    </xf>
    <xf numFmtId="3" fontId="109" fillId="2" borderId="32" xfId="0" applyNumberFormat="1" applyFont="1" applyFill="1" applyBorder="1" applyAlignment="1">
      <alignment vertical="center"/>
    </xf>
    <xf numFmtId="3" fontId="109" fillId="2" borderId="25" xfId="0" applyNumberFormat="1" applyFont="1" applyFill="1" applyBorder="1" applyAlignment="1">
      <alignment vertical="center"/>
    </xf>
    <xf numFmtId="0" fontId="45" fillId="2" borderId="26" xfId="0" applyFont="1" applyFill="1" applyBorder="1" applyAlignment="1">
      <alignment horizontal="left" vertical="center"/>
    </xf>
    <xf numFmtId="3" fontId="45" fillId="2" borderId="28" xfId="0" applyNumberFormat="1" applyFont="1" applyFill="1" applyBorder="1" applyAlignment="1">
      <alignment vertical="center"/>
    </xf>
    <xf numFmtId="3" fontId="45" fillId="2" borderId="26" xfId="0" applyNumberFormat="1" applyFont="1" applyFill="1" applyBorder="1" applyAlignment="1">
      <alignment vertical="center"/>
    </xf>
    <xf numFmtId="3" fontId="109" fillId="2" borderId="31" xfId="0" applyNumberFormat="1" applyFont="1" applyFill="1" applyBorder="1" applyAlignment="1">
      <alignment vertical="center"/>
    </xf>
    <xf numFmtId="3" fontId="109" fillId="2" borderId="26" xfId="0" applyNumberFormat="1" applyFont="1" applyFill="1" applyBorder="1" applyAlignment="1">
      <alignment vertical="center"/>
    </xf>
    <xf numFmtId="3" fontId="45" fillId="2" borderId="27" xfId="0" applyNumberFormat="1" applyFont="1" applyFill="1" applyBorder="1" applyAlignment="1">
      <alignment vertical="center"/>
    </xf>
    <xf numFmtId="3" fontId="45" fillId="2" borderId="6" xfId="0" applyNumberFormat="1" applyFont="1" applyFill="1" applyBorder="1" applyAlignment="1">
      <alignment vertical="center"/>
    </xf>
    <xf numFmtId="3" fontId="109" fillId="2" borderId="34" xfId="0" applyNumberFormat="1" applyFont="1" applyFill="1" applyBorder="1" applyAlignment="1">
      <alignment vertical="center"/>
    </xf>
    <xf numFmtId="3" fontId="109" fillId="2" borderId="6" xfId="0" applyNumberFormat="1" applyFont="1" applyFill="1" applyBorder="1" applyAlignment="1">
      <alignment vertical="center"/>
    </xf>
    <xf numFmtId="0" fontId="45" fillId="2" borderId="0" xfId="0" applyFont="1" applyFill="1" applyBorder="1" applyAlignment="1">
      <alignment horizontal="right" vertical="center"/>
    </xf>
    <xf numFmtId="0" fontId="45" fillId="2" borderId="25" xfId="0" applyFont="1" applyFill="1" applyBorder="1" applyAlignment="1">
      <alignment horizontal="left" vertical="top"/>
    </xf>
    <xf numFmtId="0" fontId="109" fillId="0" borderId="0" xfId="2" applyFont="1" applyFill="1" applyBorder="1" applyAlignment="1">
      <alignment horizontal="right" vertical="top" wrapText="1"/>
    </xf>
    <xf numFmtId="0" fontId="45" fillId="2" borderId="0" xfId="2" applyFont="1" applyFill="1" applyBorder="1" applyAlignment="1">
      <alignment horizontal="left" vertical="center"/>
    </xf>
    <xf numFmtId="165" fontId="45" fillId="2" borderId="0" xfId="2" applyNumberFormat="1" applyFont="1" applyFill="1" applyBorder="1" applyAlignment="1">
      <alignment horizontal="right" vertical="center"/>
    </xf>
    <xf numFmtId="165" fontId="45" fillId="2" borderId="0" xfId="2" applyNumberFormat="1" applyFont="1" applyFill="1" applyBorder="1" applyAlignment="1">
      <alignment vertical="center"/>
    </xf>
    <xf numFmtId="0" fontId="45" fillId="2" borderId="25" xfId="2" applyFont="1" applyFill="1" applyBorder="1" applyAlignment="1">
      <alignment horizontal="left" vertical="center"/>
    </xf>
    <xf numFmtId="165" fontId="45" fillId="2" borderId="25" xfId="2" applyNumberFormat="1" applyFont="1" applyFill="1" applyBorder="1" applyAlignment="1">
      <alignment horizontal="right" vertical="center"/>
    </xf>
    <xf numFmtId="165" fontId="45" fillId="2" borderId="25" xfId="2" applyNumberFormat="1" applyFont="1" applyFill="1" applyBorder="1" applyAlignment="1">
      <alignment vertical="center"/>
    </xf>
    <xf numFmtId="0" fontId="45" fillId="2" borderId="2" xfId="2" applyFont="1" applyFill="1" applyBorder="1" applyAlignment="1">
      <alignment horizontal="left" vertical="center"/>
    </xf>
    <xf numFmtId="165" fontId="45" fillId="2" borderId="30" xfId="2" applyNumberFormat="1" applyFont="1" applyFill="1" applyBorder="1" applyAlignment="1">
      <alignment horizontal="right" vertical="center"/>
    </xf>
    <xf numFmtId="165" fontId="45" fillId="2" borderId="29" xfId="2" applyNumberFormat="1" applyFont="1" applyFill="1" applyBorder="1" applyAlignment="1">
      <alignment horizontal="right" vertical="center"/>
    </xf>
    <xf numFmtId="165" fontId="45" fillId="2" borderId="33" xfId="2" applyNumberFormat="1" applyFont="1" applyFill="1" applyBorder="1" applyAlignment="1">
      <alignment vertical="center"/>
    </xf>
    <xf numFmtId="165" fontId="45" fillId="2" borderId="32" xfId="2" applyNumberFormat="1" applyFont="1" applyFill="1" applyBorder="1" applyAlignment="1">
      <alignment vertical="center"/>
    </xf>
    <xf numFmtId="165" fontId="45" fillId="2" borderId="33" xfId="2" applyNumberFormat="1" applyFont="1" applyFill="1" applyBorder="1" applyAlignment="1">
      <alignment horizontal="right" vertical="center"/>
    </xf>
    <xf numFmtId="165" fontId="45" fillId="2" borderId="32" xfId="2" applyNumberFormat="1" applyFont="1" applyFill="1" applyBorder="1" applyAlignment="1">
      <alignment horizontal="right" vertical="center"/>
    </xf>
    <xf numFmtId="165" fontId="45" fillId="2" borderId="30" xfId="2" applyNumberFormat="1" applyFont="1" applyFill="1" applyBorder="1" applyAlignment="1">
      <alignment vertical="center"/>
    </xf>
    <xf numFmtId="165" fontId="45" fillId="2" borderId="29" xfId="2" applyNumberFormat="1" applyFont="1" applyFill="1" applyBorder="1" applyAlignment="1">
      <alignment vertical="center"/>
    </xf>
    <xf numFmtId="0" fontId="109" fillId="2" borderId="33" xfId="2" applyFont="1" applyFill="1" applyBorder="1" applyAlignment="1">
      <alignment horizontal="center" vertical="center" wrapText="1"/>
    </xf>
    <xf numFmtId="0" fontId="109" fillId="0" borderId="32" xfId="2" applyFont="1" applyFill="1" applyBorder="1"/>
    <xf numFmtId="0" fontId="109" fillId="2" borderId="29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wrapText="1"/>
    </xf>
    <xf numFmtId="0" fontId="109" fillId="2" borderId="32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0" xfId="0" applyFont="1" applyFill="1" applyBorder="1" applyAlignment="1"/>
    <xf numFmtId="0" fontId="109" fillId="2" borderId="25" xfId="0" applyFont="1" applyFill="1" applyBorder="1"/>
    <xf numFmtId="0" fontId="109" fillId="2" borderId="29" xfId="0" applyFont="1" applyFill="1" applyBorder="1" applyAlignment="1">
      <alignment horizontal="right"/>
    </xf>
    <xf numFmtId="0" fontId="109" fillId="2" borderId="25" xfId="0" applyFont="1" applyFill="1" applyBorder="1" applyAlignment="1">
      <alignment horizontal="right"/>
    </xf>
    <xf numFmtId="1" fontId="109" fillId="2" borderId="32" xfId="0" applyNumberFormat="1" applyFont="1" applyFill="1" applyBorder="1" applyAlignment="1">
      <alignment horizontal="right"/>
    </xf>
    <xf numFmtId="1" fontId="109" fillId="2" borderId="25" xfId="0" applyNumberFormat="1" applyFont="1" applyFill="1" applyBorder="1" applyAlignment="1">
      <alignment horizontal="right"/>
    </xf>
    <xf numFmtId="0" fontId="45" fillId="2" borderId="25" xfId="0" applyFont="1" applyFill="1" applyBorder="1" applyAlignment="1">
      <alignment horizontal="left" vertical="center"/>
    </xf>
    <xf numFmtId="0" fontId="109" fillId="2" borderId="31" xfId="2" applyFont="1" applyFill="1" applyBorder="1" applyAlignment="1">
      <alignment horizontal="left" vertical="center"/>
    </xf>
    <xf numFmtId="1" fontId="112" fillId="0" borderId="0" xfId="2" applyNumberFormat="1" applyFont="1" applyFill="1" applyBorder="1" applyAlignment="1">
      <alignment horizontal="left" vertical="top" wrapText="1"/>
    </xf>
    <xf numFmtId="0" fontId="109" fillId="0" borderId="0" xfId="2" applyFont="1" applyFill="1" applyBorder="1" applyAlignment="1">
      <alignment vertical="top" wrapText="1"/>
    </xf>
    <xf numFmtId="0" fontId="113" fillId="0" borderId="0" xfId="2" applyFont="1" applyFill="1" applyBorder="1" applyAlignment="1">
      <alignment horizontal="left" vertical="top" wrapText="1"/>
    </xf>
    <xf numFmtId="165" fontId="45" fillId="2" borderId="0" xfId="2" applyNumberFormat="1" applyFont="1" applyFill="1" applyBorder="1" applyAlignment="1">
      <alignment horizontal="right"/>
    </xf>
    <xf numFmtId="0" fontId="45" fillId="2" borderId="0" xfId="2" applyFont="1" applyFill="1" applyBorder="1" applyAlignment="1">
      <alignment horizontal="center" vertical="center" wrapText="1"/>
    </xf>
    <xf numFmtId="164" fontId="45" fillId="2" borderId="0" xfId="1" applyNumberFormat="1" applyFont="1" applyFill="1" applyBorder="1" applyAlignment="1">
      <alignment vertical="center"/>
    </xf>
    <xf numFmtId="165" fontId="45" fillId="2" borderId="0" xfId="20" applyNumberFormat="1" applyFont="1" applyFill="1" applyBorder="1" applyAlignment="1">
      <alignment horizontal="right" vertical="center"/>
    </xf>
    <xf numFmtId="0" fontId="45" fillId="2" borderId="25" xfId="2" applyFont="1" applyFill="1" applyBorder="1" applyAlignment="1">
      <alignment horizontal="left"/>
    </xf>
    <xf numFmtId="164" fontId="45" fillId="2" borderId="25" xfId="1" applyNumberFormat="1" applyFont="1" applyFill="1" applyBorder="1" applyAlignment="1">
      <alignment vertical="center"/>
    </xf>
    <xf numFmtId="165" fontId="45" fillId="2" borderId="25" xfId="2" applyNumberFormat="1" applyFont="1" applyFill="1" applyBorder="1" applyAlignment="1">
      <alignment horizontal="right"/>
    </xf>
    <xf numFmtId="0" fontId="45" fillId="2" borderId="6" xfId="2" applyFont="1" applyFill="1" applyBorder="1" applyAlignment="1">
      <alignment horizontal="left" vertical="center"/>
    </xf>
    <xf numFmtId="0" fontId="109" fillId="2" borderId="0" xfId="2" applyFont="1" applyFill="1" applyBorder="1" applyAlignment="1">
      <alignment horizontal="center" vertical="center" wrapText="1"/>
    </xf>
    <xf numFmtId="0" fontId="109" fillId="2" borderId="25" xfId="2" applyFont="1" applyFill="1" applyBorder="1" applyAlignment="1">
      <alignment horizontal="left"/>
    </xf>
    <xf numFmtId="0" fontId="109" fillId="2" borderId="25" xfId="0" applyFont="1" applyFill="1" applyBorder="1" applyAlignment="1">
      <alignment horizontal="right" wrapText="1"/>
    </xf>
    <xf numFmtId="165" fontId="45" fillId="2" borderId="30" xfId="20" applyNumberFormat="1" applyFont="1" applyFill="1" applyBorder="1" applyAlignment="1">
      <alignment horizontal="righ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165" fontId="45" fillId="2" borderId="33" xfId="20" applyNumberFormat="1" applyFont="1" applyFill="1" applyBorder="1" applyAlignment="1">
      <alignment horizontal="right" vertical="center"/>
    </xf>
    <xf numFmtId="0" fontId="45" fillId="0" borderId="32" xfId="2" applyFont="1" applyFill="1" applyBorder="1"/>
    <xf numFmtId="0" fontId="109" fillId="2" borderId="29" xfId="0" applyFont="1" applyFill="1" applyBorder="1" applyAlignment="1">
      <alignment horizontal="right" textRotation="90" wrapText="1"/>
    </xf>
    <xf numFmtId="0" fontId="109" fillId="2" borderId="25" xfId="0" applyFont="1" applyFill="1" applyBorder="1" applyAlignment="1">
      <alignment horizontal="right" textRotation="90" wrapText="1"/>
    </xf>
    <xf numFmtId="0" fontId="109" fillId="2" borderId="32" xfId="0" applyFont="1" applyFill="1" applyBorder="1" applyAlignment="1">
      <alignment horizontal="right" textRotation="90" wrapText="1"/>
    </xf>
    <xf numFmtId="0" fontId="109" fillId="2" borderId="6" xfId="2" applyFont="1" applyFill="1" applyBorder="1" applyAlignment="1">
      <alignment horizontal="left" vertical="center"/>
    </xf>
    <xf numFmtId="0" fontId="136" fillId="0" borderId="25" xfId="0" applyFont="1" applyFill="1" applyBorder="1"/>
    <xf numFmtId="0" fontId="136" fillId="0" borderId="25" xfId="0" applyFont="1" applyFill="1" applyBorder="1" applyAlignment="1"/>
    <xf numFmtId="1" fontId="109" fillId="2" borderId="29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1" fontId="109" fillId="2" borderId="32" xfId="2" applyNumberFormat="1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textRotation="90" wrapText="1"/>
    </xf>
    <xf numFmtId="3" fontId="45" fillId="2" borderId="0" xfId="2" applyNumberFormat="1" applyFont="1" applyFill="1" applyBorder="1" applyAlignment="1">
      <alignment horizontal="right" vertical="center"/>
    </xf>
    <xf numFmtId="3" fontId="45" fillId="2" borderId="0" xfId="2" applyNumberFormat="1" applyFont="1" applyFill="1" applyBorder="1" applyAlignment="1">
      <alignment vertical="center"/>
    </xf>
    <xf numFmtId="0" fontId="109" fillId="0" borderId="25" xfId="2" applyFont="1" applyFill="1" applyBorder="1" applyAlignment="1">
      <alignment horizontal="right" vertical="top" wrapText="1"/>
    </xf>
    <xf numFmtId="3" fontId="45" fillId="2" borderId="25" xfId="2" applyNumberFormat="1" applyFont="1" applyFill="1" applyBorder="1" applyAlignment="1">
      <alignment horizontal="right" vertical="center"/>
    </xf>
    <xf numFmtId="3" fontId="45" fillId="2" borderId="25" xfId="2" applyNumberFormat="1" applyFont="1" applyFill="1" applyBorder="1" applyAlignment="1">
      <alignment vertical="center"/>
    </xf>
    <xf numFmtId="3" fontId="45" fillId="2" borderId="30" xfId="2" applyNumberFormat="1" applyFont="1" applyFill="1" applyBorder="1" applyAlignment="1">
      <alignment horizontal="right" vertical="center"/>
    </xf>
    <xf numFmtId="3" fontId="45" fillId="2" borderId="29" xfId="2" applyNumberFormat="1" applyFont="1" applyFill="1" applyBorder="1" applyAlignment="1">
      <alignment horizontal="right" vertical="center"/>
    </xf>
    <xf numFmtId="3" fontId="45" fillId="2" borderId="33" xfId="2" applyNumberFormat="1" applyFont="1" applyFill="1" applyBorder="1" applyAlignment="1">
      <alignment vertical="center"/>
    </xf>
    <xf numFmtId="3" fontId="45" fillId="2" borderId="32" xfId="2" applyNumberFormat="1" applyFont="1" applyFill="1" applyBorder="1" applyAlignment="1">
      <alignment vertical="center"/>
    </xf>
    <xf numFmtId="3" fontId="45" fillId="2" borderId="33" xfId="2" applyNumberFormat="1" applyFont="1" applyFill="1" applyBorder="1" applyAlignment="1">
      <alignment horizontal="right" vertical="center"/>
    </xf>
    <xf numFmtId="0" fontId="109" fillId="2" borderId="30" xfId="2" applyFont="1" applyFill="1" applyBorder="1"/>
    <xf numFmtId="0" fontId="109" fillId="2" borderId="0" xfId="2" applyFont="1" applyFill="1" applyBorder="1"/>
    <xf numFmtId="0" fontId="109" fillId="2" borderId="33" xfId="2" applyFont="1" applyFill="1" applyBorder="1"/>
    <xf numFmtId="0" fontId="109" fillId="2" borderId="0" xfId="2" applyFont="1" applyFill="1" applyBorder="1" applyAlignment="1">
      <alignment horizontal="left" vertical="center" wrapText="1"/>
    </xf>
    <xf numFmtId="0" fontId="109" fillId="2" borderId="0" xfId="2" applyFont="1" applyFill="1" applyBorder="1" applyAlignment="1">
      <alignment vertical="center" wrapText="1"/>
    </xf>
    <xf numFmtId="0" fontId="109" fillId="2" borderId="30" xfId="2" applyFont="1" applyFill="1" applyBorder="1" applyAlignment="1">
      <alignment vertical="center" wrapText="1"/>
    </xf>
    <xf numFmtId="165" fontId="45" fillId="0" borderId="0" xfId="0" applyNumberFormat="1" applyFont="1" applyFill="1" applyBorder="1" applyAlignment="1">
      <alignment horizontal="center"/>
    </xf>
    <xf numFmtId="0" fontId="109" fillId="2" borderId="0" xfId="0" applyFont="1" applyFill="1" applyBorder="1" applyAlignment="1">
      <alignment vertical="center"/>
    </xf>
    <xf numFmtId="1" fontId="112" fillId="0" borderId="25" xfId="0" applyNumberFormat="1" applyFont="1" applyFill="1" applyBorder="1" applyAlignment="1">
      <alignment vertical="top"/>
    </xf>
    <xf numFmtId="0" fontId="93" fillId="0" borderId="25" xfId="0" applyFont="1" applyFill="1" applyBorder="1" applyAlignment="1">
      <alignment vertical="top" wrapText="1"/>
    </xf>
    <xf numFmtId="165" fontId="45" fillId="2" borderId="0" xfId="0" applyNumberFormat="1" applyFont="1" applyFill="1" applyBorder="1" applyAlignment="1"/>
    <xf numFmtId="165" fontId="45" fillId="2" borderId="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top" wrapText="1"/>
    </xf>
    <xf numFmtId="165" fontId="45" fillId="2" borderId="0" xfId="0" applyNumberFormat="1" applyFont="1" applyFill="1" applyBorder="1" applyAlignment="1">
      <alignment vertical="top" wrapText="1"/>
    </xf>
    <xf numFmtId="3" fontId="45" fillId="2" borderId="0" xfId="0" applyNumberFormat="1" applyFont="1" applyFill="1" applyBorder="1" applyAlignment="1"/>
    <xf numFmtId="3" fontId="45" fillId="2" borderId="0" xfId="0" applyNumberFormat="1" applyFont="1" applyFill="1" applyBorder="1" applyAlignment="1">
      <alignment vertical="top"/>
    </xf>
    <xf numFmtId="0" fontId="109" fillId="2" borderId="25" xfId="0" applyFont="1" applyFill="1" applyBorder="1" applyAlignment="1">
      <alignment horizontal="left" wrapText="1"/>
    </xf>
    <xf numFmtId="165" fontId="45" fillId="2" borderId="25" xfId="0" applyNumberFormat="1" applyFont="1" applyFill="1" applyBorder="1" applyAlignment="1">
      <alignment vertical="center"/>
    </xf>
    <xf numFmtId="0" fontId="45" fillId="2" borderId="6" xfId="0" applyFont="1" applyFill="1" applyBorder="1" applyAlignment="1">
      <alignment horizontal="left" vertical="center"/>
    </xf>
    <xf numFmtId="165" fontId="45" fillId="2" borderId="6" xfId="0" applyNumberFormat="1" applyFont="1" applyFill="1" applyBorder="1" applyAlignment="1">
      <alignment vertical="center"/>
    </xf>
    <xf numFmtId="3" fontId="45" fillId="2" borderId="30" xfId="0" applyNumberFormat="1" applyFont="1" applyFill="1" applyBorder="1" applyAlignment="1"/>
    <xf numFmtId="3" fontId="45" fillId="2" borderId="30" xfId="0" applyNumberFormat="1" applyFont="1" applyFill="1" applyBorder="1" applyAlignment="1">
      <alignment vertical="top"/>
    </xf>
    <xf numFmtId="165" fontId="45" fillId="2" borderId="33" xfId="0" applyNumberFormat="1" applyFont="1" applyFill="1" applyBorder="1" applyAlignment="1"/>
    <xf numFmtId="165" fontId="45" fillId="2" borderId="33" xfId="0" applyNumberFormat="1" applyFont="1" applyFill="1" applyBorder="1" applyAlignment="1">
      <alignment vertical="center"/>
    </xf>
    <xf numFmtId="165" fontId="45" fillId="2" borderId="33" xfId="0" applyNumberFormat="1" applyFont="1" applyFill="1" applyBorder="1" applyAlignment="1">
      <alignment vertical="top" wrapText="1"/>
    </xf>
    <xf numFmtId="165" fontId="45" fillId="2" borderId="32" xfId="0" applyNumberFormat="1" applyFont="1" applyFill="1" applyBorder="1" applyAlignment="1">
      <alignment vertical="center"/>
    </xf>
    <xf numFmtId="165" fontId="45" fillId="2" borderId="34" xfId="0" applyNumberFormat="1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wrapText="1"/>
    </xf>
    <xf numFmtId="0" fontId="120" fillId="2" borderId="32" xfId="0" applyFont="1" applyFill="1" applyBorder="1" applyAlignment="1">
      <alignment vertical="center"/>
    </xf>
    <xf numFmtId="3" fontId="4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45" fillId="0" borderId="25" xfId="0" applyFont="1" applyFill="1" applyBorder="1" applyAlignment="1">
      <alignment horizontal="left" wrapText="1"/>
    </xf>
    <xf numFmtId="3" fontId="45" fillId="0" borderId="25" xfId="0" applyNumberFormat="1" applyFont="1" applyFill="1" applyBorder="1"/>
    <xf numFmtId="3" fontId="45" fillId="0" borderId="25" xfId="0" applyNumberFormat="1" applyFont="1" applyFill="1" applyBorder="1" applyAlignment="1">
      <alignment horizontal="center"/>
    </xf>
    <xf numFmtId="0" fontId="9" fillId="0" borderId="25" xfId="0" applyFont="1" applyFill="1" applyBorder="1"/>
    <xf numFmtId="3" fontId="45" fillId="0" borderId="25" xfId="0" applyNumberFormat="1" applyFont="1" applyFill="1" applyBorder="1" applyAlignment="1">
      <alignment horizontal="right"/>
    </xf>
    <xf numFmtId="165" fontId="45" fillId="0" borderId="25" xfId="0" applyNumberFormat="1" applyFont="1" applyFill="1" applyBorder="1" applyAlignment="1">
      <alignment horizontal="center"/>
    </xf>
    <xf numFmtId="3" fontId="45" fillId="0" borderId="28" xfId="0" applyNumberFormat="1" applyFont="1" applyFill="1" applyBorder="1"/>
    <xf numFmtId="3" fontId="45" fillId="0" borderId="26" xfId="0" applyNumberFormat="1" applyFont="1" applyFill="1" applyBorder="1"/>
    <xf numFmtId="3" fontId="45" fillId="0" borderId="26" xfId="0" applyNumberFormat="1" applyFont="1" applyFill="1" applyBorder="1" applyAlignment="1">
      <alignment horizontal="center"/>
    </xf>
    <xf numFmtId="3" fontId="45" fillId="0" borderId="29" xfId="0" applyNumberFormat="1" applyFont="1" applyFill="1" applyBorder="1"/>
    <xf numFmtId="3" fontId="45" fillId="0" borderId="30" xfId="0" applyNumberFormat="1" applyFont="1" applyFill="1" applyBorder="1" applyAlignment="1">
      <alignment horizontal="right"/>
    </xf>
    <xf numFmtId="3" fontId="45" fillId="0" borderId="29" xfId="0" applyNumberFormat="1" applyFont="1" applyFill="1" applyBorder="1" applyAlignment="1">
      <alignment horizontal="right"/>
    </xf>
    <xf numFmtId="3" fontId="45" fillId="0" borderId="31" xfId="0" applyNumberFormat="1" applyFont="1" applyFill="1" applyBorder="1" applyAlignment="1">
      <alignment horizontal="center"/>
    </xf>
    <xf numFmtId="3" fontId="45" fillId="0" borderId="32" xfId="0" applyNumberFormat="1" applyFont="1" applyFill="1" applyBorder="1" applyAlignment="1">
      <alignment horizontal="center"/>
    </xf>
    <xf numFmtId="165" fontId="45" fillId="0" borderId="33" xfId="0" applyNumberFormat="1" applyFont="1" applyFill="1" applyBorder="1" applyAlignment="1">
      <alignment horizontal="center"/>
    </xf>
    <xf numFmtId="165" fontId="45" fillId="0" borderId="32" xfId="0" applyNumberFormat="1" applyFont="1" applyFill="1" applyBorder="1" applyAlignment="1">
      <alignment horizontal="center"/>
    </xf>
    <xf numFmtId="0" fontId="121" fillId="0" borderId="30" xfId="0" applyFont="1" applyFill="1" applyBorder="1"/>
    <xf numFmtId="3" fontId="118" fillId="0" borderId="30" xfId="0" applyNumberFormat="1" applyFont="1" applyFill="1" applyBorder="1" applyAlignment="1">
      <alignment horizontal="right"/>
    </xf>
    <xf numFmtId="0" fontId="118" fillId="0" borderId="30" xfId="0" applyFont="1" applyFill="1" applyBorder="1" applyAlignment="1">
      <alignment horizontal="right"/>
    </xf>
    <xf numFmtId="0" fontId="9" fillId="0" borderId="29" xfId="0" applyFont="1" applyFill="1" applyBorder="1"/>
    <xf numFmtId="0" fontId="121" fillId="0" borderId="33" xfId="0" applyFont="1" applyFill="1" applyBorder="1"/>
    <xf numFmtId="0" fontId="9" fillId="0" borderId="32" xfId="0" applyFont="1" applyFill="1" applyBorder="1"/>
    <xf numFmtId="0" fontId="127" fillId="0" borderId="30" xfId="0" applyFont="1" applyFill="1" applyBorder="1" applyAlignment="1">
      <alignment horizontal="left" vertical="top"/>
    </xf>
    <xf numFmtId="0" fontId="109" fillId="2" borderId="0" xfId="0" applyFont="1" applyFill="1" applyBorder="1" applyAlignment="1">
      <alignment horizontal="left" vertical="center"/>
    </xf>
    <xf numFmtId="1" fontId="93" fillId="0" borderId="0" xfId="0" applyNumberFormat="1" applyFont="1" applyFill="1" applyBorder="1" applyAlignment="1">
      <alignment vertical="center" wrapText="1"/>
    </xf>
    <xf numFmtId="1" fontId="93" fillId="0" borderId="0" xfId="0" applyNumberFormat="1" applyFont="1" applyFill="1" applyBorder="1" applyAlignment="1">
      <alignment horizontal="left" vertical="center" wrapText="1"/>
    </xf>
    <xf numFmtId="0" fontId="93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vertical="center" wrapText="1"/>
    </xf>
    <xf numFmtId="1" fontId="109" fillId="2" borderId="0" xfId="0" applyNumberFormat="1" applyFont="1" applyFill="1" applyBorder="1" applyAlignment="1">
      <alignment horizontal="right" vertical="center" wrapText="1"/>
    </xf>
    <xf numFmtId="0" fontId="109" fillId="2" borderId="0" xfId="0" applyFont="1" applyFill="1" applyBorder="1" applyAlignment="1">
      <alignment horizontal="left" wrapText="1"/>
    </xf>
    <xf numFmtId="0" fontId="45" fillId="2" borderId="0" xfId="0" applyFont="1" applyFill="1" applyBorder="1" applyAlignment="1">
      <alignment wrapText="1"/>
    </xf>
    <xf numFmtId="164" fontId="45" fillId="2" borderId="0" xfId="1" applyNumberFormat="1" applyFont="1" applyFill="1" applyBorder="1" applyAlignment="1">
      <alignment horizontal="right" vertical="center"/>
    </xf>
    <xf numFmtId="3" fontId="45" fillId="2" borderId="26" xfId="0" applyNumberFormat="1" applyFont="1" applyFill="1" applyBorder="1" applyAlignment="1">
      <alignment horizontal="right" vertical="center"/>
    </xf>
    <xf numFmtId="164" fontId="45" fillId="2" borderId="26" xfId="1" applyNumberFormat="1" applyFont="1" applyFill="1" applyBorder="1" applyAlignment="1">
      <alignment horizontal="right" vertical="center"/>
    </xf>
    <xf numFmtId="3" fontId="45" fillId="2" borderId="25" xfId="0" applyNumberFormat="1" applyFont="1" applyFill="1" applyBorder="1" applyAlignment="1">
      <alignment horizontal="right" vertical="center"/>
    </xf>
    <xf numFmtId="164" fontId="45" fillId="2" borderId="25" xfId="1" applyNumberFormat="1" applyFont="1" applyFill="1" applyBorder="1" applyAlignment="1">
      <alignment horizontal="right" vertical="center"/>
    </xf>
    <xf numFmtId="3" fontId="45" fillId="2" borderId="28" xfId="0" applyNumberFormat="1" applyFont="1" applyFill="1" applyBorder="1" applyAlignment="1">
      <alignment horizontal="right" vertical="center"/>
    </xf>
    <xf numFmtId="3" fontId="45" fillId="2" borderId="30" xfId="0" applyNumberFormat="1" applyFont="1" applyFill="1" applyBorder="1" applyAlignment="1">
      <alignment horizontal="right" vertical="center"/>
    </xf>
    <xf numFmtId="3" fontId="45" fillId="2" borderId="29" xfId="0" applyNumberFormat="1" applyFont="1" applyFill="1" applyBorder="1" applyAlignment="1">
      <alignment horizontal="right" vertical="center"/>
    </xf>
    <xf numFmtId="1" fontId="93" fillId="0" borderId="25" xfId="0" applyNumberFormat="1" applyFont="1" applyFill="1" applyBorder="1" applyAlignment="1">
      <alignment vertical="center" wrapText="1"/>
    </xf>
    <xf numFmtId="1" fontId="93" fillId="0" borderId="25" xfId="0" applyNumberFormat="1" applyFont="1" applyFill="1" applyBorder="1" applyAlignment="1">
      <alignment horizontal="left" vertical="center" wrapText="1"/>
    </xf>
    <xf numFmtId="0" fontId="93" fillId="0" borderId="25" xfId="0" applyFont="1" applyFill="1" applyBorder="1" applyAlignment="1">
      <alignment vertical="center" wrapText="1"/>
    </xf>
    <xf numFmtId="0" fontId="109" fillId="2" borderId="25" xfId="0" applyFont="1" applyFill="1" applyBorder="1" applyAlignment="1">
      <alignment horizontal="left" vertical="center"/>
    </xf>
    <xf numFmtId="3" fontId="109" fillId="2" borderId="25" xfId="0" applyNumberFormat="1" applyFont="1" applyFill="1" applyBorder="1" applyAlignment="1">
      <alignment horizontal="right" vertical="center"/>
    </xf>
    <xf numFmtId="164" fontId="109" fillId="2" borderId="25" xfId="1" applyNumberFormat="1" applyFont="1" applyFill="1" applyBorder="1" applyAlignment="1">
      <alignment horizontal="right" vertical="center"/>
    </xf>
    <xf numFmtId="3" fontId="109" fillId="2" borderId="29" xfId="0" applyNumberFormat="1" applyFont="1" applyFill="1" applyBorder="1" applyAlignment="1">
      <alignment horizontal="right" vertical="center"/>
    </xf>
    <xf numFmtId="0" fontId="109" fillId="2" borderId="25" xfId="0" applyFont="1" applyFill="1" applyBorder="1" applyAlignment="1">
      <alignment vertical="top" wrapText="1"/>
    </xf>
    <xf numFmtId="0" fontId="109" fillId="2" borderId="25" xfId="0" applyFont="1" applyFill="1" applyBorder="1" applyAlignment="1">
      <alignment horizontal="left" vertical="top" wrapText="1"/>
    </xf>
    <xf numFmtId="165" fontId="115" fillId="2" borderId="0" xfId="1" applyNumberFormat="1" applyFont="1" applyFill="1" applyBorder="1" applyAlignment="1">
      <alignment horizontal="right" vertical="center"/>
    </xf>
    <xf numFmtId="165" fontId="115" fillId="2" borderId="0" xfId="0" applyNumberFormat="1" applyFont="1" applyFill="1" applyBorder="1" applyAlignment="1">
      <alignment horizontal="right" vertical="center"/>
    </xf>
    <xf numFmtId="165" fontId="45" fillId="2" borderId="0" xfId="1" applyNumberFormat="1" applyFont="1" applyFill="1" applyBorder="1" applyAlignment="1">
      <alignment horizontal="right" vertical="center"/>
    </xf>
    <xf numFmtId="165" fontId="45" fillId="2" borderId="0" xfId="0" applyNumberFormat="1" applyFont="1" applyFill="1" applyBorder="1" applyAlignment="1">
      <alignment horizontal="right" vertical="center"/>
    </xf>
    <xf numFmtId="165" fontId="45" fillId="2" borderId="25" xfId="1" applyNumberFormat="1" applyFont="1" applyFill="1" applyBorder="1" applyAlignment="1">
      <alignment horizontal="right" vertical="center"/>
    </xf>
    <xf numFmtId="165" fontId="45" fillId="2" borderId="25" xfId="0" applyNumberFormat="1" applyFont="1" applyFill="1" applyBorder="1" applyAlignment="1">
      <alignment horizontal="right" vertical="center"/>
    </xf>
    <xf numFmtId="165" fontId="115" fillId="2" borderId="30" xfId="1" applyNumberFormat="1" applyFont="1" applyFill="1" applyBorder="1" applyAlignment="1">
      <alignment horizontal="right" vertical="center"/>
    </xf>
    <xf numFmtId="165" fontId="45" fillId="2" borderId="29" xfId="1" applyNumberFormat="1" applyFont="1" applyFill="1" applyBorder="1" applyAlignment="1">
      <alignment horizontal="right" vertical="center"/>
    </xf>
    <xf numFmtId="164" fontId="45" fillId="2" borderId="33" xfId="1" applyNumberFormat="1" applyFont="1" applyFill="1" applyBorder="1" applyAlignment="1">
      <alignment horizontal="right" vertical="center"/>
    </xf>
    <xf numFmtId="164" fontId="45" fillId="2" borderId="32" xfId="1" applyNumberFormat="1" applyFont="1" applyFill="1" applyBorder="1" applyAlignment="1">
      <alignment horizontal="right" vertical="center"/>
    </xf>
    <xf numFmtId="3" fontId="45" fillId="2" borderId="30" xfId="2" applyNumberFormat="1" applyFont="1" applyFill="1" applyBorder="1" applyAlignment="1">
      <alignment vertical="center"/>
    </xf>
    <xf numFmtId="3" fontId="45" fillId="2" borderId="29" xfId="2" applyNumberFormat="1" applyFont="1" applyFill="1" applyBorder="1" applyAlignment="1">
      <alignment vertical="center"/>
    </xf>
    <xf numFmtId="0" fontId="109" fillId="2" borderId="26" xfId="2" applyFont="1" applyFill="1" applyBorder="1" applyAlignment="1">
      <alignment horizontal="left" vertical="center" wrapText="1"/>
    </xf>
    <xf numFmtId="0" fontId="45" fillId="2" borderId="32" xfId="2" applyFont="1" applyFill="1" applyBorder="1" applyAlignment="1">
      <alignment horizontal="left"/>
    </xf>
    <xf numFmtId="0" fontId="109" fillId="2" borderId="29" xfId="2" applyFont="1" applyFill="1" applyBorder="1" applyAlignment="1">
      <alignment horizontal="right" textRotation="90" wrapText="1"/>
    </xf>
    <xf numFmtId="0" fontId="109" fillId="2" borderId="32" xfId="2" applyFont="1" applyFill="1" applyBorder="1" applyAlignment="1">
      <alignment horizontal="right" textRotation="90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8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vertical="center" wrapText="1"/>
    </xf>
    <xf numFmtId="0" fontId="109" fillId="2" borderId="29" xfId="0" applyFont="1" applyFill="1" applyBorder="1" applyAlignment="1">
      <alignment vertical="top" wrapText="1"/>
    </xf>
    <xf numFmtId="164" fontId="110" fillId="2" borderId="0" xfId="1" applyNumberFormat="1" applyFont="1" applyFill="1" applyBorder="1" applyAlignment="1">
      <alignment horizontal="right" vertical="center"/>
    </xf>
    <xf numFmtId="0" fontId="109" fillId="2" borderId="30" xfId="0" applyFont="1" applyFill="1" applyBorder="1" applyAlignment="1">
      <alignment horizontal="right"/>
    </xf>
    <xf numFmtId="0" fontId="109" fillId="2" borderId="0" xfId="0" applyFont="1" applyFill="1" applyBorder="1" applyAlignment="1">
      <alignment horizontal="right"/>
    </xf>
    <xf numFmtId="0" fontId="138" fillId="2" borderId="30" xfId="0" applyFont="1" applyFill="1" applyBorder="1" applyAlignment="1">
      <alignment horizontal="right" wrapText="1"/>
    </xf>
    <xf numFmtId="0" fontId="138" fillId="2" borderId="0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left" vertical="center" wrapText="1"/>
    </xf>
    <xf numFmtId="0" fontId="138" fillId="2" borderId="29" xfId="0" applyFont="1" applyFill="1" applyBorder="1" applyAlignment="1">
      <alignment horizontal="right" wrapText="1"/>
    </xf>
    <xf numFmtId="0" fontId="138" fillId="2" borderId="25" xfId="0" applyFont="1" applyFill="1" applyBorder="1" applyAlignment="1">
      <alignment horizontal="right" wrapText="1"/>
    </xf>
    <xf numFmtId="0" fontId="93" fillId="2" borderId="0" xfId="0" applyFont="1" applyFill="1" applyBorder="1" applyAlignment="1">
      <alignment horizontal="left" wrapText="1"/>
    </xf>
    <xf numFmtId="1" fontId="109" fillId="2" borderId="26" xfId="0" applyNumberFormat="1" applyFont="1" applyFill="1" applyBorder="1" applyAlignment="1">
      <alignment horizontal="left" vertical="center" wrapText="1"/>
    </xf>
    <xf numFmtId="0" fontId="45" fillId="2" borderId="0" xfId="0" applyFont="1" applyFill="1" applyBorder="1"/>
    <xf numFmtId="0" fontId="45" fillId="0" borderId="25" xfId="0" applyFont="1" applyFill="1" applyBorder="1"/>
    <xf numFmtId="0" fontId="109" fillId="2" borderId="25" xfId="0" applyFont="1" applyFill="1" applyBorder="1" applyAlignment="1">
      <alignment vertical="top"/>
    </xf>
    <xf numFmtId="0" fontId="109" fillId="2" borderId="25" xfId="0" applyFont="1" applyFill="1" applyBorder="1" applyAlignment="1">
      <alignment horizontal="center"/>
    </xf>
    <xf numFmtId="0" fontId="45" fillId="2" borderId="6" xfId="0" applyFont="1" applyFill="1" applyBorder="1" applyAlignment="1">
      <alignment vertical="center"/>
    </xf>
    <xf numFmtId="1" fontId="45" fillId="2" borderId="6" xfId="0" applyNumberFormat="1" applyFont="1" applyFill="1" applyBorder="1" applyAlignment="1">
      <alignment vertical="center" wrapText="1"/>
    </xf>
    <xf numFmtId="0" fontId="45" fillId="2" borderId="6" xfId="0" applyFont="1" applyFill="1" applyBorder="1" applyAlignment="1">
      <alignment horizontal="right" vertical="center"/>
    </xf>
    <xf numFmtId="3" fontId="45" fillId="2" borderId="6" xfId="0" applyNumberFormat="1" applyFont="1" applyFill="1" applyBorder="1" applyAlignment="1">
      <alignment horizontal="right" vertical="center"/>
    </xf>
    <xf numFmtId="164" fontId="45" fillId="2" borderId="6" xfId="1" applyNumberFormat="1" applyFont="1" applyFill="1" applyBorder="1" applyAlignment="1">
      <alignment horizontal="right" vertical="center"/>
    </xf>
    <xf numFmtId="0" fontId="109" fillId="2" borderId="6" xfId="0" applyFont="1" applyFill="1" applyBorder="1" applyAlignment="1">
      <alignment vertical="center" wrapText="1"/>
    </xf>
    <xf numFmtId="0" fontId="109" fillId="2" borderId="30" xfId="0" applyFont="1" applyFill="1" applyBorder="1" applyAlignment="1">
      <alignment vertical="top" wrapText="1"/>
    </xf>
    <xf numFmtId="0" fontId="129" fillId="0" borderId="30" xfId="0" applyFont="1" applyFill="1" applyBorder="1"/>
    <xf numFmtId="0" fontId="109" fillId="2" borderId="25" xfId="0" applyFont="1" applyFill="1" applyBorder="1" applyAlignment="1">
      <alignment horizontal="center" vertical="center" wrapText="1"/>
    </xf>
    <xf numFmtId="164" fontId="45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textRotation="90" wrapText="1"/>
    </xf>
    <xf numFmtId="0" fontId="109" fillId="2" borderId="25" xfId="2" applyFont="1" applyFill="1" applyBorder="1" applyAlignment="1">
      <alignment horizontal="center" textRotation="90" wrapText="1"/>
    </xf>
    <xf numFmtId="0" fontId="107" fillId="0" borderId="0" xfId="2" quotePrefix="1" applyFont="1" applyFill="1" applyBorder="1" applyAlignment="1">
      <alignment horizontal="left"/>
    </xf>
    <xf numFmtId="0" fontId="107" fillId="0" borderId="0" xfId="2" applyFont="1" applyFill="1" applyBorder="1" applyAlignment="1">
      <alignment horizontal="left"/>
    </xf>
    <xf numFmtId="0" fontId="140" fillId="0" borderId="0" xfId="2" applyFont="1" applyFill="1" applyBorder="1" applyAlignment="1"/>
    <xf numFmtId="0" fontId="116" fillId="0" borderId="0" xfId="2" applyFont="1" applyFill="1" applyBorder="1" applyAlignment="1">
      <alignment wrapText="1"/>
    </xf>
    <xf numFmtId="165" fontId="116" fillId="0" borderId="0" xfId="2" applyNumberFormat="1" applyFont="1" applyFill="1" applyBorder="1"/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center"/>
    </xf>
    <xf numFmtId="165" fontId="45" fillId="2" borderId="31" xfId="20" applyNumberFormat="1" applyFont="1" applyFill="1" applyBorder="1" applyAlignment="1">
      <alignment horizontal="right" vertical="center"/>
    </xf>
    <xf numFmtId="0" fontId="9" fillId="0" borderId="0" xfId="1539" applyFont="1"/>
    <xf numFmtId="0" fontId="9" fillId="0" borderId="0" xfId="1539"/>
    <xf numFmtId="0" fontId="141" fillId="0" borderId="0" xfId="1539" applyFont="1"/>
    <xf numFmtId="0" fontId="92" fillId="0" borderId="0" xfId="0" applyFont="1" applyFill="1"/>
    <xf numFmtId="0" fontId="92" fillId="0" borderId="0" xfId="1539" applyFont="1"/>
    <xf numFmtId="0" fontId="142" fillId="0" borderId="0" xfId="1539" applyFont="1" applyAlignment="1">
      <alignment horizontal="left"/>
    </xf>
    <xf numFmtId="184" fontId="142" fillId="0" borderId="0" xfId="1539" applyNumberFormat="1" applyFont="1" applyAlignment="1">
      <alignment horizontal="left"/>
    </xf>
    <xf numFmtId="165" fontId="110" fillId="2" borderId="29" xfId="2" applyNumberFormat="1" applyFont="1" applyFill="1" applyBorder="1" applyAlignment="1">
      <alignment horizontal="right" vertical="center"/>
    </xf>
    <xf numFmtId="165" fontId="110" fillId="2" borderId="25" xfId="2" applyNumberFormat="1" applyFont="1" applyFill="1" applyBorder="1" applyAlignment="1">
      <alignment horizontal="right" vertical="center"/>
    </xf>
    <xf numFmtId="165" fontId="110" fillId="2" borderId="32" xfId="2" applyNumberFormat="1" applyFont="1" applyFill="1" applyBorder="1" applyAlignment="1">
      <alignment horizontal="right" vertical="center"/>
    </xf>
    <xf numFmtId="165" fontId="110" fillId="2" borderId="27" xfId="2" applyNumberFormat="1" applyFont="1" applyFill="1" applyBorder="1" applyAlignment="1">
      <alignment horizontal="right" vertical="center"/>
    </xf>
    <xf numFmtId="165" fontId="110" fillId="2" borderId="2" xfId="2" applyNumberFormat="1" applyFont="1" applyFill="1" applyBorder="1" applyAlignment="1">
      <alignment horizontal="right" vertical="center"/>
    </xf>
    <xf numFmtId="165" fontId="110" fillId="2" borderId="34" xfId="2" applyNumberFormat="1" applyFont="1" applyFill="1" applyBorder="1" applyAlignment="1">
      <alignment horizontal="right" vertical="center"/>
    </xf>
    <xf numFmtId="165" fontId="110" fillId="2" borderId="29" xfId="20" applyNumberFormat="1" applyFont="1" applyFill="1" applyBorder="1" applyAlignment="1">
      <alignment horizontal="right" vertical="center"/>
    </xf>
    <xf numFmtId="165" fontId="110" fillId="2" borderId="25" xfId="20" applyNumberFormat="1" applyFont="1" applyFill="1" applyBorder="1" applyAlignment="1">
      <alignment horizontal="right" vertical="center"/>
    </xf>
    <xf numFmtId="164" fontId="110" fillId="2" borderId="25" xfId="1" applyNumberFormat="1" applyFont="1" applyFill="1" applyBorder="1" applyAlignment="1">
      <alignment vertical="center"/>
    </xf>
    <xf numFmtId="165" fontId="110" fillId="2" borderId="32" xfId="20" applyNumberFormat="1" applyFont="1" applyFill="1" applyBorder="1" applyAlignment="1">
      <alignment horizontal="right" vertical="center"/>
    </xf>
    <xf numFmtId="165" fontId="110" fillId="2" borderId="27" xfId="20" applyNumberFormat="1" applyFont="1" applyFill="1" applyBorder="1" applyAlignment="1">
      <alignment horizontal="right" vertical="center"/>
    </xf>
    <xf numFmtId="165" fontId="110" fillId="2" borderId="6" xfId="20" applyNumberFormat="1" applyFont="1" applyFill="1" applyBorder="1" applyAlignment="1">
      <alignment horizontal="right" vertical="center"/>
    </xf>
    <xf numFmtId="164" fontId="110" fillId="2" borderId="6" xfId="1" applyNumberFormat="1" applyFont="1" applyFill="1" applyBorder="1" applyAlignment="1">
      <alignment vertical="center"/>
    </xf>
    <xf numFmtId="165" fontId="110" fillId="2" borderId="34" xfId="20" applyNumberFormat="1" applyFont="1" applyFill="1" applyBorder="1" applyAlignment="1">
      <alignment horizontal="right" vertical="center"/>
    </xf>
    <xf numFmtId="3" fontId="110" fillId="2" borderId="29" xfId="2" applyNumberFormat="1" applyFont="1" applyFill="1" applyBorder="1" applyAlignment="1">
      <alignment horizontal="right" vertical="center"/>
    </xf>
    <xf numFmtId="3" fontId="110" fillId="2" borderId="25" xfId="2" applyNumberFormat="1" applyFont="1" applyFill="1" applyBorder="1" applyAlignment="1">
      <alignment horizontal="right" vertical="center"/>
    </xf>
    <xf numFmtId="3" fontId="110" fillId="2" borderId="32" xfId="2" applyNumberFormat="1" applyFont="1" applyFill="1" applyBorder="1" applyAlignment="1">
      <alignment horizontal="right" vertical="center"/>
    </xf>
    <xf numFmtId="3" fontId="110" fillId="2" borderId="27" xfId="2" applyNumberFormat="1" applyFont="1" applyFill="1" applyBorder="1" applyAlignment="1">
      <alignment horizontal="right" vertical="center"/>
    </xf>
    <xf numFmtId="3" fontId="110" fillId="2" borderId="6" xfId="2" applyNumberFormat="1" applyFont="1" applyFill="1" applyBorder="1" applyAlignment="1">
      <alignment horizontal="right" vertical="center"/>
    </xf>
    <xf numFmtId="3" fontId="110" fillId="2" borderId="34" xfId="2" applyNumberFormat="1" applyFont="1" applyFill="1" applyBorder="1" applyAlignment="1">
      <alignment horizontal="right" vertical="center"/>
    </xf>
    <xf numFmtId="165" fontId="45" fillId="2" borderId="32" xfId="20" applyNumberFormat="1" applyFont="1" applyFill="1" applyBorder="1" applyAlignment="1">
      <alignment horizontal="right" vertical="center"/>
    </xf>
    <xf numFmtId="165" fontId="45" fillId="2" borderId="34" xfId="20" applyNumberFormat="1" applyFont="1" applyFill="1" applyBorder="1" applyAlignment="1">
      <alignment horizontal="right" vertical="center"/>
    </xf>
    <xf numFmtId="165" fontId="45" fillId="2" borderId="25" xfId="20" applyNumberFormat="1" applyFont="1" applyFill="1" applyBorder="1" applyAlignment="1">
      <alignment horizontal="right" vertical="center"/>
    </xf>
    <xf numFmtId="165" fontId="45" fillId="2" borderId="6" xfId="20" applyNumberFormat="1" applyFont="1" applyFill="1" applyBorder="1" applyAlignment="1">
      <alignment horizontal="right" vertical="center"/>
    </xf>
    <xf numFmtId="0" fontId="116" fillId="0" borderId="0" xfId="2" applyFont="1" applyFill="1" applyBorder="1"/>
    <xf numFmtId="165" fontId="45" fillId="2" borderId="26" xfId="20" applyNumberFormat="1" applyFont="1" applyFill="1" applyBorder="1" applyAlignment="1">
      <alignment horizontal="right" vertical="center"/>
    </xf>
    <xf numFmtId="165" fontId="122" fillId="0" borderId="0" xfId="0" applyNumberFormat="1" applyFont="1" applyFill="1"/>
    <xf numFmtId="0" fontId="130" fillId="0" borderId="0" xfId="1535" applyFont="1" applyAlignment="1">
      <alignment horizontal="left" vertical="center" wrapText="1"/>
    </xf>
    <xf numFmtId="0" fontId="132" fillId="0" borderId="0" xfId="1535" applyFont="1" applyAlignment="1">
      <alignment horizontal="left" vertical="center" wrapText="1"/>
    </xf>
    <xf numFmtId="0" fontId="32" fillId="0" borderId="0" xfId="1535" applyFont="1" applyAlignment="1">
      <alignment horizontal="center"/>
    </xf>
    <xf numFmtId="49" fontId="32" fillId="0" borderId="0" xfId="1535" applyNumberFormat="1" applyFont="1" applyAlignment="1">
      <alignment horizontal="center" vertical="center"/>
    </xf>
    <xf numFmtId="49" fontId="33" fillId="0" borderId="0" xfId="1535" applyNumberFormat="1" applyFont="1" applyAlignment="1">
      <alignment horizontal="center" vertical="center"/>
    </xf>
    <xf numFmtId="0" fontId="97" fillId="0" borderId="0" xfId="0" applyFont="1" applyFill="1" applyAlignment="1">
      <alignment horizontal="justify" vertical="top" wrapText="1"/>
    </xf>
    <xf numFmtId="0" fontId="92" fillId="0" borderId="0" xfId="0" applyFont="1" applyAlignment="1">
      <alignment horizontal="right"/>
    </xf>
    <xf numFmtId="0" fontId="107" fillId="2" borderId="25" xfId="2" applyFont="1" applyFill="1" applyBorder="1" applyAlignment="1">
      <alignment horizontal="left" wrapText="1"/>
    </xf>
    <xf numFmtId="0" fontId="92" fillId="0" borderId="0" xfId="0" applyFont="1" applyBorder="1" applyAlignment="1">
      <alignment horizontal="right"/>
    </xf>
    <xf numFmtId="0" fontId="54" fillId="2" borderId="0" xfId="2" applyFont="1" applyFill="1" applyAlignment="1">
      <alignment horizontal="justify" vertical="top" wrapText="1"/>
    </xf>
    <xf numFmtId="0" fontId="54" fillId="2" borderId="0" xfId="2" applyFont="1" applyFill="1" applyAlignment="1">
      <alignment horizontal="justify" wrapText="1"/>
    </xf>
    <xf numFmtId="3" fontId="92" fillId="0" borderId="0" xfId="2" applyNumberFormat="1" applyFont="1" applyFill="1" applyAlignment="1">
      <alignment horizontal="center"/>
    </xf>
    <xf numFmtId="0" fontId="107" fillId="0" borderId="25" xfId="2" applyFont="1" applyFill="1" applyBorder="1" applyAlignment="1">
      <alignment horizontal="left"/>
    </xf>
    <xf numFmtId="0" fontId="107" fillId="0" borderId="0" xfId="2" applyFont="1" applyFill="1" applyBorder="1" applyAlignment="1">
      <alignment horizontal="left"/>
    </xf>
    <xf numFmtId="0" fontId="103" fillId="0" borderId="0" xfId="0" applyFont="1" applyFill="1" applyAlignment="1">
      <alignment horizontal="justify" vertical="top" wrapText="1"/>
    </xf>
    <xf numFmtId="0" fontId="140" fillId="0" borderId="0" xfId="0" applyFont="1" applyFill="1" applyBorder="1" applyAlignment="1">
      <alignment horizontal="left"/>
    </xf>
    <xf numFmtId="1" fontId="93" fillId="0" borderId="0" xfId="0" applyNumberFormat="1" applyFont="1" applyFill="1" applyBorder="1" applyAlignment="1">
      <alignment horizontal="center" vertical="center"/>
    </xf>
    <xf numFmtId="0" fontId="93" fillId="0" borderId="0" xfId="0" applyFont="1" applyFill="1" applyBorder="1" applyAlignment="1">
      <alignment horizontal="center" vertical="center"/>
    </xf>
    <xf numFmtId="0" fontId="109" fillId="2" borderId="28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left" vertical="center"/>
    </xf>
    <xf numFmtId="0" fontId="109" fillId="2" borderId="31" xfId="0" applyFont="1" applyFill="1" applyBorder="1" applyAlignment="1">
      <alignment horizontal="left" vertical="center"/>
    </xf>
    <xf numFmtId="0" fontId="45" fillId="2" borderId="0" xfId="0" applyFont="1" applyFill="1" applyBorder="1" applyAlignment="1">
      <alignment horizontal="left" vertical="top"/>
    </xf>
    <xf numFmtId="0" fontId="45" fillId="2" borderId="25" xfId="0" applyFont="1" applyFill="1" applyBorder="1" applyAlignment="1">
      <alignment horizontal="left" vertical="top"/>
    </xf>
    <xf numFmtId="0" fontId="45" fillId="2" borderId="26" xfId="0" applyFont="1" applyFill="1" applyBorder="1" applyAlignment="1">
      <alignment horizontal="left" vertical="top"/>
    </xf>
    <xf numFmtId="0" fontId="45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center" vertical="center" textRotation="90" wrapText="1"/>
    </xf>
    <xf numFmtId="0" fontId="109" fillId="2" borderId="25" xfId="0" applyFont="1" applyFill="1" applyBorder="1" applyAlignment="1">
      <alignment horizontal="center" vertical="center" textRotation="90" wrapText="1"/>
    </xf>
    <xf numFmtId="0" fontId="109" fillId="2" borderId="26" xfId="0" applyFont="1" applyFill="1" applyBorder="1" applyAlignment="1">
      <alignment horizontal="center" vertical="center" textRotation="90" wrapText="1"/>
    </xf>
    <xf numFmtId="0" fontId="45" fillId="2" borderId="25" xfId="0" applyFont="1" applyFill="1" applyBorder="1" applyAlignment="1">
      <alignment horizontal="left" vertical="center"/>
    </xf>
    <xf numFmtId="0" fontId="45" fillId="2" borderId="25" xfId="0" applyFont="1" applyFill="1" applyBorder="1" applyAlignment="1">
      <alignment horizontal="left" vertical="top" wrapText="1"/>
    </xf>
    <xf numFmtId="0" fontId="45" fillId="2" borderId="26" xfId="0" applyFont="1" applyFill="1" applyBorder="1" applyAlignment="1">
      <alignment horizontal="left" vertical="top" wrapText="1"/>
    </xf>
    <xf numFmtId="0" fontId="45" fillId="2" borderId="6" xfId="0" applyFont="1" applyFill="1" applyBorder="1" applyAlignment="1">
      <alignment horizontal="left" vertical="center" wrapText="1"/>
    </xf>
    <xf numFmtId="0" fontId="109" fillId="2" borderId="27" xfId="2" applyFont="1" applyFill="1" applyBorder="1" applyAlignment="1">
      <alignment horizontal="left" vertical="top" wrapText="1"/>
    </xf>
    <xf numFmtId="0" fontId="109" fillId="2" borderId="6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 wrapText="1"/>
    </xf>
    <xf numFmtId="1" fontId="93" fillId="0" borderId="0" xfId="2" applyNumberFormat="1" applyFont="1" applyFill="1" applyBorder="1" applyAlignment="1">
      <alignment horizontal="center" vertical="center" wrapText="1"/>
    </xf>
    <xf numFmtId="0" fontId="93" fillId="0" borderId="0" xfId="2" applyFont="1" applyFill="1" applyBorder="1" applyAlignment="1">
      <alignment horizontal="center" vertical="center" wrapText="1"/>
    </xf>
    <xf numFmtId="0" fontId="140" fillId="0" borderId="0" xfId="2" applyFont="1" applyFill="1" applyBorder="1" applyAlignment="1">
      <alignment horizontal="left"/>
    </xf>
    <xf numFmtId="0" fontId="109" fillId="2" borderId="34" xfId="2" applyFont="1" applyFill="1" applyBorder="1" applyAlignment="1">
      <alignment horizontal="left" vertical="top" wrapText="1"/>
    </xf>
    <xf numFmtId="0" fontId="109" fillId="2" borderId="0" xfId="2" applyFont="1" applyFill="1" applyBorder="1" applyAlignment="1">
      <alignment horizontal="left" vertical="top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3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27" xfId="2" applyFont="1" applyFill="1" applyBorder="1" applyAlignment="1">
      <alignment horizontal="left" vertical="center" wrapText="1"/>
    </xf>
    <xf numFmtId="0" fontId="109" fillId="2" borderId="2" xfId="2" applyFont="1" applyFill="1" applyBorder="1" applyAlignment="1">
      <alignment horizontal="left" vertical="center" wrapText="1"/>
    </xf>
    <xf numFmtId="0" fontId="109" fillId="2" borderId="34" xfId="2" applyFont="1" applyFill="1" applyBorder="1" applyAlignment="1">
      <alignment horizontal="left" vertical="center" wrapText="1"/>
    </xf>
    <xf numFmtId="0" fontId="105" fillId="0" borderId="0" xfId="2" applyFont="1" applyFill="1" applyBorder="1" applyAlignment="1">
      <alignment horizontal="left"/>
    </xf>
    <xf numFmtId="0" fontId="117" fillId="0" borderId="0" xfId="2" applyFont="1" applyFill="1" applyBorder="1" applyAlignment="1">
      <alignment horizontal="right" vertical="center" wrapText="1"/>
    </xf>
    <xf numFmtId="0" fontId="109" fillId="2" borderId="29" xfId="2" applyFont="1" applyFill="1" applyBorder="1" applyAlignment="1">
      <alignment horizontal="left" vertical="top" wrapText="1"/>
    </xf>
    <xf numFmtId="0" fontId="109" fillId="2" borderId="6" xfId="2" applyFont="1" applyFill="1" applyBorder="1" applyAlignment="1">
      <alignment horizontal="left" vertical="center" wrapText="1"/>
    </xf>
    <xf numFmtId="1" fontId="45" fillId="0" borderId="0" xfId="2" applyNumberFormat="1" applyFont="1" applyFill="1" applyBorder="1" applyAlignment="1">
      <alignment horizontal="center" vertical="center"/>
    </xf>
    <xf numFmtId="1" fontId="93" fillId="0" borderId="25" xfId="2" applyNumberFormat="1" applyFont="1" applyFill="1" applyBorder="1" applyAlignment="1">
      <alignment horizontal="center" wrapText="1"/>
    </xf>
    <xf numFmtId="0" fontId="93" fillId="0" borderId="25" xfId="2" applyFont="1" applyFill="1" applyBorder="1" applyAlignment="1">
      <alignment horizontal="center" wrapText="1"/>
    </xf>
    <xf numFmtId="1" fontId="109" fillId="2" borderId="26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0" fontId="127" fillId="0" borderId="28" xfId="0" applyFont="1" applyFill="1" applyBorder="1" applyAlignment="1">
      <alignment horizontal="left"/>
    </xf>
    <xf numFmtId="0" fontId="127" fillId="0" borderId="26" xfId="0" applyFont="1" applyFill="1" applyBorder="1" applyAlignment="1">
      <alignment horizontal="left"/>
    </xf>
    <xf numFmtId="0" fontId="127" fillId="0" borderId="31" xfId="0" applyFont="1" applyFill="1" applyBorder="1" applyAlignment="1">
      <alignment horizontal="left"/>
    </xf>
    <xf numFmtId="0" fontId="140" fillId="0" borderId="0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/>
    </xf>
    <xf numFmtId="0" fontId="109" fillId="2" borderId="27" xfId="0" applyFont="1" applyFill="1" applyBorder="1" applyAlignment="1">
      <alignment horizontal="left" vertical="center"/>
    </xf>
    <xf numFmtId="0" fontId="109" fillId="2" borderId="34" xfId="0" applyFont="1" applyFill="1" applyBorder="1" applyAlignment="1">
      <alignment horizontal="lef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right" wrapText="1"/>
    </xf>
    <xf numFmtId="1" fontId="112" fillId="0" borderId="25" xfId="0" applyNumberFormat="1" applyFont="1" applyFill="1" applyBorder="1" applyAlignment="1">
      <alignment horizontal="left" vertical="center"/>
    </xf>
    <xf numFmtId="0" fontId="109" fillId="2" borderId="3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right" wrapText="1"/>
    </xf>
    <xf numFmtId="1" fontId="109" fillId="2" borderId="28" xfId="0" applyNumberFormat="1" applyFont="1" applyFill="1" applyBorder="1" applyAlignment="1">
      <alignment horizontal="left" vertical="top"/>
    </xf>
    <xf numFmtId="1" fontId="109" fillId="2" borderId="26" xfId="0" applyNumberFormat="1" applyFont="1" applyFill="1" applyBorder="1" applyAlignment="1">
      <alignment horizontal="left" vertical="top"/>
    </xf>
    <xf numFmtId="1" fontId="109" fillId="2" borderId="29" xfId="0" applyNumberFormat="1" applyFont="1" applyFill="1" applyBorder="1" applyAlignment="1">
      <alignment horizontal="left" vertical="top"/>
    </xf>
    <xf numFmtId="1" fontId="109" fillId="2" borderId="25" xfId="0" applyNumberFormat="1" applyFont="1" applyFill="1" applyBorder="1" applyAlignment="1">
      <alignment horizontal="left" vertical="top"/>
    </xf>
    <xf numFmtId="0" fontId="109" fillId="2" borderId="28" xfId="0" applyFont="1" applyFill="1" applyBorder="1" applyAlignment="1">
      <alignment horizontal="left" vertical="top" wrapText="1"/>
    </xf>
    <xf numFmtId="0" fontId="109" fillId="2" borderId="29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5" xfId="0" applyFont="1" applyFill="1" applyBorder="1" applyAlignment="1">
      <alignment horizontal="left" vertical="top" wrapText="1"/>
    </xf>
    <xf numFmtId="0" fontId="105" fillId="0" borderId="0" xfId="0" applyFont="1" applyFill="1" applyBorder="1" applyAlignment="1">
      <alignment horizontal="left"/>
    </xf>
    <xf numFmtId="1" fontId="105" fillId="0" borderId="0" xfId="0" applyNumberFormat="1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center"/>
    </xf>
    <xf numFmtId="0" fontId="45" fillId="2" borderId="26" xfId="0" applyFont="1" applyFill="1" applyBorder="1" applyAlignment="1">
      <alignment vertical="top" wrapText="1"/>
    </xf>
    <xf numFmtId="0" fontId="45" fillId="2" borderId="0" xfId="0" applyFont="1" applyFill="1" applyBorder="1" applyAlignment="1">
      <alignment vertical="top" wrapText="1"/>
    </xf>
    <xf numFmtId="0" fontId="45" fillId="2" borderId="25" xfId="0" applyFont="1" applyFill="1" applyBorder="1" applyAlignment="1">
      <alignment vertical="top" wrapText="1"/>
    </xf>
    <xf numFmtId="1" fontId="45" fillId="2" borderId="26" xfId="0" applyNumberFormat="1" applyFont="1" applyFill="1" applyBorder="1" applyAlignment="1">
      <alignment vertical="top" wrapText="1"/>
    </xf>
    <xf numFmtId="0" fontId="105" fillId="0" borderId="0" xfId="0" applyFont="1" applyFill="1" applyBorder="1" applyAlignment="1">
      <alignment horizontal="left" wrapText="1"/>
    </xf>
    <xf numFmtId="0" fontId="109" fillId="2" borderId="31" xfId="0" applyFont="1" applyFill="1" applyBorder="1" applyAlignment="1">
      <alignment horizontal="left" vertical="top" wrapText="1"/>
    </xf>
    <xf numFmtId="0" fontId="109" fillId="2" borderId="32" xfId="0" applyFont="1" applyFill="1" applyBorder="1" applyAlignment="1">
      <alignment horizontal="left" vertical="top" wrapText="1"/>
    </xf>
    <xf numFmtId="1" fontId="45" fillId="2" borderId="26" xfId="0" applyNumberFormat="1" applyFont="1" applyFill="1" applyBorder="1" applyAlignment="1">
      <alignment horizontal="left" vertical="top" wrapText="1"/>
    </xf>
    <xf numFmtId="1" fontId="45" fillId="2" borderId="0" xfId="0" applyNumberFormat="1" applyFont="1" applyFill="1" applyBorder="1" applyAlignment="1">
      <alignment horizontal="left" vertical="top" wrapText="1"/>
    </xf>
    <xf numFmtId="1" fontId="45" fillId="2" borderId="25" xfId="0" applyNumberFormat="1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horizontal="justify" vertical="top" wrapText="1"/>
    </xf>
    <xf numFmtId="0" fontId="45" fillId="0" borderId="0" xfId="0" applyFont="1" applyFill="1" applyBorder="1" applyAlignment="1">
      <alignment horizontal="left" vertical="top" wrapText="1"/>
    </xf>
    <xf numFmtId="0" fontId="105" fillId="0" borderId="0" xfId="0" applyFont="1" applyFill="1" applyBorder="1" applyAlignment="1">
      <alignment horizontal="center" vertical="top"/>
    </xf>
    <xf numFmtId="0" fontId="105" fillId="0" borderId="0" xfId="0" applyFont="1" applyFill="1" applyBorder="1" applyAlignment="1">
      <alignment horizontal="center" vertical="top" wrapText="1"/>
    </xf>
    <xf numFmtId="0" fontId="45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left" vertical="top" wrapText="1"/>
    </xf>
    <xf numFmtId="0" fontId="140" fillId="0" borderId="0" xfId="0" applyFont="1" applyFill="1" applyBorder="1" applyAlignment="1">
      <alignment horizontal="left" wrapText="1"/>
    </xf>
    <xf numFmtId="0" fontId="109" fillId="2" borderId="27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 wrapText="1"/>
    </xf>
    <xf numFmtId="0" fontId="109" fillId="2" borderId="34" xfId="0" applyFont="1" applyFill="1" applyBorder="1" applyAlignment="1">
      <alignment horizontal="left" vertical="center" wrapText="1"/>
    </xf>
    <xf numFmtId="0" fontId="112" fillId="0" borderId="0" xfId="0" applyFont="1" applyFill="1" applyBorder="1" applyAlignment="1">
      <alignment horizontal="left" vertical="center"/>
    </xf>
    <xf numFmtId="0" fontId="109" fillId="2" borderId="33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0" fontId="107" fillId="2" borderId="25" xfId="0" applyFont="1" applyFill="1" applyBorder="1" applyAlignment="1">
      <alignment horizontal="left" vertical="center"/>
    </xf>
    <xf numFmtId="1" fontId="105" fillId="0" borderId="0" xfId="0" applyNumberFormat="1" applyFont="1" applyFill="1" applyBorder="1" applyAlignment="1">
      <alignment horizontal="center" vertical="top" wrapText="1"/>
    </xf>
    <xf numFmtId="1" fontId="105" fillId="0" borderId="0" xfId="0" applyNumberFormat="1" applyFont="1" applyFill="1" applyBorder="1" applyAlignment="1">
      <alignment horizontal="center" vertical="top"/>
    </xf>
    <xf numFmtId="0" fontId="109" fillId="2" borderId="26" xfId="0" applyFont="1" applyFill="1" applyBorder="1" applyAlignment="1">
      <alignment horizontal="right" wrapText="1"/>
    </xf>
    <xf numFmtId="0" fontId="109" fillId="2" borderId="31" xfId="0" applyFont="1" applyFill="1" applyBorder="1" applyAlignment="1">
      <alignment horizontal="right" wrapText="1"/>
    </xf>
    <xf numFmtId="0" fontId="105" fillId="0" borderId="0" xfId="0" applyFont="1" applyAlignment="1">
      <alignment horizontal="left" vertical="center" readingOrder="1"/>
    </xf>
    <xf numFmtId="1" fontId="112" fillId="0" borderId="0" xfId="2" applyNumberFormat="1" applyFont="1" applyFill="1" applyBorder="1" applyAlignment="1">
      <alignment horizontal="left" vertical="top" wrapText="1"/>
    </xf>
    <xf numFmtId="0" fontId="112" fillId="0" borderId="0" xfId="2" applyFont="1" applyFill="1" applyBorder="1" applyAlignment="1">
      <alignment horizontal="left" vertical="top" wrapText="1"/>
    </xf>
    <xf numFmtId="0" fontId="109" fillId="2" borderId="25" xfId="0" applyFont="1" applyFill="1" applyBorder="1" applyAlignment="1">
      <alignment horizontal="left" vertical="center" wrapText="1"/>
    </xf>
    <xf numFmtId="0" fontId="109" fillId="2" borderId="0" xfId="0" applyFont="1" applyFill="1" applyBorder="1" applyAlignment="1">
      <alignment horizontal="left" vertical="center"/>
    </xf>
    <xf numFmtId="1" fontId="112" fillId="0" borderId="0" xfId="0" applyNumberFormat="1" applyFont="1" applyFill="1" applyBorder="1" applyAlignment="1">
      <alignment horizontal="left" vertical="center"/>
    </xf>
    <xf numFmtId="0" fontId="109" fillId="2" borderId="28" xfId="0" applyFont="1" applyFill="1" applyBorder="1" applyAlignment="1">
      <alignment horizontal="left" vertical="center" wrapText="1"/>
    </xf>
    <xf numFmtId="0" fontId="109" fillId="2" borderId="26" xfId="0" applyFont="1" applyFill="1" applyBorder="1" applyAlignment="1">
      <alignment horizontal="left" vertical="center" wrapText="1"/>
    </xf>
    <xf numFmtId="0" fontId="109" fillId="2" borderId="31" xfId="0" applyFont="1" applyFill="1" applyBorder="1" applyAlignment="1">
      <alignment horizontal="left" vertical="center" wrapText="1"/>
    </xf>
    <xf numFmtId="0" fontId="109" fillId="2" borderId="0" xfId="0" applyFont="1" applyFill="1" applyBorder="1" applyAlignment="1">
      <alignment horizontal="left" vertical="center" wrapText="1"/>
    </xf>
    <xf numFmtId="1" fontId="109" fillId="2" borderId="6" xfId="0" applyNumberFormat="1" applyFont="1" applyFill="1" applyBorder="1" applyAlignment="1">
      <alignment horizontal="left" vertical="center"/>
    </xf>
    <xf numFmtId="0" fontId="105" fillId="0" borderId="0" xfId="2" applyFont="1" applyFill="1" applyAlignment="1">
      <alignment horizontal="left"/>
    </xf>
    <xf numFmtId="0" fontId="45" fillId="0" borderId="0" xfId="2" applyFont="1" applyFill="1" applyBorder="1" applyAlignment="1">
      <alignment horizontal="left"/>
    </xf>
    <xf numFmtId="0" fontId="45" fillId="0" borderId="0" xfId="2" applyFont="1" applyFill="1" applyBorder="1" applyAlignment="1">
      <alignment horizontal="left" vertical="top" wrapText="1"/>
    </xf>
  </cellXfs>
  <cellStyles count="1540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2 3" xfId="1539" xr:uid="{EC41200C-39F2-41F2-929E-0094D727D8BB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19 2" xfId="1537" xr:uid="{00000000-0005-0000-0000-0000CE010000}"/>
    <cellStyle name="Normální 19 3" xfId="1538" xr:uid="{FC2DA9EE-F984-412E-A44C-5D4015995987}"/>
    <cellStyle name="Normální 2" xfId="2" xr:uid="{00000000-0005-0000-0000-0000CF010000}"/>
    <cellStyle name="Normální 2 2" xfId="14" xr:uid="{00000000-0005-0000-0000-0000D0010000}"/>
    <cellStyle name="Normální 2 2 2" xfId="15" xr:uid="{00000000-0005-0000-0000-0000D1010000}"/>
    <cellStyle name="Normální 2 2 3" xfId="529" xr:uid="{00000000-0005-0000-0000-0000D2010000}"/>
    <cellStyle name="Normální 2 2 4" xfId="530" xr:uid="{00000000-0005-0000-0000-0000D3010000}"/>
    <cellStyle name="Normální 2 3" xfId="20" xr:uid="{00000000-0005-0000-0000-0000D4010000}"/>
    <cellStyle name="normální 2 4" xfId="531" xr:uid="{00000000-0005-0000-0000-0000D5010000}"/>
    <cellStyle name="Normální 2 5" xfId="532" xr:uid="{00000000-0005-0000-0000-0000D6010000}"/>
    <cellStyle name="Normální 2 6" xfId="533" xr:uid="{00000000-0005-0000-0000-0000D7010000}"/>
    <cellStyle name="Normální 2 7" xfId="1535" xr:uid="{00000000-0005-0000-0000-0000D8010000}"/>
    <cellStyle name="normální 2_120301 Výkazy PDS 11" xfId="534" xr:uid="{00000000-0005-0000-0000-0000D9010000}"/>
    <cellStyle name="Normální 3" xfId="5" xr:uid="{00000000-0005-0000-0000-0000DA010000}"/>
    <cellStyle name="Normální 3 2" xfId="535" xr:uid="{00000000-0005-0000-0000-0000DB010000}"/>
    <cellStyle name="Normální 3 2 2" xfId="536" xr:uid="{00000000-0005-0000-0000-0000DC010000}"/>
    <cellStyle name="normální 3 3" xfId="537" xr:uid="{00000000-0005-0000-0000-0000DD010000}"/>
    <cellStyle name="Normální 3 4" xfId="538" xr:uid="{00000000-0005-0000-0000-0000DE010000}"/>
    <cellStyle name="Normální 3 5" xfId="539" xr:uid="{00000000-0005-0000-0000-0000DF010000}"/>
    <cellStyle name="Normální 4" xfId="6" xr:uid="{00000000-0005-0000-0000-0000E0010000}"/>
    <cellStyle name="Normální 4 2" xfId="75" xr:uid="{00000000-0005-0000-0000-0000E1010000}"/>
    <cellStyle name="Normální 4 2 2" xfId="540" xr:uid="{00000000-0005-0000-0000-0000E2010000}"/>
    <cellStyle name="Normální 4 2 3" xfId="541" xr:uid="{00000000-0005-0000-0000-0000E3010000}"/>
    <cellStyle name="Normální 5" xfId="16" xr:uid="{00000000-0005-0000-0000-0000E4010000}"/>
    <cellStyle name="Normální 5 2" xfId="17" xr:uid="{00000000-0005-0000-0000-0000E5010000}"/>
    <cellStyle name="Normální 5 2 2" xfId="76" xr:uid="{00000000-0005-0000-0000-0000E6010000}"/>
    <cellStyle name="Normální 5 3" xfId="19" xr:uid="{00000000-0005-0000-0000-0000E7010000}"/>
    <cellStyle name="Normální 5 4" xfId="77" xr:uid="{00000000-0005-0000-0000-0000E8010000}"/>
    <cellStyle name="Normální 6" xfId="18" xr:uid="{00000000-0005-0000-0000-0000E9010000}"/>
    <cellStyle name="Normální 6 2" xfId="78" xr:uid="{00000000-0005-0000-0000-0000EA010000}"/>
    <cellStyle name="Normální 6 3" xfId="542" xr:uid="{00000000-0005-0000-0000-0000EB010000}"/>
    <cellStyle name="Normální 7" xfId="21" xr:uid="{00000000-0005-0000-0000-0000EC010000}"/>
    <cellStyle name="Normální 7 2" xfId="57" xr:uid="{00000000-0005-0000-0000-0000ED010000}"/>
    <cellStyle name="Normální 7 3" xfId="79" xr:uid="{00000000-0005-0000-0000-0000EE010000}"/>
    <cellStyle name="Normální 8" xfId="22" xr:uid="{00000000-0005-0000-0000-0000EF010000}"/>
    <cellStyle name="Normální 8 2" xfId="80" xr:uid="{00000000-0005-0000-0000-0000F0010000}"/>
    <cellStyle name="Normální 9" xfId="23" xr:uid="{00000000-0005-0000-0000-0000F1010000}"/>
    <cellStyle name="Normální 9 2" xfId="81" xr:uid="{00000000-0005-0000-0000-0000F2010000}"/>
    <cellStyle name="Normální 9 3" xfId="543" xr:uid="{00000000-0005-0000-0000-0000F3010000}"/>
    <cellStyle name="Normální 91" xfId="544" xr:uid="{00000000-0005-0000-0000-0000F4010000}"/>
    <cellStyle name="O…‹aO‚e [0.00]_Region Orders (2)" xfId="545" xr:uid="{00000000-0005-0000-0000-0000F5010000}"/>
    <cellStyle name="O…‹aO‚e_Region Orders (2)" xfId="546" xr:uid="{00000000-0005-0000-0000-0000F6010000}"/>
    <cellStyle name="per.style" xfId="547" xr:uid="{00000000-0005-0000-0000-0000F7010000}"/>
    <cellStyle name="per.style 2" xfId="548" xr:uid="{00000000-0005-0000-0000-0000F8010000}"/>
    <cellStyle name="per.style 3" xfId="549" xr:uid="{00000000-0005-0000-0000-0000F9010000}"/>
    <cellStyle name="per.style_110310_Výkazy CEPS 10_13062011" xfId="550" xr:uid="{00000000-0005-0000-0000-0000FA010000}"/>
    <cellStyle name="Percent [2]" xfId="551" xr:uid="{00000000-0005-0000-0000-0000FB010000}"/>
    <cellStyle name="Percent [2] 2" xfId="552" xr:uid="{00000000-0005-0000-0000-0000FC010000}"/>
    <cellStyle name="Percent [2] 3" xfId="553" xr:uid="{00000000-0005-0000-0000-0000FD010000}"/>
    <cellStyle name="Pevný" xfId="82" xr:uid="{00000000-0005-0000-0000-0000FE010000}"/>
    <cellStyle name="PEVNÝ 2" xfId="554" xr:uid="{00000000-0005-0000-0000-0000FF010000}"/>
    <cellStyle name="PEVNÝ 2 2" xfId="555" xr:uid="{00000000-0005-0000-0000-000000020000}"/>
    <cellStyle name="PEVNÝ 2 3" xfId="556" xr:uid="{00000000-0005-0000-0000-000001020000}"/>
    <cellStyle name="Poznámka 2" xfId="557" xr:uid="{00000000-0005-0000-0000-000002020000}"/>
    <cellStyle name="Poznámka 2 10" xfId="558" xr:uid="{00000000-0005-0000-0000-000003020000}"/>
    <cellStyle name="Poznámka 2 11" xfId="559" xr:uid="{00000000-0005-0000-0000-000004020000}"/>
    <cellStyle name="Poznámka 2 12" xfId="560" xr:uid="{00000000-0005-0000-0000-000005020000}"/>
    <cellStyle name="Poznámka 2 2" xfId="561" xr:uid="{00000000-0005-0000-0000-000006020000}"/>
    <cellStyle name="Poznámka 2 2 10" xfId="562" xr:uid="{00000000-0005-0000-0000-000007020000}"/>
    <cellStyle name="Poznámka 2 2 2" xfId="563" xr:uid="{00000000-0005-0000-0000-000008020000}"/>
    <cellStyle name="Poznámka 2 2 3" xfId="564" xr:uid="{00000000-0005-0000-0000-000009020000}"/>
    <cellStyle name="Poznámka 2 2 4" xfId="565" xr:uid="{00000000-0005-0000-0000-00000A020000}"/>
    <cellStyle name="Poznámka 2 2 5" xfId="566" xr:uid="{00000000-0005-0000-0000-00000B020000}"/>
    <cellStyle name="Poznámka 2 2 6" xfId="567" xr:uid="{00000000-0005-0000-0000-00000C020000}"/>
    <cellStyle name="Poznámka 2 2 7" xfId="568" xr:uid="{00000000-0005-0000-0000-00000D020000}"/>
    <cellStyle name="Poznámka 2 2 8" xfId="569" xr:uid="{00000000-0005-0000-0000-00000E020000}"/>
    <cellStyle name="Poznámka 2 2 9" xfId="570" xr:uid="{00000000-0005-0000-0000-00000F020000}"/>
    <cellStyle name="Poznámka 2 3" xfId="571" xr:uid="{00000000-0005-0000-0000-000010020000}"/>
    <cellStyle name="Poznámka 2 3 10" xfId="572" xr:uid="{00000000-0005-0000-0000-000011020000}"/>
    <cellStyle name="Poznámka 2 3 2" xfId="573" xr:uid="{00000000-0005-0000-0000-000012020000}"/>
    <cellStyle name="Poznámka 2 3 3" xfId="574" xr:uid="{00000000-0005-0000-0000-000013020000}"/>
    <cellStyle name="Poznámka 2 3 4" xfId="575" xr:uid="{00000000-0005-0000-0000-000014020000}"/>
    <cellStyle name="Poznámka 2 3 5" xfId="576" xr:uid="{00000000-0005-0000-0000-000015020000}"/>
    <cellStyle name="Poznámka 2 3 6" xfId="577" xr:uid="{00000000-0005-0000-0000-000016020000}"/>
    <cellStyle name="Poznámka 2 3 7" xfId="578" xr:uid="{00000000-0005-0000-0000-000017020000}"/>
    <cellStyle name="Poznámka 2 3 8" xfId="579" xr:uid="{00000000-0005-0000-0000-000018020000}"/>
    <cellStyle name="Poznámka 2 3 9" xfId="580" xr:uid="{00000000-0005-0000-0000-000019020000}"/>
    <cellStyle name="Poznámka 2 4" xfId="581" xr:uid="{00000000-0005-0000-0000-00001A020000}"/>
    <cellStyle name="Poznámka 2 5" xfId="582" xr:uid="{00000000-0005-0000-0000-00001B020000}"/>
    <cellStyle name="Poznámka 2 6" xfId="583" xr:uid="{00000000-0005-0000-0000-00001C020000}"/>
    <cellStyle name="Poznámka 2 7" xfId="584" xr:uid="{00000000-0005-0000-0000-00001D020000}"/>
    <cellStyle name="Poznámka 2 8" xfId="585" xr:uid="{00000000-0005-0000-0000-00001E020000}"/>
    <cellStyle name="Poznámka 2 9" xfId="586" xr:uid="{00000000-0005-0000-0000-00001F020000}"/>
    <cellStyle name="pricing" xfId="587" xr:uid="{00000000-0005-0000-0000-000020020000}"/>
    <cellStyle name="pricing 2" xfId="588" xr:uid="{00000000-0005-0000-0000-000021020000}"/>
    <cellStyle name="procent 2" xfId="589" xr:uid="{00000000-0005-0000-0000-000022020000}"/>
    <cellStyle name="procent 2 2" xfId="590" xr:uid="{00000000-0005-0000-0000-000023020000}"/>
    <cellStyle name="Procenta" xfId="1" builtinId="5"/>
    <cellStyle name="Procenta 2" xfId="7" xr:uid="{00000000-0005-0000-0000-000025020000}"/>
    <cellStyle name="Procenta 2 2" xfId="3" xr:uid="{00000000-0005-0000-0000-000026020000}"/>
    <cellStyle name="Procenta 2 3" xfId="83" xr:uid="{00000000-0005-0000-0000-000027020000}"/>
    <cellStyle name="Procenta 2 4" xfId="591" xr:uid="{00000000-0005-0000-0000-000028020000}"/>
    <cellStyle name="Procenta 2 5" xfId="592" xr:uid="{00000000-0005-0000-0000-000029020000}"/>
    <cellStyle name="Procenta 3" xfId="84" xr:uid="{00000000-0005-0000-0000-00002A020000}"/>
    <cellStyle name="Procenta 3 2" xfId="85" xr:uid="{00000000-0005-0000-0000-00002B020000}"/>
    <cellStyle name="Procenta 4" xfId="593" xr:uid="{00000000-0005-0000-0000-00002C020000}"/>
    <cellStyle name="Propojená buňka 2" xfId="594" xr:uid="{00000000-0005-0000-0000-00002D020000}"/>
    <cellStyle name="PSChar" xfId="595" xr:uid="{00000000-0005-0000-0000-00002E020000}"/>
    <cellStyle name="PSChar 2" xfId="596" xr:uid="{00000000-0005-0000-0000-00002F020000}"/>
    <cellStyle name="PSChar 3" xfId="597" xr:uid="{00000000-0005-0000-0000-000030020000}"/>
    <cellStyle name="RevList" xfId="598" xr:uid="{00000000-0005-0000-0000-000031020000}"/>
    <cellStyle name="RevList 2" xfId="599" xr:uid="{00000000-0005-0000-0000-000032020000}"/>
    <cellStyle name="RevList 3" xfId="600" xr:uid="{00000000-0005-0000-0000-000033020000}"/>
    <cellStyle name="RevList_110310_Výkazy CEPS 10_13062011" xfId="601" xr:uid="{00000000-0005-0000-0000-000034020000}"/>
    <cellStyle name="RowLevel_1_BE (2)" xfId="602" xr:uid="{00000000-0005-0000-0000-000035020000}"/>
    <cellStyle name="SAPBEXaggData" xfId="8" xr:uid="{00000000-0005-0000-0000-000036020000}"/>
    <cellStyle name="SAPBEXaggData 10" xfId="603" xr:uid="{00000000-0005-0000-0000-000037020000}"/>
    <cellStyle name="SAPBEXaggData 11" xfId="604" xr:uid="{00000000-0005-0000-0000-000038020000}"/>
    <cellStyle name="SAPBEXaggData 2" xfId="605" xr:uid="{00000000-0005-0000-0000-000039020000}"/>
    <cellStyle name="SAPBEXaggData 2 10" xfId="606" xr:uid="{00000000-0005-0000-0000-00003A020000}"/>
    <cellStyle name="SAPBEXaggData 2 11" xfId="607" xr:uid="{00000000-0005-0000-0000-00003B020000}"/>
    <cellStyle name="SAPBEXaggData 2 2" xfId="608" xr:uid="{00000000-0005-0000-0000-00003C020000}"/>
    <cellStyle name="SAPBEXaggData 2 3" xfId="609" xr:uid="{00000000-0005-0000-0000-00003D020000}"/>
    <cellStyle name="SAPBEXaggData 2 4" xfId="610" xr:uid="{00000000-0005-0000-0000-00003E020000}"/>
    <cellStyle name="SAPBEXaggData 2 5" xfId="611" xr:uid="{00000000-0005-0000-0000-00003F020000}"/>
    <cellStyle name="SAPBEXaggData 2 6" xfId="612" xr:uid="{00000000-0005-0000-0000-000040020000}"/>
    <cellStyle name="SAPBEXaggData 2 7" xfId="613" xr:uid="{00000000-0005-0000-0000-000041020000}"/>
    <cellStyle name="SAPBEXaggData 2 8" xfId="614" xr:uid="{00000000-0005-0000-0000-000042020000}"/>
    <cellStyle name="SAPBEXaggData 2 9" xfId="615" xr:uid="{00000000-0005-0000-0000-000043020000}"/>
    <cellStyle name="SAPBEXaggData 3" xfId="616" xr:uid="{00000000-0005-0000-0000-000044020000}"/>
    <cellStyle name="SAPBEXaggData 4" xfId="617" xr:uid="{00000000-0005-0000-0000-000045020000}"/>
    <cellStyle name="SAPBEXaggData 5" xfId="618" xr:uid="{00000000-0005-0000-0000-000046020000}"/>
    <cellStyle name="SAPBEXaggData 6" xfId="619" xr:uid="{00000000-0005-0000-0000-000047020000}"/>
    <cellStyle name="SAPBEXaggData 7" xfId="620" xr:uid="{00000000-0005-0000-0000-000048020000}"/>
    <cellStyle name="SAPBEXaggData 8" xfId="621" xr:uid="{00000000-0005-0000-0000-000049020000}"/>
    <cellStyle name="SAPBEXaggData 9" xfId="622" xr:uid="{00000000-0005-0000-0000-00004A020000}"/>
    <cellStyle name="SAPBEXaggDataEmph" xfId="24" xr:uid="{00000000-0005-0000-0000-00004B020000}"/>
    <cellStyle name="SAPBEXaggDataEmph 10" xfId="623" xr:uid="{00000000-0005-0000-0000-00004C020000}"/>
    <cellStyle name="SAPBEXaggDataEmph 11" xfId="624" xr:uid="{00000000-0005-0000-0000-00004D020000}"/>
    <cellStyle name="SAPBEXaggDataEmph 12" xfId="625" xr:uid="{00000000-0005-0000-0000-00004E020000}"/>
    <cellStyle name="SAPBEXaggDataEmph 2" xfId="626" xr:uid="{00000000-0005-0000-0000-00004F020000}"/>
    <cellStyle name="SAPBEXaggDataEmph 2 10" xfId="627" xr:uid="{00000000-0005-0000-0000-000050020000}"/>
    <cellStyle name="SAPBEXaggDataEmph 2 2" xfId="628" xr:uid="{00000000-0005-0000-0000-000051020000}"/>
    <cellStyle name="SAPBEXaggDataEmph 2 3" xfId="629" xr:uid="{00000000-0005-0000-0000-000052020000}"/>
    <cellStyle name="SAPBEXaggDataEmph 2 4" xfId="630" xr:uid="{00000000-0005-0000-0000-000053020000}"/>
    <cellStyle name="SAPBEXaggDataEmph 2 5" xfId="631" xr:uid="{00000000-0005-0000-0000-000054020000}"/>
    <cellStyle name="SAPBEXaggDataEmph 2 6" xfId="632" xr:uid="{00000000-0005-0000-0000-000055020000}"/>
    <cellStyle name="SAPBEXaggDataEmph 2 7" xfId="633" xr:uid="{00000000-0005-0000-0000-000056020000}"/>
    <cellStyle name="SAPBEXaggDataEmph 2 8" xfId="634" xr:uid="{00000000-0005-0000-0000-000057020000}"/>
    <cellStyle name="SAPBEXaggDataEmph 2 9" xfId="635" xr:uid="{00000000-0005-0000-0000-000058020000}"/>
    <cellStyle name="SAPBEXaggDataEmph 3" xfId="636" xr:uid="{00000000-0005-0000-0000-000059020000}"/>
    <cellStyle name="SAPBEXaggDataEmph 4" xfId="637" xr:uid="{00000000-0005-0000-0000-00005A020000}"/>
    <cellStyle name="SAPBEXaggDataEmph 5" xfId="638" xr:uid="{00000000-0005-0000-0000-00005B020000}"/>
    <cellStyle name="SAPBEXaggDataEmph 6" xfId="639" xr:uid="{00000000-0005-0000-0000-00005C020000}"/>
    <cellStyle name="SAPBEXaggDataEmph 7" xfId="640" xr:uid="{00000000-0005-0000-0000-00005D020000}"/>
    <cellStyle name="SAPBEXaggDataEmph 8" xfId="641" xr:uid="{00000000-0005-0000-0000-00005E020000}"/>
    <cellStyle name="SAPBEXaggDataEmph 9" xfId="642" xr:uid="{00000000-0005-0000-0000-00005F020000}"/>
    <cellStyle name="SAPBEXaggItem" xfId="9" xr:uid="{00000000-0005-0000-0000-000060020000}"/>
    <cellStyle name="SAPBEXaggItem 10" xfId="643" xr:uid="{00000000-0005-0000-0000-000061020000}"/>
    <cellStyle name="SAPBEXaggItem 11" xfId="644" xr:uid="{00000000-0005-0000-0000-000062020000}"/>
    <cellStyle name="SAPBEXaggItem 2" xfId="645" xr:uid="{00000000-0005-0000-0000-000063020000}"/>
    <cellStyle name="SAPBEXaggItem 2 10" xfId="646" xr:uid="{00000000-0005-0000-0000-000064020000}"/>
    <cellStyle name="SAPBEXaggItem 2 11" xfId="647" xr:uid="{00000000-0005-0000-0000-000065020000}"/>
    <cellStyle name="SAPBEXaggItem 2 2" xfId="648" xr:uid="{00000000-0005-0000-0000-000066020000}"/>
    <cellStyle name="SAPBEXaggItem 2 3" xfId="649" xr:uid="{00000000-0005-0000-0000-000067020000}"/>
    <cellStyle name="SAPBEXaggItem 2 4" xfId="650" xr:uid="{00000000-0005-0000-0000-000068020000}"/>
    <cellStyle name="SAPBEXaggItem 2 5" xfId="651" xr:uid="{00000000-0005-0000-0000-000069020000}"/>
    <cellStyle name="SAPBEXaggItem 2 6" xfId="652" xr:uid="{00000000-0005-0000-0000-00006A020000}"/>
    <cellStyle name="SAPBEXaggItem 2 7" xfId="653" xr:uid="{00000000-0005-0000-0000-00006B020000}"/>
    <cellStyle name="SAPBEXaggItem 2 8" xfId="654" xr:uid="{00000000-0005-0000-0000-00006C020000}"/>
    <cellStyle name="SAPBEXaggItem 2 9" xfId="655" xr:uid="{00000000-0005-0000-0000-00006D020000}"/>
    <cellStyle name="SAPBEXaggItem 3" xfId="656" xr:uid="{00000000-0005-0000-0000-00006E020000}"/>
    <cellStyle name="SAPBEXaggItem 4" xfId="657" xr:uid="{00000000-0005-0000-0000-00006F020000}"/>
    <cellStyle name="SAPBEXaggItem 5" xfId="658" xr:uid="{00000000-0005-0000-0000-000070020000}"/>
    <cellStyle name="SAPBEXaggItem 6" xfId="659" xr:uid="{00000000-0005-0000-0000-000071020000}"/>
    <cellStyle name="SAPBEXaggItem 7" xfId="660" xr:uid="{00000000-0005-0000-0000-000072020000}"/>
    <cellStyle name="SAPBEXaggItem 8" xfId="661" xr:uid="{00000000-0005-0000-0000-000073020000}"/>
    <cellStyle name="SAPBEXaggItem 9" xfId="662" xr:uid="{00000000-0005-0000-0000-000074020000}"/>
    <cellStyle name="SAPBEXaggItemX" xfId="25" xr:uid="{00000000-0005-0000-0000-000075020000}"/>
    <cellStyle name="SAPBEXaggItemX 10" xfId="663" xr:uid="{00000000-0005-0000-0000-000076020000}"/>
    <cellStyle name="SAPBEXaggItemX 11" xfId="664" xr:uid="{00000000-0005-0000-0000-000077020000}"/>
    <cellStyle name="SAPBEXaggItemX 12" xfId="665" xr:uid="{00000000-0005-0000-0000-000078020000}"/>
    <cellStyle name="SAPBEXaggItemX 2" xfId="666" xr:uid="{00000000-0005-0000-0000-000079020000}"/>
    <cellStyle name="SAPBEXaggItemX 2 10" xfId="667" xr:uid="{00000000-0005-0000-0000-00007A020000}"/>
    <cellStyle name="SAPBEXaggItemX 2 2" xfId="668" xr:uid="{00000000-0005-0000-0000-00007B020000}"/>
    <cellStyle name="SAPBEXaggItemX 2 3" xfId="669" xr:uid="{00000000-0005-0000-0000-00007C020000}"/>
    <cellStyle name="SAPBEXaggItemX 2 4" xfId="670" xr:uid="{00000000-0005-0000-0000-00007D020000}"/>
    <cellStyle name="SAPBEXaggItemX 2 5" xfId="671" xr:uid="{00000000-0005-0000-0000-00007E020000}"/>
    <cellStyle name="SAPBEXaggItemX 2 6" xfId="672" xr:uid="{00000000-0005-0000-0000-00007F020000}"/>
    <cellStyle name="SAPBEXaggItemX 2 7" xfId="673" xr:uid="{00000000-0005-0000-0000-000080020000}"/>
    <cellStyle name="SAPBEXaggItemX 2 8" xfId="674" xr:uid="{00000000-0005-0000-0000-000081020000}"/>
    <cellStyle name="SAPBEXaggItemX 2 9" xfId="675" xr:uid="{00000000-0005-0000-0000-000082020000}"/>
    <cellStyle name="SAPBEXaggItemX 3" xfId="676" xr:uid="{00000000-0005-0000-0000-000083020000}"/>
    <cellStyle name="SAPBEXaggItemX 4" xfId="677" xr:uid="{00000000-0005-0000-0000-000084020000}"/>
    <cellStyle name="SAPBEXaggItemX 5" xfId="678" xr:uid="{00000000-0005-0000-0000-000085020000}"/>
    <cellStyle name="SAPBEXaggItemX 6" xfId="679" xr:uid="{00000000-0005-0000-0000-000086020000}"/>
    <cellStyle name="SAPBEXaggItemX 7" xfId="680" xr:uid="{00000000-0005-0000-0000-000087020000}"/>
    <cellStyle name="SAPBEXaggItemX 8" xfId="681" xr:uid="{00000000-0005-0000-0000-000088020000}"/>
    <cellStyle name="SAPBEXaggItemX 9" xfId="682" xr:uid="{00000000-0005-0000-0000-000089020000}"/>
    <cellStyle name="SAPBEXexcBad7" xfId="26" xr:uid="{00000000-0005-0000-0000-00008A020000}"/>
    <cellStyle name="SAPBEXexcBad7 10" xfId="683" xr:uid="{00000000-0005-0000-0000-00008B020000}"/>
    <cellStyle name="SAPBEXexcBad7 11" xfId="684" xr:uid="{00000000-0005-0000-0000-00008C020000}"/>
    <cellStyle name="SAPBEXexcBad7 12" xfId="685" xr:uid="{00000000-0005-0000-0000-00008D020000}"/>
    <cellStyle name="SAPBEXexcBad7 2" xfId="686" xr:uid="{00000000-0005-0000-0000-00008E020000}"/>
    <cellStyle name="SAPBEXexcBad7 2 10" xfId="687" xr:uid="{00000000-0005-0000-0000-00008F020000}"/>
    <cellStyle name="SAPBEXexcBad7 2 2" xfId="688" xr:uid="{00000000-0005-0000-0000-000090020000}"/>
    <cellStyle name="SAPBEXexcBad7 2 3" xfId="689" xr:uid="{00000000-0005-0000-0000-000091020000}"/>
    <cellStyle name="SAPBEXexcBad7 2 4" xfId="690" xr:uid="{00000000-0005-0000-0000-000092020000}"/>
    <cellStyle name="SAPBEXexcBad7 2 5" xfId="691" xr:uid="{00000000-0005-0000-0000-000093020000}"/>
    <cellStyle name="SAPBEXexcBad7 2 6" xfId="692" xr:uid="{00000000-0005-0000-0000-000094020000}"/>
    <cellStyle name="SAPBEXexcBad7 2 7" xfId="693" xr:uid="{00000000-0005-0000-0000-000095020000}"/>
    <cellStyle name="SAPBEXexcBad7 2 8" xfId="694" xr:uid="{00000000-0005-0000-0000-000096020000}"/>
    <cellStyle name="SAPBEXexcBad7 2 9" xfId="695" xr:uid="{00000000-0005-0000-0000-000097020000}"/>
    <cellStyle name="SAPBEXexcBad7 3" xfId="696" xr:uid="{00000000-0005-0000-0000-000098020000}"/>
    <cellStyle name="SAPBEXexcBad7 4" xfId="697" xr:uid="{00000000-0005-0000-0000-000099020000}"/>
    <cellStyle name="SAPBEXexcBad7 5" xfId="698" xr:uid="{00000000-0005-0000-0000-00009A020000}"/>
    <cellStyle name="SAPBEXexcBad7 6" xfId="699" xr:uid="{00000000-0005-0000-0000-00009B020000}"/>
    <cellStyle name="SAPBEXexcBad7 7" xfId="700" xr:uid="{00000000-0005-0000-0000-00009C020000}"/>
    <cellStyle name="SAPBEXexcBad7 8" xfId="701" xr:uid="{00000000-0005-0000-0000-00009D020000}"/>
    <cellStyle name="SAPBEXexcBad7 9" xfId="702" xr:uid="{00000000-0005-0000-0000-00009E020000}"/>
    <cellStyle name="SAPBEXexcBad8" xfId="27" xr:uid="{00000000-0005-0000-0000-00009F020000}"/>
    <cellStyle name="SAPBEXexcBad8 10" xfId="703" xr:uid="{00000000-0005-0000-0000-0000A0020000}"/>
    <cellStyle name="SAPBEXexcBad8 11" xfId="704" xr:uid="{00000000-0005-0000-0000-0000A1020000}"/>
    <cellStyle name="SAPBEXexcBad8 12" xfId="705" xr:uid="{00000000-0005-0000-0000-0000A2020000}"/>
    <cellStyle name="SAPBEXexcBad8 2" xfId="706" xr:uid="{00000000-0005-0000-0000-0000A3020000}"/>
    <cellStyle name="SAPBEXexcBad8 2 10" xfId="707" xr:uid="{00000000-0005-0000-0000-0000A4020000}"/>
    <cellStyle name="SAPBEXexcBad8 2 2" xfId="708" xr:uid="{00000000-0005-0000-0000-0000A5020000}"/>
    <cellStyle name="SAPBEXexcBad8 2 3" xfId="709" xr:uid="{00000000-0005-0000-0000-0000A6020000}"/>
    <cellStyle name="SAPBEXexcBad8 2 4" xfId="710" xr:uid="{00000000-0005-0000-0000-0000A7020000}"/>
    <cellStyle name="SAPBEXexcBad8 2 5" xfId="711" xr:uid="{00000000-0005-0000-0000-0000A8020000}"/>
    <cellStyle name="SAPBEXexcBad8 2 6" xfId="712" xr:uid="{00000000-0005-0000-0000-0000A9020000}"/>
    <cellStyle name="SAPBEXexcBad8 2 7" xfId="713" xr:uid="{00000000-0005-0000-0000-0000AA020000}"/>
    <cellStyle name="SAPBEXexcBad8 2 8" xfId="714" xr:uid="{00000000-0005-0000-0000-0000AB020000}"/>
    <cellStyle name="SAPBEXexcBad8 2 9" xfId="715" xr:uid="{00000000-0005-0000-0000-0000AC020000}"/>
    <cellStyle name="SAPBEXexcBad8 3" xfId="716" xr:uid="{00000000-0005-0000-0000-0000AD020000}"/>
    <cellStyle name="SAPBEXexcBad8 4" xfId="717" xr:uid="{00000000-0005-0000-0000-0000AE020000}"/>
    <cellStyle name="SAPBEXexcBad8 5" xfId="718" xr:uid="{00000000-0005-0000-0000-0000AF020000}"/>
    <cellStyle name="SAPBEXexcBad8 6" xfId="719" xr:uid="{00000000-0005-0000-0000-0000B0020000}"/>
    <cellStyle name="SAPBEXexcBad8 7" xfId="720" xr:uid="{00000000-0005-0000-0000-0000B1020000}"/>
    <cellStyle name="SAPBEXexcBad8 8" xfId="721" xr:uid="{00000000-0005-0000-0000-0000B2020000}"/>
    <cellStyle name="SAPBEXexcBad8 9" xfId="722" xr:uid="{00000000-0005-0000-0000-0000B3020000}"/>
    <cellStyle name="SAPBEXexcBad9" xfId="28" xr:uid="{00000000-0005-0000-0000-0000B4020000}"/>
    <cellStyle name="SAPBEXexcBad9 10" xfId="723" xr:uid="{00000000-0005-0000-0000-0000B5020000}"/>
    <cellStyle name="SAPBEXexcBad9 11" xfId="724" xr:uid="{00000000-0005-0000-0000-0000B6020000}"/>
    <cellStyle name="SAPBEXexcBad9 12" xfId="725" xr:uid="{00000000-0005-0000-0000-0000B7020000}"/>
    <cellStyle name="SAPBEXexcBad9 2" xfId="726" xr:uid="{00000000-0005-0000-0000-0000B8020000}"/>
    <cellStyle name="SAPBEXexcBad9 2 10" xfId="727" xr:uid="{00000000-0005-0000-0000-0000B9020000}"/>
    <cellStyle name="SAPBEXexcBad9 2 2" xfId="728" xr:uid="{00000000-0005-0000-0000-0000BA020000}"/>
    <cellStyle name="SAPBEXexcBad9 2 3" xfId="729" xr:uid="{00000000-0005-0000-0000-0000BB020000}"/>
    <cellStyle name="SAPBEXexcBad9 2 4" xfId="730" xr:uid="{00000000-0005-0000-0000-0000BC020000}"/>
    <cellStyle name="SAPBEXexcBad9 2 5" xfId="731" xr:uid="{00000000-0005-0000-0000-0000BD020000}"/>
    <cellStyle name="SAPBEXexcBad9 2 6" xfId="732" xr:uid="{00000000-0005-0000-0000-0000BE020000}"/>
    <cellStyle name="SAPBEXexcBad9 2 7" xfId="733" xr:uid="{00000000-0005-0000-0000-0000BF020000}"/>
    <cellStyle name="SAPBEXexcBad9 2 8" xfId="734" xr:uid="{00000000-0005-0000-0000-0000C0020000}"/>
    <cellStyle name="SAPBEXexcBad9 2 9" xfId="735" xr:uid="{00000000-0005-0000-0000-0000C1020000}"/>
    <cellStyle name="SAPBEXexcBad9 3" xfId="736" xr:uid="{00000000-0005-0000-0000-0000C2020000}"/>
    <cellStyle name="SAPBEXexcBad9 4" xfId="737" xr:uid="{00000000-0005-0000-0000-0000C3020000}"/>
    <cellStyle name="SAPBEXexcBad9 5" xfId="738" xr:uid="{00000000-0005-0000-0000-0000C4020000}"/>
    <cellStyle name="SAPBEXexcBad9 6" xfId="739" xr:uid="{00000000-0005-0000-0000-0000C5020000}"/>
    <cellStyle name="SAPBEXexcBad9 7" xfId="740" xr:uid="{00000000-0005-0000-0000-0000C6020000}"/>
    <cellStyle name="SAPBEXexcBad9 8" xfId="741" xr:uid="{00000000-0005-0000-0000-0000C7020000}"/>
    <cellStyle name="SAPBEXexcBad9 9" xfId="742" xr:uid="{00000000-0005-0000-0000-0000C8020000}"/>
    <cellStyle name="SAPBEXexcCritical4" xfId="29" xr:uid="{00000000-0005-0000-0000-0000C9020000}"/>
    <cellStyle name="SAPBEXexcCritical4 10" xfId="743" xr:uid="{00000000-0005-0000-0000-0000CA020000}"/>
    <cellStyle name="SAPBEXexcCritical4 11" xfId="744" xr:uid="{00000000-0005-0000-0000-0000CB020000}"/>
    <cellStyle name="SAPBEXexcCritical4 12" xfId="745" xr:uid="{00000000-0005-0000-0000-0000CC020000}"/>
    <cellStyle name="SAPBEXexcCritical4 2" xfId="746" xr:uid="{00000000-0005-0000-0000-0000CD020000}"/>
    <cellStyle name="SAPBEXexcCritical4 2 10" xfId="747" xr:uid="{00000000-0005-0000-0000-0000CE020000}"/>
    <cellStyle name="SAPBEXexcCritical4 2 2" xfId="748" xr:uid="{00000000-0005-0000-0000-0000CF020000}"/>
    <cellStyle name="SAPBEXexcCritical4 2 3" xfId="749" xr:uid="{00000000-0005-0000-0000-0000D0020000}"/>
    <cellStyle name="SAPBEXexcCritical4 2 4" xfId="750" xr:uid="{00000000-0005-0000-0000-0000D1020000}"/>
    <cellStyle name="SAPBEXexcCritical4 2 5" xfId="751" xr:uid="{00000000-0005-0000-0000-0000D2020000}"/>
    <cellStyle name="SAPBEXexcCritical4 2 6" xfId="752" xr:uid="{00000000-0005-0000-0000-0000D3020000}"/>
    <cellStyle name="SAPBEXexcCritical4 2 7" xfId="753" xr:uid="{00000000-0005-0000-0000-0000D4020000}"/>
    <cellStyle name="SAPBEXexcCritical4 2 8" xfId="754" xr:uid="{00000000-0005-0000-0000-0000D5020000}"/>
    <cellStyle name="SAPBEXexcCritical4 2 9" xfId="755" xr:uid="{00000000-0005-0000-0000-0000D6020000}"/>
    <cellStyle name="SAPBEXexcCritical4 3" xfId="756" xr:uid="{00000000-0005-0000-0000-0000D7020000}"/>
    <cellStyle name="SAPBEXexcCritical4 4" xfId="757" xr:uid="{00000000-0005-0000-0000-0000D8020000}"/>
    <cellStyle name="SAPBEXexcCritical4 5" xfId="758" xr:uid="{00000000-0005-0000-0000-0000D9020000}"/>
    <cellStyle name="SAPBEXexcCritical4 6" xfId="759" xr:uid="{00000000-0005-0000-0000-0000DA020000}"/>
    <cellStyle name="SAPBEXexcCritical4 7" xfId="760" xr:uid="{00000000-0005-0000-0000-0000DB020000}"/>
    <cellStyle name="SAPBEXexcCritical4 8" xfId="761" xr:uid="{00000000-0005-0000-0000-0000DC020000}"/>
    <cellStyle name="SAPBEXexcCritical4 9" xfId="762" xr:uid="{00000000-0005-0000-0000-0000DD020000}"/>
    <cellStyle name="SAPBEXexcCritical5" xfId="30" xr:uid="{00000000-0005-0000-0000-0000DE020000}"/>
    <cellStyle name="SAPBEXexcCritical5 10" xfId="763" xr:uid="{00000000-0005-0000-0000-0000DF020000}"/>
    <cellStyle name="SAPBEXexcCritical5 11" xfId="764" xr:uid="{00000000-0005-0000-0000-0000E0020000}"/>
    <cellStyle name="SAPBEXexcCritical5 12" xfId="765" xr:uid="{00000000-0005-0000-0000-0000E1020000}"/>
    <cellStyle name="SAPBEXexcCritical5 2" xfId="766" xr:uid="{00000000-0005-0000-0000-0000E2020000}"/>
    <cellStyle name="SAPBEXexcCritical5 2 10" xfId="767" xr:uid="{00000000-0005-0000-0000-0000E3020000}"/>
    <cellStyle name="SAPBEXexcCritical5 2 2" xfId="768" xr:uid="{00000000-0005-0000-0000-0000E4020000}"/>
    <cellStyle name="SAPBEXexcCritical5 2 3" xfId="769" xr:uid="{00000000-0005-0000-0000-0000E5020000}"/>
    <cellStyle name="SAPBEXexcCritical5 2 4" xfId="770" xr:uid="{00000000-0005-0000-0000-0000E6020000}"/>
    <cellStyle name="SAPBEXexcCritical5 2 5" xfId="771" xr:uid="{00000000-0005-0000-0000-0000E7020000}"/>
    <cellStyle name="SAPBEXexcCritical5 2 6" xfId="772" xr:uid="{00000000-0005-0000-0000-0000E8020000}"/>
    <cellStyle name="SAPBEXexcCritical5 2 7" xfId="773" xr:uid="{00000000-0005-0000-0000-0000E9020000}"/>
    <cellStyle name="SAPBEXexcCritical5 2 8" xfId="774" xr:uid="{00000000-0005-0000-0000-0000EA020000}"/>
    <cellStyle name="SAPBEXexcCritical5 2 9" xfId="775" xr:uid="{00000000-0005-0000-0000-0000EB020000}"/>
    <cellStyle name="SAPBEXexcCritical5 3" xfId="776" xr:uid="{00000000-0005-0000-0000-0000EC020000}"/>
    <cellStyle name="SAPBEXexcCritical5 4" xfId="777" xr:uid="{00000000-0005-0000-0000-0000ED020000}"/>
    <cellStyle name="SAPBEXexcCritical5 5" xfId="778" xr:uid="{00000000-0005-0000-0000-0000EE020000}"/>
    <cellStyle name="SAPBEXexcCritical5 6" xfId="779" xr:uid="{00000000-0005-0000-0000-0000EF020000}"/>
    <cellStyle name="SAPBEXexcCritical5 7" xfId="780" xr:uid="{00000000-0005-0000-0000-0000F0020000}"/>
    <cellStyle name="SAPBEXexcCritical5 8" xfId="781" xr:uid="{00000000-0005-0000-0000-0000F1020000}"/>
    <cellStyle name="SAPBEXexcCritical5 9" xfId="782" xr:uid="{00000000-0005-0000-0000-0000F2020000}"/>
    <cellStyle name="SAPBEXexcCritical6" xfId="31" xr:uid="{00000000-0005-0000-0000-0000F3020000}"/>
    <cellStyle name="SAPBEXexcCritical6 10" xfId="783" xr:uid="{00000000-0005-0000-0000-0000F4020000}"/>
    <cellStyle name="SAPBEXexcCritical6 11" xfId="784" xr:uid="{00000000-0005-0000-0000-0000F5020000}"/>
    <cellStyle name="SAPBEXexcCritical6 12" xfId="785" xr:uid="{00000000-0005-0000-0000-0000F6020000}"/>
    <cellStyle name="SAPBEXexcCritical6 2" xfId="786" xr:uid="{00000000-0005-0000-0000-0000F7020000}"/>
    <cellStyle name="SAPBEXexcCritical6 2 10" xfId="787" xr:uid="{00000000-0005-0000-0000-0000F8020000}"/>
    <cellStyle name="SAPBEXexcCritical6 2 2" xfId="788" xr:uid="{00000000-0005-0000-0000-0000F9020000}"/>
    <cellStyle name="SAPBEXexcCritical6 2 3" xfId="789" xr:uid="{00000000-0005-0000-0000-0000FA020000}"/>
    <cellStyle name="SAPBEXexcCritical6 2 4" xfId="790" xr:uid="{00000000-0005-0000-0000-0000FB020000}"/>
    <cellStyle name="SAPBEXexcCritical6 2 5" xfId="791" xr:uid="{00000000-0005-0000-0000-0000FC020000}"/>
    <cellStyle name="SAPBEXexcCritical6 2 6" xfId="792" xr:uid="{00000000-0005-0000-0000-0000FD020000}"/>
    <cellStyle name="SAPBEXexcCritical6 2 7" xfId="793" xr:uid="{00000000-0005-0000-0000-0000FE020000}"/>
    <cellStyle name="SAPBEXexcCritical6 2 8" xfId="794" xr:uid="{00000000-0005-0000-0000-0000FF020000}"/>
    <cellStyle name="SAPBEXexcCritical6 2 9" xfId="795" xr:uid="{00000000-0005-0000-0000-000000030000}"/>
    <cellStyle name="SAPBEXexcCritical6 3" xfId="796" xr:uid="{00000000-0005-0000-0000-000001030000}"/>
    <cellStyle name="SAPBEXexcCritical6 4" xfId="797" xr:uid="{00000000-0005-0000-0000-000002030000}"/>
    <cellStyle name="SAPBEXexcCritical6 5" xfId="798" xr:uid="{00000000-0005-0000-0000-000003030000}"/>
    <cellStyle name="SAPBEXexcCritical6 6" xfId="799" xr:uid="{00000000-0005-0000-0000-000004030000}"/>
    <cellStyle name="SAPBEXexcCritical6 7" xfId="800" xr:uid="{00000000-0005-0000-0000-000005030000}"/>
    <cellStyle name="SAPBEXexcCritical6 8" xfId="801" xr:uid="{00000000-0005-0000-0000-000006030000}"/>
    <cellStyle name="SAPBEXexcCritical6 9" xfId="802" xr:uid="{00000000-0005-0000-0000-000007030000}"/>
    <cellStyle name="SAPBEXexcGood1" xfId="32" xr:uid="{00000000-0005-0000-0000-000008030000}"/>
    <cellStyle name="SAPBEXexcGood1 10" xfId="803" xr:uid="{00000000-0005-0000-0000-000009030000}"/>
    <cellStyle name="SAPBEXexcGood1 11" xfId="804" xr:uid="{00000000-0005-0000-0000-00000A030000}"/>
    <cellStyle name="SAPBEXexcGood1 12" xfId="805" xr:uid="{00000000-0005-0000-0000-00000B030000}"/>
    <cellStyle name="SAPBEXexcGood1 2" xfId="806" xr:uid="{00000000-0005-0000-0000-00000C030000}"/>
    <cellStyle name="SAPBEXexcGood1 2 10" xfId="807" xr:uid="{00000000-0005-0000-0000-00000D030000}"/>
    <cellStyle name="SAPBEXexcGood1 2 2" xfId="808" xr:uid="{00000000-0005-0000-0000-00000E030000}"/>
    <cellStyle name="SAPBEXexcGood1 2 3" xfId="809" xr:uid="{00000000-0005-0000-0000-00000F030000}"/>
    <cellStyle name="SAPBEXexcGood1 2 4" xfId="810" xr:uid="{00000000-0005-0000-0000-000010030000}"/>
    <cellStyle name="SAPBEXexcGood1 2 5" xfId="811" xr:uid="{00000000-0005-0000-0000-000011030000}"/>
    <cellStyle name="SAPBEXexcGood1 2 6" xfId="812" xr:uid="{00000000-0005-0000-0000-000012030000}"/>
    <cellStyle name="SAPBEXexcGood1 2 7" xfId="813" xr:uid="{00000000-0005-0000-0000-000013030000}"/>
    <cellStyle name="SAPBEXexcGood1 2 8" xfId="814" xr:uid="{00000000-0005-0000-0000-000014030000}"/>
    <cellStyle name="SAPBEXexcGood1 2 9" xfId="815" xr:uid="{00000000-0005-0000-0000-000015030000}"/>
    <cellStyle name="SAPBEXexcGood1 3" xfId="816" xr:uid="{00000000-0005-0000-0000-000016030000}"/>
    <cellStyle name="SAPBEXexcGood1 4" xfId="817" xr:uid="{00000000-0005-0000-0000-000017030000}"/>
    <cellStyle name="SAPBEXexcGood1 5" xfId="818" xr:uid="{00000000-0005-0000-0000-000018030000}"/>
    <cellStyle name="SAPBEXexcGood1 6" xfId="819" xr:uid="{00000000-0005-0000-0000-000019030000}"/>
    <cellStyle name="SAPBEXexcGood1 7" xfId="820" xr:uid="{00000000-0005-0000-0000-00001A030000}"/>
    <cellStyle name="SAPBEXexcGood1 8" xfId="821" xr:uid="{00000000-0005-0000-0000-00001B030000}"/>
    <cellStyle name="SAPBEXexcGood1 9" xfId="822" xr:uid="{00000000-0005-0000-0000-00001C030000}"/>
    <cellStyle name="SAPBEXexcGood2" xfId="33" xr:uid="{00000000-0005-0000-0000-00001D030000}"/>
    <cellStyle name="SAPBEXexcGood2 10" xfId="823" xr:uid="{00000000-0005-0000-0000-00001E030000}"/>
    <cellStyle name="SAPBEXexcGood2 11" xfId="824" xr:uid="{00000000-0005-0000-0000-00001F030000}"/>
    <cellStyle name="SAPBEXexcGood2 12" xfId="825" xr:uid="{00000000-0005-0000-0000-000020030000}"/>
    <cellStyle name="SAPBEXexcGood2 2" xfId="826" xr:uid="{00000000-0005-0000-0000-000021030000}"/>
    <cellStyle name="SAPBEXexcGood2 2 10" xfId="827" xr:uid="{00000000-0005-0000-0000-000022030000}"/>
    <cellStyle name="SAPBEXexcGood2 2 2" xfId="828" xr:uid="{00000000-0005-0000-0000-000023030000}"/>
    <cellStyle name="SAPBEXexcGood2 2 3" xfId="829" xr:uid="{00000000-0005-0000-0000-000024030000}"/>
    <cellStyle name="SAPBEXexcGood2 2 4" xfId="830" xr:uid="{00000000-0005-0000-0000-000025030000}"/>
    <cellStyle name="SAPBEXexcGood2 2 5" xfId="831" xr:uid="{00000000-0005-0000-0000-000026030000}"/>
    <cellStyle name="SAPBEXexcGood2 2 6" xfId="832" xr:uid="{00000000-0005-0000-0000-000027030000}"/>
    <cellStyle name="SAPBEXexcGood2 2 7" xfId="833" xr:uid="{00000000-0005-0000-0000-000028030000}"/>
    <cellStyle name="SAPBEXexcGood2 2 8" xfId="834" xr:uid="{00000000-0005-0000-0000-000029030000}"/>
    <cellStyle name="SAPBEXexcGood2 2 9" xfId="835" xr:uid="{00000000-0005-0000-0000-00002A030000}"/>
    <cellStyle name="SAPBEXexcGood2 3" xfId="836" xr:uid="{00000000-0005-0000-0000-00002B030000}"/>
    <cellStyle name="SAPBEXexcGood2 4" xfId="837" xr:uid="{00000000-0005-0000-0000-00002C030000}"/>
    <cellStyle name="SAPBEXexcGood2 5" xfId="838" xr:uid="{00000000-0005-0000-0000-00002D030000}"/>
    <cellStyle name="SAPBEXexcGood2 6" xfId="839" xr:uid="{00000000-0005-0000-0000-00002E030000}"/>
    <cellStyle name="SAPBEXexcGood2 7" xfId="840" xr:uid="{00000000-0005-0000-0000-00002F030000}"/>
    <cellStyle name="SAPBEXexcGood2 8" xfId="841" xr:uid="{00000000-0005-0000-0000-000030030000}"/>
    <cellStyle name="SAPBEXexcGood2 9" xfId="842" xr:uid="{00000000-0005-0000-0000-000031030000}"/>
    <cellStyle name="SAPBEXexcGood3" xfId="34" xr:uid="{00000000-0005-0000-0000-000032030000}"/>
    <cellStyle name="SAPBEXexcGood3 10" xfId="843" xr:uid="{00000000-0005-0000-0000-000033030000}"/>
    <cellStyle name="SAPBEXexcGood3 11" xfId="844" xr:uid="{00000000-0005-0000-0000-000034030000}"/>
    <cellStyle name="SAPBEXexcGood3 12" xfId="845" xr:uid="{00000000-0005-0000-0000-000035030000}"/>
    <cellStyle name="SAPBEXexcGood3 2" xfId="846" xr:uid="{00000000-0005-0000-0000-000036030000}"/>
    <cellStyle name="SAPBEXexcGood3 2 10" xfId="847" xr:uid="{00000000-0005-0000-0000-000037030000}"/>
    <cellStyle name="SAPBEXexcGood3 2 2" xfId="848" xr:uid="{00000000-0005-0000-0000-000038030000}"/>
    <cellStyle name="SAPBEXexcGood3 2 3" xfId="849" xr:uid="{00000000-0005-0000-0000-000039030000}"/>
    <cellStyle name="SAPBEXexcGood3 2 4" xfId="850" xr:uid="{00000000-0005-0000-0000-00003A030000}"/>
    <cellStyle name="SAPBEXexcGood3 2 5" xfId="851" xr:uid="{00000000-0005-0000-0000-00003B030000}"/>
    <cellStyle name="SAPBEXexcGood3 2 6" xfId="852" xr:uid="{00000000-0005-0000-0000-00003C030000}"/>
    <cellStyle name="SAPBEXexcGood3 2 7" xfId="853" xr:uid="{00000000-0005-0000-0000-00003D030000}"/>
    <cellStyle name="SAPBEXexcGood3 2 8" xfId="854" xr:uid="{00000000-0005-0000-0000-00003E030000}"/>
    <cellStyle name="SAPBEXexcGood3 2 9" xfId="855" xr:uid="{00000000-0005-0000-0000-00003F030000}"/>
    <cellStyle name="SAPBEXexcGood3 3" xfId="856" xr:uid="{00000000-0005-0000-0000-000040030000}"/>
    <cellStyle name="SAPBEXexcGood3 4" xfId="857" xr:uid="{00000000-0005-0000-0000-000041030000}"/>
    <cellStyle name="SAPBEXexcGood3 5" xfId="858" xr:uid="{00000000-0005-0000-0000-000042030000}"/>
    <cellStyle name="SAPBEXexcGood3 6" xfId="859" xr:uid="{00000000-0005-0000-0000-000043030000}"/>
    <cellStyle name="SAPBEXexcGood3 7" xfId="860" xr:uid="{00000000-0005-0000-0000-000044030000}"/>
    <cellStyle name="SAPBEXexcGood3 8" xfId="861" xr:uid="{00000000-0005-0000-0000-000045030000}"/>
    <cellStyle name="SAPBEXexcGood3 9" xfId="862" xr:uid="{00000000-0005-0000-0000-000046030000}"/>
    <cellStyle name="SAPBEXfilterDrill" xfId="35" xr:uid="{00000000-0005-0000-0000-000047030000}"/>
    <cellStyle name="SAPBEXfilterDrill 10" xfId="863" xr:uid="{00000000-0005-0000-0000-000048030000}"/>
    <cellStyle name="SAPBEXfilterDrill 11" xfId="864" xr:uid="{00000000-0005-0000-0000-000049030000}"/>
    <cellStyle name="SAPBEXfilterDrill 12" xfId="865" xr:uid="{00000000-0005-0000-0000-00004A030000}"/>
    <cellStyle name="SAPBEXfilterDrill 2" xfId="866" xr:uid="{00000000-0005-0000-0000-00004B030000}"/>
    <cellStyle name="SAPBEXfilterDrill 2 10" xfId="867" xr:uid="{00000000-0005-0000-0000-00004C030000}"/>
    <cellStyle name="SAPBEXfilterDrill 2 2" xfId="868" xr:uid="{00000000-0005-0000-0000-00004D030000}"/>
    <cellStyle name="SAPBEXfilterDrill 2 3" xfId="869" xr:uid="{00000000-0005-0000-0000-00004E030000}"/>
    <cellStyle name="SAPBEXfilterDrill 2 4" xfId="870" xr:uid="{00000000-0005-0000-0000-00004F030000}"/>
    <cellStyle name="SAPBEXfilterDrill 2 5" xfId="871" xr:uid="{00000000-0005-0000-0000-000050030000}"/>
    <cellStyle name="SAPBEXfilterDrill 2 6" xfId="872" xr:uid="{00000000-0005-0000-0000-000051030000}"/>
    <cellStyle name="SAPBEXfilterDrill 2 7" xfId="873" xr:uid="{00000000-0005-0000-0000-000052030000}"/>
    <cellStyle name="SAPBEXfilterDrill 2 8" xfId="874" xr:uid="{00000000-0005-0000-0000-000053030000}"/>
    <cellStyle name="SAPBEXfilterDrill 2 9" xfId="875" xr:uid="{00000000-0005-0000-0000-000054030000}"/>
    <cellStyle name="SAPBEXfilterDrill 3" xfId="876" xr:uid="{00000000-0005-0000-0000-000055030000}"/>
    <cellStyle name="SAPBEXfilterDrill 4" xfId="877" xr:uid="{00000000-0005-0000-0000-000056030000}"/>
    <cellStyle name="SAPBEXfilterDrill 5" xfId="878" xr:uid="{00000000-0005-0000-0000-000057030000}"/>
    <cellStyle name="SAPBEXfilterDrill 6" xfId="879" xr:uid="{00000000-0005-0000-0000-000058030000}"/>
    <cellStyle name="SAPBEXfilterDrill 7" xfId="880" xr:uid="{00000000-0005-0000-0000-000059030000}"/>
    <cellStyle name="SAPBEXfilterDrill 8" xfId="881" xr:uid="{00000000-0005-0000-0000-00005A030000}"/>
    <cellStyle name="SAPBEXfilterDrill 9" xfId="882" xr:uid="{00000000-0005-0000-0000-00005B030000}"/>
    <cellStyle name="SAPBEXfilterItem" xfId="36" xr:uid="{00000000-0005-0000-0000-00005C030000}"/>
    <cellStyle name="SAPBEXfilterItem 10" xfId="883" xr:uid="{00000000-0005-0000-0000-00005D030000}"/>
    <cellStyle name="SAPBEXfilterItem 11" xfId="884" xr:uid="{00000000-0005-0000-0000-00005E030000}"/>
    <cellStyle name="SAPBEXfilterItem 12" xfId="885" xr:uid="{00000000-0005-0000-0000-00005F030000}"/>
    <cellStyle name="SAPBEXfilterItem 2" xfId="886" xr:uid="{00000000-0005-0000-0000-000060030000}"/>
    <cellStyle name="SAPBEXfilterItem 2 10" xfId="887" xr:uid="{00000000-0005-0000-0000-000061030000}"/>
    <cellStyle name="SAPBEXfilterItem 2 2" xfId="888" xr:uid="{00000000-0005-0000-0000-000062030000}"/>
    <cellStyle name="SAPBEXfilterItem 2 3" xfId="889" xr:uid="{00000000-0005-0000-0000-000063030000}"/>
    <cellStyle name="SAPBEXfilterItem 2 4" xfId="890" xr:uid="{00000000-0005-0000-0000-000064030000}"/>
    <cellStyle name="SAPBEXfilterItem 2 5" xfId="891" xr:uid="{00000000-0005-0000-0000-000065030000}"/>
    <cellStyle name="SAPBEXfilterItem 2 6" xfId="892" xr:uid="{00000000-0005-0000-0000-000066030000}"/>
    <cellStyle name="SAPBEXfilterItem 2 7" xfId="893" xr:uid="{00000000-0005-0000-0000-000067030000}"/>
    <cellStyle name="SAPBEXfilterItem 2 8" xfId="894" xr:uid="{00000000-0005-0000-0000-000068030000}"/>
    <cellStyle name="SAPBEXfilterItem 2 9" xfId="895" xr:uid="{00000000-0005-0000-0000-000069030000}"/>
    <cellStyle name="SAPBEXfilterItem 3" xfId="896" xr:uid="{00000000-0005-0000-0000-00006A030000}"/>
    <cellStyle name="SAPBEXfilterItem 4" xfId="897" xr:uid="{00000000-0005-0000-0000-00006B030000}"/>
    <cellStyle name="SAPBEXfilterItem 5" xfId="898" xr:uid="{00000000-0005-0000-0000-00006C030000}"/>
    <cellStyle name="SAPBEXfilterItem 6" xfId="899" xr:uid="{00000000-0005-0000-0000-00006D030000}"/>
    <cellStyle name="SAPBEXfilterItem 7" xfId="900" xr:uid="{00000000-0005-0000-0000-00006E030000}"/>
    <cellStyle name="SAPBEXfilterItem 8" xfId="901" xr:uid="{00000000-0005-0000-0000-00006F030000}"/>
    <cellStyle name="SAPBEXfilterItem 9" xfId="902" xr:uid="{00000000-0005-0000-0000-000070030000}"/>
    <cellStyle name="SAPBEXfilterText" xfId="37" xr:uid="{00000000-0005-0000-0000-000071030000}"/>
    <cellStyle name="SAPBEXfilterText 10" xfId="903" xr:uid="{00000000-0005-0000-0000-000072030000}"/>
    <cellStyle name="SAPBEXfilterText 11" xfId="904" xr:uid="{00000000-0005-0000-0000-000073030000}"/>
    <cellStyle name="SAPBEXfilterText 12" xfId="905" xr:uid="{00000000-0005-0000-0000-000074030000}"/>
    <cellStyle name="SAPBEXfilterText 2" xfId="906" xr:uid="{00000000-0005-0000-0000-000075030000}"/>
    <cellStyle name="SAPBEXfilterText 2 10" xfId="907" xr:uid="{00000000-0005-0000-0000-000076030000}"/>
    <cellStyle name="SAPBEXfilterText 2 2" xfId="908" xr:uid="{00000000-0005-0000-0000-000077030000}"/>
    <cellStyle name="SAPBEXfilterText 2 3" xfId="909" xr:uid="{00000000-0005-0000-0000-000078030000}"/>
    <cellStyle name="SAPBEXfilterText 2 4" xfId="910" xr:uid="{00000000-0005-0000-0000-000079030000}"/>
    <cellStyle name="SAPBEXfilterText 2 5" xfId="911" xr:uid="{00000000-0005-0000-0000-00007A030000}"/>
    <cellStyle name="SAPBEXfilterText 2 6" xfId="912" xr:uid="{00000000-0005-0000-0000-00007B030000}"/>
    <cellStyle name="SAPBEXfilterText 2 7" xfId="913" xr:uid="{00000000-0005-0000-0000-00007C030000}"/>
    <cellStyle name="SAPBEXfilterText 2 8" xfId="914" xr:uid="{00000000-0005-0000-0000-00007D030000}"/>
    <cellStyle name="SAPBEXfilterText 2 9" xfId="915" xr:uid="{00000000-0005-0000-0000-00007E030000}"/>
    <cellStyle name="SAPBEXfilterText 3" xfId="916" xr:uid="{00000000-0005-0000-0000-00007F030000}"/>
    <cellStyle name="SAPBEXfilterText 4" xfId="917" xr:uid="{00000000-0005-0000-0000-000080030000}"/>
    <cellStyle name="SAPBEXfilterText 5" xfId="918" xr:uid="{00000000-0005-0000-0000-000081030000}"/>
    <cellStyle name="SAPBEXfilterText 6" xfId="919" xr:uid="{00000000-0005-0000-0000-000082030000}"/>
    <cellStyle name="SAPBEXfilterText 7" xfId="920" xr:uid="{00000000-0005-0000-0000-000083030000}"/>
    <cellStyle name="SAPBEXfilterText 8" xfId="921" xr:uid="{00000000-0005-0000-0000-000084030000}"/>
    <cellStyle name="SAPBEXfilterText 9" xfId="922" xr:uid="{00000000-0005-0000-0000-000085030000}"/>
    <cellStyle name="SAPBEXformats" xfId="38" xr:uid="{00000000-0005-0000-0000-000086030000}"/>
    <cellStyle name="SAPBEXformats 10" xfId="923" xr:uid="{00000000-0005-0000-0000-000087030000}"/>
    <cellStyle name="SAPBEXformats 11" xfId="924" xr:uid="{00000000-0005-0000-0000-000088030000}"/>
    <cellStyle name="SAPBEXformats 12" xfId="925" xr:uid="{00000000-0005-0000-0000-000089030000}"/>
    <cellStyle name="SAPBEXformats 2" xfId="926" xr:uid="{00000000-0005-0000-0000-00008A030000}"/>
    <cellStyle name="SAPBEXformats 2 10" xfId="927" xr:uid="{00000000-0005-0000-0000-00008B030000}"/>
    <cellStyle name="SAPBEXformats 2 2" xfId="928" xr:uid="{00000000-0005-0000-0000-00008C030000}"/>
    <cellStyle name="SAPBEXformats 2 3" xfId="929" xr:uid="{00000000-0005-0000-0000-00008D030000}"/>
    <cellStyle name="SAPBEXformats 2 4" xfId="930" xr:uid="{00000000-0005-0000-0000-00008E030000}"/>
    <cellStyle name="SAPBEXformats 2 5" xfId="931" xr:uid="{00000000-0005-0000-0000-00008F030000}"/>
    <cellStyle name="SAPBEXformats 2 6" xfId="932" xr:uid="{00000000-0005-0000-0000-000090030000}"/>
    <cellStyle name="SAPBEXformats 2 7" xfId="933" xr:uid="{00000000-0005-0000-0000-000091030000}"/>
    <cellStyle name="SAPBEXformats 2 8" xfId="934" xr:uid="{00000000-0005-0000-0000-000092030000}"/>
    <cellStyle name="SAPBEXformats 2 9" xfId="935" xr:uid="{00000000-0005-0000-0000-000093030000}"/>
    <cellStyle name="SAPBEXformats 3" xfId="936" xr:uid="{00000000-0005-0000-0000-000094030000}"/>
    <cellStyle name="SAPBEXformats 4" xfId="937" xr:uid="{00000000-0005-0000-0000-000095030000}"/>
    <cellStyle name="SAPBEXformats 5" xfId="938" xr:uid="{00000000-0005-0000-0000-000096030000}"/>
    <cellStyle name="SAPBEXformats 6" xfId="939" xr:uid="{00000000-0005-0000-0000-000097030000}"/>
    <cellStyle name="SAPBEXformats 7" xfId="940" xr:uid="{00000000-0005-0000-0000-000098030000}"/>
    <cellStyle name="SAPBEXformats 8" xfId="941" xr:uid="{00000000-0005-0000-0000-000099030000}"/>
    <cellStyle name="SAPBEXformats 9" xfId="942" xr:uid="{00000000-0005-0000-0000-00009A030000}"/>
    <cellStyle name="SAPBEXheaderItem" xfId="39" xr:uid="{00000000-0005-0000-0000-00009B030000}"/>
    <cellStyle name="SAPBEXheaderItem 10" xfId="943" xr:uid="{00000000-0005-0000-0000-00009C030000}"/>
    <cellStyle name="SAPBEXheaderItem 11" xfId="944" xr:uid="{00000000-0005-0000-0000-00009D030000}"/>
    <cellStyle name="SAPBEXheaderItem 12" xfId="945" xr:uid="{00000000-0005-0000-0000-00009E030000}"/>
    <cellStyle name="SAPBEXheaderItem 2" xfId="946" xr:uid="{00000000-0005-0000-0000-00009F030000}"/>
    <cellStyle name="SAPBEXheaderItem 2 10" xfId="947" xr:uid="{00000000-0005-0000-0000-0000A0030000}"/>
    <cellStyle name="SAPBEXheaderItem 2 2" xfId="948" xr:uid="{00000000-0005-0000-0000-0000A1030000}"/>
    <cellStyle name="SAPBEXheaderItem 2 3" xfId="949" xr:uid="{00000000-0005-0000-0000-0000A2030000}"/>
    <cellStyle name="SAPBEXheaderItem 2 4" xfId="950" xr:uid="{00000000-0005-0000-0000-0000A3030000}"/>
    <cellStyle name="SAPBEXheaderItem 2 5" xfId="951" xr:uid="{00000000-0005-0000-0000-0000A4030000}"/>
    <cellStyle name="SAPBEXheaderItem 2 6" xfId="952" xr:uid="{00000000-0005-0000-0000-0000A5030000}"/>
    <cellStyle name="SAPBEXheaderItem 2 7" xfId="953" xr:uid="{00000000-0005-0000-0000-0000A6030000}"/>
    <cellStyle name="SAPBEXheaderItem 2 8" xfId="954" xr:uid="{00000000-0005-0000-0000-0000A7030000}"/>
    <cellStyle name="SAPBEXheaderItem 2 9" xfId="955" xr:uid="{00000000-0005-0000-0000-0000A8030000}"/>
    <cellStyle name="SAPBEXheaderItem 3" xfId="956" xr:uid="{00000000-0005-0000-0000-0000A9030000}"/>
    <cellStyle name="SAPBEXheaderItem 4" xfId="957" xr:uid="{00000000-0005-0000-0000-0000AA030000}"/>
    <cellStyle name="SAPBEXheaderItem 5" xfId="958" xr:uid="{00000000-0005-0000-0000-0000AB030000}"/>
    <cellStyle name="SAPBEXheaderItem 6" xfId="959" xr:uid="{00000000-0005-0000-0000-0000AC030000}"/>
    <cellStyle name="SAPBEXheaderItem 7" xfId="960" xr:uid="{00000000-0005-0000-0000-0000AD030000}"/>
    <cellStyle name="SAPBEXheaderItem 8" xfId="961" xr:uid="{00000000-0005-0000-0000-0000AE030000}"/>
    <cellStyle name="SAPBEXheaderItem 9" xfId="962" xr:uid="{00000000-0005-0000-0000-0000AF030000}"/>
    <cellStyle name="SAPBEXheaderText" xfId="40" xr:uid="{00000000-0005-0000-0000-0000B0030000}"/>
    <cellStyle name="SAPBEXheaderText 10" xfId="963" xr:uid="{00000000-0005-0000-0000-0000B1030000}"/>
    <cellStyle name="SAPBEXheaderText 11" xfId="964" xr:uid="{00000000-0005-0000-0000-0000B2030000}"/>
    <cellStyle name="SAPBEXheaderText 12" xfId="965" xr:uid="{00000000-0005-0000-0000-0000B3030000}"/>
    <cellStyle name="SAPBEXheaderText 2" xfId="966" xr:uid="{00000000-0005-0000-0000-0000B4030000}"/>
    <cellStyle name="SAPBEXheaderText 2 10" xfId="967" xr:uid="{00000000-0005-0000-0000-0000B5030000}"/>
    <cellStyle name="SAPBEXheaderText 2 2" xfId="968" xr:uid="{00000000-0005-0000-0000-0000B6030000}"/>
    <cellStyle name="SAPBEXheaderText 2 3" xfId="969" xr:uid="{00000000-0005-0000-0000-0000B7030000}"/>
    <cellStyle name="SAPBEXheaderText 2 4" xfId="970" xr:uid="{00000000-0005-0000-0000-0000B8030000}"/>
    <cellStyle name="SAPBEXheaderText 2 5" xfId="971" xr:uid="{00000000-0005-0000-0000-0000B9030000}"/>
    <cellStyle name="SAPBEXheaderText 2 6" xfId="972" xr:uid="{00000000-0005-0000-0000-0000BA030000}"/>
    <cellStyle name="SAPBEXheaderText 2 7" xfId="973" xr:uid="{00000000-0005-0000-0000-0000BB030000}"/>
    <cellStyle name="SAPBEXheaderText 2 8" xfId="974" xr:uid="{00000000-0005-0000-0000-0000BC030000}"/>
    <cellStyle name="SAPBEXheaderText 2 9" xfId="975" xr:uid="{00000000-0005-0000-0000-0000BD030000}"/>
    <cellStyle name="SAPBEXheaderText 3" xfId="976" xr:uid="{00000000-0005-0000-0000-0000BE030000}"/>
    <cellStyle name="SAPBEXheaderText 4" xfId="977" xr:uid="{00000000-0005-0000-0000-0000BF030000}"/>
    <cellStyle name="SAPBEXheaderText 5" xfId="978" xr:uid="{00000000-0005-0000-0000-0000C0030000}"/>
    <cellStyle name="SAPBEXheaderText 6" xfId="979" xr:uid="{00000000-0005-0000-0000-0000C1030000}"/>
    <cellStyle name="SAPBEXheaderText 7" xfId="980" xr:uid="{00000000-0005-0000-0000-0000C2030000}"/>
    <cellStyle name="SAPBEXheaderText 8" xfId="981" xr:uid="{00000000-0005-0000-0000-0000C3030000}"/>
    <cellStyle name="SAPBEXheaderText 9" xfId="982" xr:uid="{00000000-0005-0000-0000-0000C4030000}"/>
    <cellStyle name="SAPBEXHLevel0" xfId="41" xr:uid="{00000000-0005-0000-0000-0000C5030000}"/>
    <cellStyle name="SAPBEXHLevel0 10" xfId="983" xr:uid="{00000000-0005-0000-0000-0000C6030000}"/>
    <cellStyle name="SAPBEXHLevel0 11" xfId="984" xr:uid="{00000000-0005-0000-0000-0000C7030000}"/>
    <cellStyle name="SAPBEXHLevel0 12" xfId="985" xr:uid="{00000000-0005-0000-0000-0000C8030000}"/>
    <cellStyle name="SAPBEXHLevel0 2" xfId="986" xr:uid="{00000000-0005-0000-0000-0000C9030000}"/>
    <cellStyle name="SAPBEXHLevel0 2 10" xfId="987" xr:uid="{00000000-0005-0000-0000-0000CA030000}"/>
    <cellStyle name="SAPBEXHLevel0 2 11" xfId="988" xr:uid="{00000000-0005-0000-0000-0000CB030000}"/>
    <cellStyle name="SAPBEXHLevel0 2 2" xfId="989" xr:uid="{00000000-0005-0000-0000-0000CC030000}"/>
    <cellStyle name="SAPBEXHLevel0 2 3" xfId="990" xr:uid="{00000000-0005-0000-0000-0000CD030000}"/>
    <cellStyle name="SAPBEXHLevel0 2 4" xfId="991" xr:uid="{00000000-0005-0000-0000-0000CE030000}"/>
    <cellStyle name="SAPBEXHLevel0 2 5" xfId="992" xr:uid="{00000000-0005-0000-0000-0000CF030000}"/>
    <cellStyle name="SAPBEXHLevel0 2 6" xfId="993" xr:uid="{00000000-0005-0000-0000-0000D0030000}"/>
    <cellStyle name="SAPBEXHLevel0 2 7" xfId="994" xr:uid="{00000000-0005-0000-0000-0000D1030000}"/>
    <cellStyle name="SAPBEXHLevel0 2 8" xfId="995" xr:uid="{00000000-0005-0000-0000-0000D2030000}"/>
    <cellStyle name="SAPBEXHLevel0 2 9" xfId="996" xr:uid="{00000000-0005-0000-0000-0000D3030000}"/>
    <cellStyle name="SAPBEXHLevel0 3" xfId="997" xr:uid="{00000000-0005-0000-0000-0000D4030000}"/>
    <cellStyle name="SAPBEXHLevel0 4" xfId="998" xr:uid="{00000000-0005-0000-0000-0000D5030000}"/>
    <cellStyle name="SAPBEXHLevel0 5" xfId="999" xr:uid="{00000000-0005-0000-0000-0000D6030000}"/>
    <cellStyle name="SAPBEXHLevel0 6" xfId="1000" xr:uid="{00000000-0005-0000-0000-0000D7030000}"/>
    <cellStyle name="SAPBEXHLevel0 7" xfId="1001" xr:uid="{00000000-0005-0000-0000-0000D8030000}"/>
    <cellStyle name="SAPBEXHLevel0 8" xfId="1002" xr:uid="{00000000-0005-0000-0000-0000D9030000}"/>
    <cellStyle name="SAPBEXHLevel0 9" xfId="1003" xr:uid="{00000000-0005-0000-0000-0000DA030000}"/>
    <cellStyle name="SAPBEXHLevel0X" xfId="42" xr:uid="{00000000-0005-0000-0000-0000DB030000}"/>
    <cellStyle name="SAPBEXHLevel0X 10" xfId="1004" xr:uid="{00000000-0005-0000-0000-0000DC030000}"/>
    <cellStyle name="SAPBEXHLevel0X 11" xfId="1005" xr:uid="{00000000-0005-0000-0000-0000DD030000}"/>
    <cellStyle name="SAPBEXHLevel0X 12" xfId="1006" xr:uid="{00000000-0005-0000-0000-0000DE030000}"/>
    <cellStyle name="SAPBEXHLevel0X 2" xfId="1007" xr:uid="{00000000-0005-0000-0000-0000DF030000}"/>
    <cellStyle name="SAPBEXHLevel0X 2 10" xfId="1008" xr:uid="{00000000-0005-0000-0000-0000E0030000}"/>
    <cellStyle name="SAPBEXHLevel0X 2 2" xfId="1009" xr:uid="{00000000-0005-0000-0000-0000E1030000}"/>
    <cellStyle name="SAPBEXHLevel0X 2 3" xfId="1010" xr:uid="{00000000-0005-0000-0000-0000E2030000}"/>
    <cellStyle name="SAPBEXHLevel0X 2 4" xfId="1011" xr:uid="{00000000-0005-0000-0000-0000E3030000}"/>
    <cellStyle name="SAPBEXHLevel0X 2 5" xfId="1012" xr:uid="{00000000-0005-0000-0000-0000E4030000}"/>
    <cellStyle name="SAPBEXHLevel0X 2 6" xfId="1013" xr:uid="{00000000-0005-0000-0000-0000E5030000}"/>
    <cellStyle name="SAPBEXHLevel0X 2 7" xfId="1014" xr:uid="{00000000-0005-0000-0000-0000E6030000}"/>
    <cellStyle name="SAPBEXHLevel0X 2 8" xfId="1015" xr:uid="{00000000-0005-0000-0000-0000E7030000}"/>
    <cellStyle name="SAPBEXHLevel0X 2 9" xfId="1016" xr:uid="{00000000-0005-0000-0000-0000E8030000}"/>
    <cellStyle name="SAPBEXHLevel0X 3" xfId="1017" xr:uid="{00000000-0005-0000-0000-0000E9030000}"/>
    <cellStyle name="SAPBEXHLevel0X 4" xfId="1018" xr:uid="{00000000-0005-0000-0000-0000EA030000}"/>
    <cellStyle name="SAPBEXHLevel0X 5" xfId="1019" xr:uid="{00000000-0005-0000-0000-0000EB030000}"/>
    <cellStyle name="SAPBEXHLevel0X 6" xfId="1020" xr:uid="{00000000-0005-0000-0000-0000EC030000}"/>
    <cellStyle name="SAPBEXHLevel0X 7" xfId="1021" xr:uid="{00000000-0005-0000-0000-0000ED030000}"/>
    <cellStyle name="SAPBEXHLevel0X 8" xfId="1022" xr:uid="{00000000-0005-0000-0000-0000EE030000}"/>
    <cellStyle name="SAPBEXHLevel0X 9" xfId="1023" xr:uid="{00000000-0005-0000-0000-0000EF030000}"/>
    <cellStyle name="SAPBEXHLevel1" xfId="43" xr:uid="{00000000-0005-0000-0000-0000F0030000}"/>
    <cellStyle name="SAPBEXHLevel1 10" xfId="1024" xr:uid="{00000000-0005-0000-0000-0000F1030000}"/>
    <cellStyle name="SAPBEXHLevel1 11" xfId="1025" xr:uid="{00000000-0005-0000-0000-0000F2030000}"/>
    <cellStyle name="SAPBEXHLevel1 12" xfId="1026" xr:uid="{00000000-0005-0000-0000-0000F3030000}"/>
    <cellStyle name="SAPBEXHLevel1 2" xfId="1027" xr:uid="{00000000-0005-0000-0000-0000F4030000}"/>
    <cellStyle name="SAPBEXHLevel1 2 10" xfId="1028" xr:uid="{00000000-0005-0000-0000-0000F5030000}"/>
    <cellStyle name="SAPBEXHLevel1 2 11" xfId="1029" xr:uid="{00000000-0005-0000-0000-0000F6030000}"/>
    <cellStyle name="SAPBEXHLevel1 2 2" xfId="1030" xr:uid="{00000000-0005-0000-0000-0000F7030000}"/>
    <cellStyle name="SAPBEXHLevel1 2 3" xfId="1031" xr:uid="{00000000-0005-0000-0000-0000F8030000}"/>
    <cellStyle name="SAPBEXHLevel1 2 4" xfId="1032" xr:uid="{00000000-0005-0000-0000-0000F9030000}"/>
    <cellStyle name="SAPBEXHLevel1 2 5" xfId="1033" xr:uid="{00000000-0005-0000-0000-0000FA030000}"/>
    <cellStyle name="SAPBEXHLevel1 2 6" xfId="1034" xr:uid="{00000000-0005-0000-0000-0000FB030000}"/>
    <cellStyle name="SAPBEXHLevel1 2 7" xfId="1035" xr:uid="{00000000-0005-0000-0000-0000FC030000}"/>
    <cellStyle name="SAPBEXHLevel1 2 8" xfId="1036" xr:uid="{00000000-0005-0000-0000-0000FD030000}"/>
    <cellStyle name="SAPBEXHLevel1 2 9" xfId="1037" xr:uid="{00000000-0005-0000-0000-0000FE030000}"/>
    <cellStyle name="SAPBEXHLevel1 3" xfId="1038" xr:uid="{00000000-0005-0000-0000-0000FF030000}"/>
    <cellStyle name="SAPBEXHLevel1 4" xfId="1039" xr:uid="{00000000-0005-0000-0000-000000040000}"/>
    <cellStyle name="SAPBEXHLevel1 5" xfId="1040" xr:uid="{00000000-0005-0000-0000-000001040000}"/>
    <cellStyle name="SAPBEXHLevel1 6" xfId="1041" xr:uid="{00000000-0005-0000-0000-000002040000}"/>
    <cellStyle name="SAPBEXHLevel1 7" xfId="1042" xr:uid="{00000000-0005-0000-0000-000003040000}"/>
    <cellStyle name="SAPBEXHLevel1 8" xfId="1043" xr:uid="{00000000-0005-0000-0000-000004040000}"/>
    <cellStyle name="SAPBEXHLevel1 9" xfId="1044" xr:uid="{00000000-0005-0000-0000-000005040000}"/>
    <cellStyle name="SAPBEXHLevel1X" xfId="44" xr:uid="{00000000-0005-0000-0000-000006040000}"/>
    <cellStyle name="SAPBEXHLevel1X 10" xfId="1045" xr:uid="{00000000-0005-0000-0000-000007040000}"/>
    <cellStyle name="SAPBEXHLevel1X 11" xfId="1046" xr:uid="{00000000-0005-0000-0000-000008040000}"/>
    <cellStyle name="SAPBEXHLevel1X 12" xfId="1047" xr:uid="{00000000-0005-0000-0000-000009040000}"/>
    <cellStyle name="SAPBEXHLevel1X 2" xfId="1048" xr:uid="{00000000-0005-0000-0000-00000A040000}"/>
    <cellStyle name="SAPBEXHLevel1X 2 10" xfId="1049" xr:uid="{00000000-0005-0000-0000-00000B040000}"/>
    <cellStyle name="SAPBEXHLevel1X 2 2" xfId="1050" xr:uid="{00000000-0005-0000-0000-00000C040000}"/>
    <cellStyle name="SAPBEXHLevel1X 2 3" xfId="1051" xr:uid="{00000000-0005-0000-0000-00000D040000}"/>
    <cellStyle name="SAPBEXHLevel1X 2 4" xfId="1052" xr:uid="{00000000-0005-0000-0000-00000E040000}"/>
    <cellStyle name="SAPBEXHLevel1X 2 5" xfId="1053" xr:uid="{00000000-0005-0000-0000-00000F040000}"/>
    <cellStyle name="SAPBEXHLevel1X 2 6" xfId="1054" xr:uid="{00000000-0005-0000-0000-000010040000}"/>
    <cellStyle name="SAPBEXHLevel1X 2 7" xfId="1055" xr:uid="{00000000-0005-0000-0000-000011040000}"/>
    <cellStyle name="SAPBEXHLevel1X 2 8" xfId="1056" xr:uid="{00000000-0005-0000-0000-000012040000}"/>
    <cellStyle name="SAPBEXHLevel1X 2 9" xfId="1057" xr:uid="{00000000-0005-0000-0000-000013040000}"/>
    <cellStyle name="SAPBEXHLevel1X 3" xfId="1058" xr:uid="{00000000-0005-0000-0000-000014040000}"/>
    <cellStyle name="SAPBEXHLevel1X 4" xfId="1059" xr:uid="{00000000-0005-0000-0000-000015040000}"/>
    <cellStyle name="SAPBEXHLevel1X 5" xfId="1060" xr:uid="{00000000-0005-0000-0000-000016040000}"/>
    <cellStyle name="SAPBEXHLevel1X 6" xfId="1061" xr:uid="{00000000-0005-0000-0000-000017040000}"/>
    <cellStyle name="SAPBEXHLevel1X 7" xfId="1062" xr:uid="{00000000-0005-0000-0000-000018040000}"/>
    <cellStyle name="SAPBEXHLevel1X 8" xfId="1063" xr:uid="{00000000-0005-0000-0000-000019040000}"/>
    <cellStyle name="SAPBEXHLevel1X 9" xfId="1064" xr:uid="{00000000-0005-0000-0000-00001A040000}"/>
    <cellStyle name="SAPBEXHLevel2" xfId="45" xr:uid="{00000000-0005-0000-0000-00001B040000}"/>
    <cellStyle name="SAPBEXHLevel2 10" xfId="1065" xr:uid="{00000000-0005-0000-0000-00001C040000}"/>
    <cellStyle name="SAPBEXHLevel2 11" xfId="1066" xr:uid="{00000000-0005-0000-0000-00001D040000}"/>
    <cellStyle name="SAPBEXHLevel2 12" xfId="1067" xr:uid="{00000000-0005-0000-0000-00001E040000}"/>
    <cellStyle name="SAPBEXHLevel2 2" xfId="1068" xr:uid="{00000000-0005-0000-0000-00001F040000}"/>
    <cellStyle name="SAPBEXHLevel2 2 10" xfId="1069" xr:uid="{00000000-0005-0000-0000-000020040000}"/>
    <cellStyle name="SAPBEXHLevel2 2 2" xfId="1070" xr:uid="{00000000-0005-0000-0000-000021040000}"/>
    <cellStyle name="SAPBEXHLevel2 2 3" xfId="1071" xr:uid="{00000000-0005-0000-0000-000022040000}"/>
    <cellStyle name="SAPBEXHLevel2 2 4" xfId="1072" xr:uid="{00000000-0005-0000-0000-000023040000}"/>
    <cellStyle name="SAPBEXHLevel2 2 5" xfId="1073" xr:uid="{00000000-0005-0000-0000-000024040000}"/>
    <cellStyle name="SAPBEXHLevel2 2 6" xfId="1074" xr:uid="{00000000-0005-0000-0000-000025040000}"/>
    <cellStyle name="SAPBEXHLevel2 2 7" xfId="1075" xr:uid="{00000000-0005-0000-0000-000026040000}"/>
    <cellStyle name="SAPBEXHLevel2 2 8" xfId="1076" xr:uid="{00000000-0005-0000-0000-000027040000}"/>
    <cellStyle name="SAPBEXHLevel2 2 9" xfId="1077" xr:uid="{00000000-0005-0000-0000-000028040000}"/>
    <cellStyle name="SAPBEXHLevel2 3" xfId="1078" xr:uid="{00000000-0005-0000-0000-000029040000}"/>
    <cellStyle name="SAPBEXHLevel2 4" xfId="1079" xr:uid="{00000000-0005-0000-0000-00002A040000}"/>
    <cellStyle name="SAPBEXHLevel2 5" xfId="1080" xr:uid="{00000000-0005-0000-0000-00002B040000}"/>
    <cellStyle name="SAPBEXHLevel2 6" xfId="1081" xr:uid="{00000000-0005-0000-0000-00002C040000}"/>
    <cellStyle name="SAPBEXHLevel2 7" xfId="1082" xr:uid="{00000000-0005-0000-0000-00002D040000}"/>
    <cellStyle name="SAPBEXHLevel2 8" xfId="1083" xr:uid="{00000000-0005-0000-0000-00002E040000}"/>
    <cellStyle name="SAPBEXHLevel2 9" xfId="1084" xr:uid="{00000000-0005-0000-0000-00002F040000}"/>
    <cellStyle name="SAPBEXHLevel2X" xfId="46" xr:uid="{00000000-0005-0000-0000-000030040000}"/>
    <cellStyle name="SAPBEXHLevel2X 10" xfId="1085" xr:uid="{00000000-0005-0000-0000-000031040000}"/>
    <cellStyle name="SAPBEXHLevel2X 11" xfId="1086" xr:uid="{00000000-0005-0000-0000-000032040000}"/>
    <cellStyle name="SAPBEXHLevel2X 12" xfId="1087" xr:uid="{00000000-0005-0000-0000-000033040000}"/>
    <cellStyle name="SAPBEXHLevel2X 2" xfId="1088" xr:uid="{00000000-0005-0000-0000-000034040000}"/>
    <cellStyle name="SAPBEXHLevel2X 2 10" xfId="1089" xr:uid="{00000000-0005-0000-0000-000035040000}"/>
    <cellStyle name="SAPBEXHLevel2X 2 2" xfId="1090" xr:uid="{00000000-0005-0000-0000-000036040000}"/>
    <cellStyle name="SAPBEXHLevel2X 2 3" xfId="1091" xr:uid="{00000000-0005-0000-0000-000037040000}"/>
    <cellStyle name="SAPBEXHLevel2X 2 4" xfId="1092" xr:uid="{00000000-0005-0000-0000-000038040000}"/>
    <cellStyle name="SAPBEXHLevel2X 2 5" xfId="1093" xr:uid="{00000000-0005-0000-0000-000039040000}"/>
    <cellStyle name="SAPBEXHLevel2X 2 6" xfId="1094" xr:uid="{00000000-0005-0000-0000-00003A040000}"/>
    <cellStyle name="SAPBEXHLevel2X 2 7" xfId="1095" xr:uid="{00000000-0005-0000-0000-00003B040000}"/>
    <cellStyle name="SAPBEXHLevel2X 2 8" xfId="1096" xr:uid="{00000000-0005-0000-0000-00003C040000}"/>
    <cellStyle name="SAPBEXHLevel2X 2 9" xfId="1097" xr:uid="{00000000-0005-0000-0000-00003D040000}"/>
    <cellStyle name="SAPBEXHLevel2X 3" xfId="1098" xr:uid="{00000000-0005-0000-0000-00003E040000}"/>
    <cellStyle name="SAPBEXHLevel2X 4" xfId="1099" xr:uid="{00000000-0005-0000-0000-00003F040000}"/>
    <cellStyle name="SAPBEXHLevel2X 5" xfId="1100" xr:uid="{00000000-0005-0000-0000-000040040000}"/>
    <cellStyle name="SAPBEXHLevel2X 6" xfId="1101" xr:uid="{00000000-0005-0000-0000-000041040000}"/>
    <cellStyle name="SAPBEXHLevel2X 7" xfId="1102" xr:uid="{00000000-0005-0000-0000-000042040000}"/>
    <cellStyle name="SAPBEXHLevel2X 8" xfId="1103" xr:uid="{00000000-0005-0000-0000-000043040000}"/>
    <cellStyle name="SAPBEXHLevel2X 9" xfId="1104" xr:uid="{00000000-0005-0000-0000-000044040000}"/>
    <cellStyle name="SAPBEXHLevel3" xfId="47" xr:uid="{00000000-0005-0000-0000-000045040000}"/>
    <cellStyle name="SAPBEXHLevel3 10" xfId="1105" xr:uid="{00000000-0005-0000-0000-000046040000}"/>
    <cellStyle name="SAPBEXHLevel3 11" xfId="1106" xr:uid="{00000000-0005-0000-0000-000047040000}"/>
    <cellStyle name="SAPBEXHLevel3 12" xfId="1107" xr:uid="{00000000-0005-0000-0000-000048040000}"/>
    <cellStyle name="SAPBEXHLevel3 2" xfId="1108" xr:uid="{00000000-0005-0000-0000-000049040000}"/>
    <cellStyle name="SAPBEXHLevel3 2 10" xfId="1109" xr:uid="{00000000-0005-0000-0000-00004A040000}"/>
    <cellStyle name="SAPBEXHLevel3 2 2" xfId="1110" xr:uid="{00000000-0005-0000-0000-00004B040000}"/>
    <cellStyle name="SAPBEXHLevel3 2 3" xfId="1111" xr:uid="{00000000-0005-0000-0000-00004C040000}"/>
    <cellStyle name="SAPBEXHLevel3 2 4" xfId="1112" xr:uid="{00000000-0005-0000-0000-00004D040000}"/>
    <cellStyle name="SAPBEXHLevel3 2 5" xfId="1113" xr:uid="{00000000-0005-0000-0000-00004E040000}"/>
    <cellStyle name="SAPBEXHLevel3 2 6" xfId="1114" xr:uid="{00000000-0005-0000-0000-00004F040000}"/>
    <cellStyle name="SAPBEXHLevel3 2 7" xfId="1115" xr:uid="{00000000-0005-0000-0000-000050040000}"/>
    <cellStyle name="SAPBEXHLevel3 2 8" xfId="1116" xr:uid="{00000000-0005-0000-0000-000051040000}"/>
    <cellStyle name="SAPBEXHLevel3 2 9" xfId="1117" xr:uid="{00000000-0005-0000-0000-000052040000}"/>
    <cellStyle name="SAPBEXHLevel3 3" xfId="1118" xr:uid="{00000000-0005-0000-0000-000053040000}"/>
    <cellStyle name="SAPBEXHLevel3 4" xfId="1119" xr:uid="{00000000-0005-0000-0000-000054040000}"/>
    <cellStyle name="SAPBEXHLevel3 5" xfId="1120" xr:uid="{00000000-0005-0000-0000-000055040000}"/>
    <cellStyle name="SAPBEXHLevel3 6" xfId="1121" xr:uid="{00000000-0005-0000-0000-000056040000}"/>
    <cellStyle name="SAPBEXHLevel3 7" xfId="1122" xr:uid="{00000000-0005-0000-0000-000057040000}"/>
    <cellStyle name="SAPBEXHLevel3 8" xfId="1123" xr:uid="{00000000-0005-0000-0000-000058040000}"/>
    <cellStyle name="SAPBEXHLevel3 9" xfId="1124" xr:uid="{00000000-0005-0000-0000-000059040000}"/>
    <cellStyle name="SAPBEXHLevel3X" xfId="48" xr:uid="{00000000-0005-0000-0000-00005A040000}"/>
    <cellStyle name="SAPBEXHLevel3X 10" xfId="1125" xr:uid="{00000000-0005-0000-0000-00005B040000}"/>
    <cellStyle name="SAPBEXHLevel3X 11" xfId="1126" xr:uid="{00000000-0005-0000-0000-00005C040000}"/>
    <cellStyle name="SAPBEXHLevel3X 12" xfId="1127" xr:uid="{00000000-0005-0000-0000-00005D040000}"/>
    <cellStyle name="SAPBEXHLevel3X 2" xfId="1128" xr:uid="{00000000-0005-0000-0000-00005E040000}"/>
    <cellStyle name="SAPBEXHLevel3X 2 10" xfId="1129" xr:uid="{00000000-0005-0000-0000-00005F040000}"/>
    <cellStyle name="SAPBEXHLevel3X 2 2" xfId="1130" xr:uid="{00000000-0005-0000-0000-000060040000}"/>
    <cellStyle name="SAPBEXHLevel3X 2 3" xfId="1131" xr:uid="{00000000-0005-0000-0000-000061040000}"/>
    <cellStyle name="SAPBEXHLevel3X 2 4" xfId="1132" xr:uid="{00000000-0005-0000-0000-000062040000}"/>
    <cellStyle name="SAPBEXHLevel3X 2 5" xfId="1133" xr:uid="{00000000-0005-0000-0000-000063040000}"/>
    <cellStyle name="SAPBEXHLevel3X 2 6" xfId="1134" xr:uid="{00000000-0005-0000-0000-000064040000}"/>
    <cellStyle name="SAPBEXHLevel3X 2 7" xfId="1135" xr:uid="{00000000-0005-0000-0000-000065040000}"/>
    <cellStyle name="SAPBEXHLevel3X 2 8" xfId="1136" xr:uid="{00000000-0005-0000-0000-000066040000}"/>
    <cellStyle name="SAPBEXHLevel3X 2 9" xfId="1137" xr:uid="{00000000-0005-0000-0000-000067040000}"/>
    <cellStyle name="SAPBEXHLevel3X 3" xfId="1138" xr:uid="{00000000-0005-0000-0000-000068040000}"/>
    <cellStyle name="SAPBEXHLevel3X 4" xfId="1139" xr:uid="{00000000-0005-0000-0000-000069040000}"/>
    <cellStyle name="SAPBEXHLevel3X 5" xfId="1140" xr:uid="{00000000-0005-0000-0000-00006A040000}"/>
    <cellStyle name="SAPBEXHLevel3X 6" xfId="1141" xr:uid="{00000000-0005-0000-0000-00006B040000}"/>
    <cellStyle name="SAPBEXHLevel3X 7" xfId="1142" xr:uid="{00000000-0005-0000-0000-00006C040000}"/>
    <cellStyle name="SAPBEXHLevel3X 8" xfId="1143" xr:uid="{00000000-0005-0000-0000-00006D040000}"/>
    <cellStyle name="SAPBEXHLevel3X 9" xfId="1144" xr:uid="{00000000-0005-0000-0000-00006E040000}"/>
    <cellStyle name="SAPBEXchaText" xfId="10" xr:uid="{00000000-0005-0000-0000-00006F040000}"/>
    <cellStyle name="SAPBEXchaText 10" xfId="1145" xr:uid="{00000000-0005-0000-0000-000070040000}"/>
    <cellStyle name="SAPBEXchaText 11" xfId="1146" xr:uid="{00000000-0005-0000-0000-000071040000}"/>
    <cellStyle name="SAPBEXchaText 12" xfId="1147" xr:uid="{00000000-0005-0000-0000-000072040000}"/>
    <cellStyle name="SAPBEXchaText 2" xfId="1148" xr:uid="{00000000-0005-0000-0000-000073040000}"/>
    <cellStyle name="SAPBEXchaText 2 10" xfId="1149" xr:uid="{00000000-0005-0000-0000-000074040000}"/>
    <cellStyle name="SAPBEXchaText 2 11" xfId="1150" xr:uid="{00000000-0005-0000-0000-000075040000}"/>
    <cellStyle name="SAPBEXchaText 2 12" xfId="1151" xr:uid="{00000000-0005-0000-0000-000076040000}"/>
    <cellStyle name="SAPBEXchaText 2 2" xfId="1152" xr:uid="{00000000-0005-0000-0000-000077040000}"/>
    <cellStyle name="SAPBEXchaText 2 2 10" xfId="1153" xr:uid="{00000000-0005-0000-0000-000078040000}"/>
    <cellStyle name="SAPBEXchaText 2 2 2" xfId="1154" xr:uid="{00000000-0005-0000-0000-000079040000}"/>
    <cellStyle name="SAPBEXchaText 2 2 3" xfId="1155" xr:uid="{00000000-0005-0000-0000-00007A040000}"/>
    <cellStyle name="SAPBEXchaText 2 2 4" xfId="1156" xr:uid="{00000000-0005-0000-0000-00007B040000}"/>
    <cellStyle name="SAPBEXchaText 2 2 5" xfId="1157" xr:uid="{00000000-0005-0000-0000-00007C040000}"/>
    <cellStyle name="SAPBEXchaText 2 2 6" xfId="1158" xr:uid="{00000000-0005-0000-0000-00007D040000}"/>
    <cellStyle name="SAPBEXchaText 2 2 7" xfId="1159" xr:uid="{00000000-0005-0000-0000-00007E040000}"/>
    <cellStyle name="SAPBEXchaText 2 2 8" xfId="1160" xr:uid="{00000000-0005-0000-0000-00007F040000}"/>
    <cellStyle name="SAPBEXchaText 2 2 9" xfId="1161" xr:uid="{00000000-0005-0000-0000-000080040000}"/>
    <cellStyle name="SAPBEXchaText 2 3" xfId="1162" xr:uid="{00000000-0005-0000-0000-000081040000}"/>
    <cellStyle name="SAPBEXchaText 2 4" xfId="1163" xr:uid="{00000000-0005-0000-0000-000082040000}"/>
    <cellStyle name="SAPBEXchaText 2 5" xfId="1164" xr:uid="{00000000-0005-0000-0000-000083040000}"/>
    <cellStyle name="SAPBEXchaText 2 6" xfId="1165" xr:uid="{00000000-0005-0000-0000-000084040000}"/>
    <cellStyle name="SAPBEXchaText 2 7" xfId="1166" xr:uid="{00000000-0005-0000-0000-000085040000}"/>
    <cellStyle name="SAPBEXchaText 2 8" xfId="1167" xr:uid="{00000000-0005-0000-0000-000086040000}"/>
    <cellStyle name="SAPBEXchaText 2 9" xfId="1168" xr:uid="{00000000-0005-0000-0000-000087040000}"/>
    <cellStyle name="SAPBEXchaText 3" xfId="1169" xr:uid="{00000000-0005-0000-0000-000088040000}"/>
    <cellStyle name="SAPBEXchaText 3 10" xfId="1170" xr:uid="{00000000-0005-0000-0000-000089040000}"/>
    <cellStyle name="SAPBEXchaText 3 2" xfId="1171" xr:uid="{00000000-0005-0000-0000-00008A040000}"/>
    <cellStyle name="SAPBEXchaText 3 3" xfId="1172" xr:uid="{00000000-0005-0000-0000-00008B040000}"/>
    <cellStyle name="SAPBEXchaText 3 4" xfId="1173" xr:uid="{00000000-0005-0000-0000-00008C040000}"/>
    <cellStyle name="SAPBEXchaText 3 5" xfId="1174" xr:uid="{00000000-0005-0000-0000-00008D040000}"/>
    <cellStyle name="SAPBEXchaText 3 6" xfId="1175" xr:uid="{00000000-0005-0000-0000-00008E040000}"/>
    <cellStyle name="SAPBEXchaText 3 7" xfId="1176" xr:uid="{00000000-0005-0000-0000-00008F040000}"/>
    <cellStyle name="SAPBEXchaText 3 8" xfId="1177" xr:uid="{00000000-0005-0000-0000-000090040000}"/>
    <cellStyle name="SAPBEXchaText 3 9" xfId="1178" xr:uid="{00000000-0005-0000-0000-000091040000}"/>
    <cellStyle name="SAPBEXchaText 4" xfId="1179" xr:uid="{00000000-0005-0000-0000-000092040000}"/>
    <cellStyle name="SAPBEXchaText 5" xfId="1180" xr:uid="{00000000-0005-0000-0000-000093040000}"/>
    <cellStyle name="SAPBEXchaText 6" xfId="1181" xr:uid="{00000000-0005-0000-0000-000094040000}"/>
    <cellStyle name="SAPBEXchaText 7" xfId="1182" xr:uid="{00000000-0005-0000-0000-000095040000}"/>
    <cellStyle name="SAPBEXchaText 8" xfId="1183" xr:uid="{00000000-0005-0000-0000-000096040000}"/>
    <cellStyle name="SAPBEXchaText 9" xfId="1184" xr:uid="{00000000-0005-0000-0000-000097040000}"/>
    <cellStyle name="SAPBEXchaText_Výkaz 13-D3a _2011_jk" xfId="1185" xr:uid="{00000000-0005-0000-0000-000098040000}"/>
    <cellStyle name="SAPBEXinputData" xfId="1186" xr:uid="{00000000-0005-0000-0000-000099040000}"/>
    <cellStyle name="SAPBEXinputData 2" xfId="1187" xr:uid="{00000000-0005-0000-0000-00009A040000}"/>
    <cellStyle name="SAPBEXItemHeader" xfId="1188" xr:uid="{00000000-0005-0000-0000-00009B040000}"/>
    <cellStyle name="SAPBEXItemHeader 10" xfId="1189" xr:uid="{00000000-0005-0000-0000-00009C040000}"/>
    <cellStyle name="SAPBEXItemHeader 11" xfId="1190" xr:uid="{00000000-0005-0000-0000-00009D040000}"/>
    <cellStyle name="SAPBEXItemHeader 2" xfId="1191" xr:uid="{00000000-0005-0000-0000-00009E040000}"/>
    <cellStyle name="SAPBEXItemHeader 2 10" xfId="1192" xr:uid="{00000000-0005-0000-0000-00009F040000}"/>
    <cellStyle name="SAPBEXItemHeader 2 2" xfId="1193" xr:uid="{00000000-0005-0000-0000-0000A0040000}"/>
    <cellStyle name="SAPBEXItemHeader 2 3" xfId="1194" xr:uid="{00000000-0005-0000-0000-0000A1040000}"/>
    <cellStyle name="SAPBEXItemHeader 2 4" xfId="1195" xr:uid="{00000000-0005-0000-0000-0000A2040000}"/>
    <cellStyle name="SAPBEXItemHeader 2 5" xfId="1196" xr:uid="{00000000-0005-0000-0000-0000A3040000}"/>
    <cellStyle name="SAPBEXItemHeader 2 6" xfId="1197" xr:uid="{00000000-0005-0000-0000-0000A4040000}"/>
    <cellStyle name="SAPBEXItemHeader 2 7" xfId="1198" xr:uid="{00000000-0005-0000-0000-0000A5040000}"/>
    <cellStyle name="SAPBEXItemHeader 2 8" xfId="1199" xr:uid="{00000000-0005-0000-0000-0000A6040000}"/>
    <cellStyle name="SAPBEXItemHeader 2 9" xfId="1200" xr:uid="{00000000-0005-0000-0000-0000A7040000}"/>
    <cellStyle name="SAPBEXItemHeader 3" xfId="1201" xr:uid="{00000000-0005-0000-0000-0000A8040000}"/>
    <cellStyle name="SAPBEXItemHeader 4" xfId="1202" xr:uid="{00000000-0005-0000-0000-0000A9040000}"/>
    <cellStyle name="SAPBEXItemHeader 5" xfId="1203" xr:uid="{00000000-0005-0000-0000-0000AA040000}"/>
    <cellStyle name="SAPBEXItemHeader 6" xfId="1204" xr:uid="{00000000-0005-0000-0000-0000AB040000}"/>
    <cellStyle name="SAPBEXItemHeader 7" xfId="1205" xr:uid="{00000000-0005-0000-0000-0000AC040000}"/>
    <cellStyle name="SAPBEXItemHeader 8" xfId="1206" xr:uid="{00000000-0005-0000-0000-0000AD040000}"/>
    <cellStyle name="SAPBEXItemHeader 9" xfId="1207" xr:uid="{00000000-0005-0000-0000-0000AE040000}"/>
    <cellStyle name="SAPBEXresData" xfId="49" xr:uid="{00000000-0005-0000-0000-0000AF040000}"/>
    <cellStyle name="SAPBEXresData 10" xfId="1208" xr:uid="{00000000-0005-0000-0000-0000B0040000}"/>
    <cellStyle name="SAPBEXresData 11" xfId="1209" xr:uid="{00000000-0005-0000-0000-0000B1040000}"/>
    <cellStyle name="SAPBEXresData 12" xfId="1210" xr:uid="{00000000-0005-0000-0000-0000B2040000}"/>
    <cellStyle name="SAPBEXresData 2" xfId="1211" xr:uid="{00000000-0005-0000-0000-0000B3040000}"/>
    <cellStyle name="SAPBEXresData 2 10" xfId="1212" xr:uid="{00000000-0005-0000-0000-0000B4040000}"/>
    <cellStyle name="SAPBEXresData 2 2" xfId="1213" xr:uid="{00000000-0005-0000-0000-0000B5040000}"/>
    <cellStyle name="SAPBEXresData 2 3" xfId="1214" xr:uid="{00000000-0005-0000-0000-0000B6040000}"/>
    <cellStyle name="SAPBEXresData 2 4" xfId="1215" xr:uid="{00000000-0005-0000-0000-0000B7040000}"/>
    <cellStyle name="SAPBEXresData 2 5" xfId="1216" xr:uid="{00000000-0005-0000-0000-0000B8040000}"/>
    <cellStyle name="SAPBEXresData 2 6" xfId="1217" xr:uid="{00000000-0005-0000-0000-0000B9040000}"/>
    <cellStyle name="SAPBEXresData 2 7" xfId="1218" xr:uid="{00000000-0005-0000-0000-0000BA040000}"/>
    <cellStyle name="SAPBEXresData 2 8" xfId="1219" xr:uid="{00000000-0005-0000-0000-0000BB040000}"/>
    <cellStyle name="SAPBEXresData 2 9" xfId="1220" xr:uid="{00000000-0005-0000-0000-0000BC040000}"/>
    <cellStyle name="SAPBEXresData 3" xfId="1221" xr:uid="{00000000-0005-0000-0000-0000BD040000}"/>
    <cellStyle name="SAPBEXresData 4" xfId="1222" xr:uid="{00000000-0005-0000-0000-0000BE040000}"/>
    <cellStyle name="SAPBEXresData 5" xfId="1223" xr:uid="{00000000-0005-0000-0000-0000BF040000}"/>
    <cellStyle name="SAPBEXresData 6" xfId="1224" xr:uid="{00000000-0005-0000-0000-0000C0040000}"/>
    <cellStyle name="SAPBEXresData 7" xfId="1225" xr:uid="{00000000-0005-0000-0000-0000C1040000}"/>
    <cellStyle name="SAPBEXresData 8" xfId="1226" xr:uid="{00000000-0005-0000-0000-0000C2040000}"/>
    <cellStyle name="SAPBEXresData 9" xfId="1227" xr:uid="{00000000-0005-0000-0000-0000C3040000}"/>
    <cellStyle name="SAPBEXresDataEmph" xfId="50" xr:uid="{00000000-0005-0000-0000-0000C4040000}"/>
    <cellStyle name="SAPBEXresDataEmph 2" xfId="1228" xr:uid="{00000000-0005-0000-0000-0000C5040000}"/>
    <cellStyle name="SAPBEXresDataEmph 2 2" xfId="1229" xr:uid="{00000000-0005-0000-0000-0000C6040000}"/>
    <cellStyle name="SAPBEXresDataEmph 2 3" xfId="1230" xr:uid="{00000000-0005-0000-0000-0000C7040000}"/>
    <cellStyle name="SAPBEXresDataEmph 2 4" xfId="1231" xr:uid="{00000000-0005-0000-0000-0000C8040000}"/>
    <cellStyle name="SAPBEXresDataEmph 2 5" xfId="1232" xr:uid="{00000000-0005-0000-0000-0000C9040000}"/>
    <cellStyle name="SAPBEXresDataEmph 2 6" xfId="1233" xr:uid="{00000000-0005-0000-0000-0000CA040000}"/>
    <cellStyle name="SAPBEXresDataEmph 2 7" xfId="1234" xr:uid="{00000000-0005-0000-0000-0000CB040000}"/>
    <cellStyle name="SAPBEXresDataEmph 3" xfId="1235" xr:uid="{00000000-0005-0000-0000-0000CC040000}"/>
    <cellStyle name="SAPBEXresDataEmph 4" xfId="1236" xr:uid="{00000000-0005-0000-0000-0000CD040000}"/>
    <cellStyle name="SAPBEXresDataEmph 5" xfId="1237" xr:uid="{00000000-0005-0000-0000-0000CE040000}"/>
    <cellStyle name="SAPBEXresDataEmph 6" xfId="1238" xr:uid="{00000000-0005-0000-0000-0000CF040000}"/>
    <cellStyle name="SAPBEXresDataEmph 7" xfId="1239" xr:uid="{00000000-0005-0000-0000-0000D0040000}"/>
    <cellStyle name="SAPBEXresDataEmph 8" xfId="1240" xr:uid="{00000000-0005-0000-0000-0000D1040000}"/>
    <cellStyle name="SAPBEXresDataEmph 9" xfId="1241" xr:uid="{00000000-0005-0000-0000-0000D2040000}"/>
    <cellStyle name="SAPBEXresItem" xfId="51" xr:uid="{00000000-0005-0000-0000-0000D3040000}"/>
    <cellStyle name="SAPBEXresItem 10" xfId="1242" xr:uid="{00000000-0005-0000-0000-0000D4040000}"/>
    <cellStyle name="SAPBEXresItem 11" xfId="1243" xr:uid="{00000000-0005-0000-0000-0000D5040000}"/>
    <cellStyle name="SAPBEXresItem 12" xfId="1244" xr:uid="{00000000-0005-0000-0000-0000D6040000}"/>
    <cellStyle name="SAPBEXresItem 2" xfId="1245" xr:uid="{00000000-0005-0000-0000-0000D7040000}"/>
    <cellStyle name="SAPBEXresItem 2 10" xfId="1246" xr:uid="{00000000-0005-0000-0000-0000D8040000}"/>
    <cellStyle name="SAPBEXresItem 2 2" xfId="1247" xr:uid="{00000000-0005-0000-0000-0000D9040000}"/>
    <cellStyle name="SAPBEXresItem 2 3" xfId="1248" xr:uid="{00000000-0005-0000-0000-0000DA040000}"/>
    <cellStyle name="SAPBEXresItem 2 4" xfId="1249" xr:uid="{00000000-0005-0000-0000-0000DB040000}"/>
    <cellStyle name="SAPBEXresItem 2 5" xfId="1250" xr:uid="{00000000-0005-0000-0000-0000DC040000}"/>
    <cellStyle name="SAPBEXresItem 2 6" xfId="1251" xr:uid="{00000000-0005-0000-0000-0000DD040000}"/>
    <cellStyle name="SAPBEXresItem 2 7" xfId="1252" xr:uid="{00000000-0005-0000-0000-0000DE040000}"/>
    <cellStyle name="SAPBEXresItem 2 8" xfId="1253" xr:uid="{00000000-0005-0000-0000-0000DF040000}"/>
    <cellStyle name="SAPBEXresItem 2 9" xfId="1254" xr:uid="{00000000-0005-0000-0000-0000E0040000}"/>
    <cellStyle name="SAPBEXresItem 3" xfId="1255" xr:uid="{00000000-0005-0000-0000-0000E1040000}"/>
    <cellStyle name="SAPBEXresItem 4" xfId="1256" xr:uid="{00000000-0005-0000-0000-0000E2040000}"/>
    <cellStyle name="SAPBEXresItem 5" xfId="1257" xr:uid="{00000000-0005-0000-0000-0000E3040000}"/>
    <cellStyle name="SAPBEXresItem 6" xfId="1258" xr:uid="{00000000-0005-0000-0000-0000E4040000}"/>
    <cellStyle name="SAPBEXresItem 7" xfId="1259" xr:uid="{00000000-0005-0000-0000-0000E5040000}"/>
    <cellStyle name="SAPBEXresItem 8" xfId="1260" xr:uid="{00000000-0005-0000-0000-0000E6040000}"/>
    <cellStyle name="SAPBEXresItem 9" xfId="1261" xr:uid="{00000000-0005-0000-0000-0000E7040000}"/>
    <cellStyle name="SAPBEXresItemX" xfId="52" xr:uid="{00000000-0005-0000-0000-0000E8040000}"/>
    <cellStyle name="SAPBEXresItemX 10" xfId="1262" xr:uid="{00000000-0005-0000-0000-0000E9040000}"/>
    <cellStyle name="SAPBEXresItemX 11" xfId="1263" xr:uid="{00000000-0005-0000-0000-0000EA040000}"/>
    <cellStyle name="SAPBEXresItemX 12" xfId="1264" xr:uid="{00000000-0005-0000-0000-0000EB040000}"/>
    <cellStyle name="SAPBEXresItemX 2" xfId="1265" xr:uid="{00000000-0005-0000-0000-0000EC040000}"/>
    <cellStyle name="SAPBEXresItemX 2 10" xfId="1266" xr:uid="{00000000-0005-0000-0000-0000ED040000}"/>
    <cellStyle name="SAPBEXresItemX 2 2" xfId="1267" xr:uid="{00000000-0005-0000-0000-0000EE040000}"/>
    <cellStyle name="SAPBEXresItemX 2 3" xfId="1268" xr:uid="{00000000-0005-0000-0000-0000EF040000}"/>
    <cellStyle name="SAPBEXresItemX 2 4" xfId="1269" xr:uid="{00000000-0005-0000-0000-0000F0040000}"/>
    <cellStyle name="SAPBEXresItemX 2 5" xfId="1270" xr:uid="{00000000-0005-0000-0000-0000F1040000}"/>
    <cellStyle name="SAPBEXresItemX 2 6" xfId="1271" xr:uid="{00000000-0005-0000-0000-0000F2040000}"/>
    <cellStyle name="SAPBEXresItemX 2 7" xfId="1272" xr:uid="{00000000-0005-0000-0000-0000F3040000}"/>
    <cellStyle name="SAPBEXresItemX 2 8" xfId="1273" xr:uid="{00000000-0005-0000-0000-0000F4040000}"/>
    <cellStyle name="SAPBEXresItemX 2 9" xfId="1274" xr:uid="{00000000-0005-0000-0000-0000F5040000}"/>
    <cellStyle name="SAPBEXresItemX 3" xfId="1275" xr:uid="{00000000-0005-0000-0000-0000F6040000}"/>
    <cellStyle name="SAPBEXresItemX 4" xfId="1276" xr:uid="{00000000-0005-0000-0000-0000F7040000}"/>
    <cellStyle name="SAPBEXresItemX 5" xfId="1277" xr:uid="{00000000-0005-0000-0000-0000F8040000}"/>
    <cellStyle name="SAPBEXresItemX 6" xfId="1278" xr:uid="{00000000-0005-0000-0000-0000F9040000}"/>
    <cellStyle name="SAPBEXresItemX 7" xfId="1279" xr:uid="{00000000-0005-0000-0000-0000FA040000}"/>
    <cellStyle name="SAPBEXresItemX 8" xfId="1280" xr:uid="{00000000-0005-0000-0000-0000FB040000}"/>
    <cellStyle name="SAPBEXresItemX 9" xfId="1281" xr:uid="{00000000-0005-0000-0000-0000FC040000}"/>
    <cellStyle name="SAPBEXstdData" xfId="11" xr:uid="{00000000-0005-0000-0000-0000FD040000}"/>
    <cellStyle name="SAPBEXstdData 10" xfId="1282" xr:uid="{00000000-0005-0000-0000-0000FE040000}"/>
    <cellStyle name="SAPBEXstdData 11" xfId="1283" xr:uid="{00000000-0005-0000-0000-0000FF040000}"/>
    <cellStyle name="SAPBEXstdData 12" xfId="1284" xr:uid="{00000000-0005-0000-0000-000000050000}"/>
    <cellStyle name="SAPBEXstdData 2" xfId="1285" xr:uid="{00000000-0005-0000-0000-000001050000}"/>
    <cellStyle name="SAPBEXstdData 2 10" xfId="1286" xr:uid="{00000000-0005-0000-0000-000002050000}"/>
    <cellStyle name="SAPBEXstdData 2 11" xfId="1287" xr:uid="{00000000-0005-0000-0000-000003050000}"/>
    <cellStyle name="SAPBEXstdData 2 12" xfId="1288" xr:uid="{00000000-0005-0000-0000-000004050000}"/>
    <cellStyle name="SAPBEXstdData 2 2" xfId="1289" xr:uid="{00000000-0005-0000-0000-000005050000}"/>
    <cellStyle name="SAPBEXstdData 2 2 10" xfId="1290" xr:uid="{00000000-0005-0000-0000-000006050000}"/>
    <cellStyle name="SAPBEXstdData 2 2 2" xfId="1291" xr:uid="{00000000-0005-0000-0000-000007050000}"/>
    <cellStyle name="SAPBEXstdData 2 2 3" xfId="1292" xr:uid="{00000000-0005-0000-0000-000008050000}"/>
    <cellStyle name="SAPBEXstdData 2 2 4" xfId="1293" xr:uid="{00000000-0005-0000-0000-000009050000}"/>
    <cellStyle name="SAPBEXstdData 2 2 5" xfId="1294" xr:uid="{00000000-0005-0000-0000-00000A050000}"/>
    <cellStyle name="SAPBEXstdData 2 2 6" xfId="1295" xr:uid="{00000000-0005-0000-0000-00000B050000}"/>
    <cellStyle name="SAPBEXstdData 2 2 7" xfId="1296" xr:uid="{00000000-0005-0000-0000-00000C050000}"/>
    <cellStyle name="SAPBEXstdData 2 2 8" xfId="1297" xr:uid="{00000000-0005-0000-0000-00000D050000}"/>
    <cellStyle name="SAPBEXstdData 2 2 9" xfId="1298" xr:uid="{00000000-0005-0000-0000-00000E050000}"/>
    <cellStyle name="SAPBEXstdData 2 3" xfId="1299" xr:uid="{00000000-0005-0000-0000-00000F050000}"/>
    <cellStyle name="SAPBEXstdData 2 4" xfId="1300" xr:uid="{00000000-0005-0000-0000-000010050000}"/>
    <cellStyle name="SAPBEXstdData 2 5" xfId="1301" xr:uid="{00000000-0005-0000-0000-000011050000}"/>
    <cellStyle name="SAPBEXstdData 2 6" xfId="1302" xr:uid="{00000000-0005-0000-0000-000012050000}"/>
    <cellStyle name="SAPBEXstdData 2 7" xfId="1303" xr:uid="{00000000-0005-0000-0000-000013050000}"/>
    <cellStyle name="SAPBEXstdData 2 8" xfId="1304" xr:uid="{00000000-0005-0000-0000-000014050000}"/>
    <cellStyle name="SAPBEXstdData 2 9" xfId="1305" xr:uid="{00000000-0005-0000-0000-000015050000}"/>
    <cellStyle name="SAPBEXstdData 3" xfId="1306" xr:uid="{00000000-0005-0000-0000-000016050000}"/>
    <cellStyle name="SAPBEXstdData 3 10" xfId="1307" xr:uid="{00000000-0005-0000-0000-000017050000}"/>
    <cellStyle name="SAPBEXstdData 3 2" xfId="1308" xr:uid="{00000000-0005-0000-0000-000018050000}"/>
    <cellStyle name="SAPBEXstdData 3 3" xfId="1309" xr:uid="{00000000-0005-0000-0000-000019050000}"/>
    <cellStyle name="SAPBEXstdData 3 4" xfId="1310" xr:uid="{00000000-0005-0000-0000-00001A050000}"/>
    <cellStyle name="SAPBEXstdData 3 5" xfId="1311" xr:uid="{00000000-0005-0000-0000-00001B050000}"/>
    <cellStyle name="SAPBEXstdData 3 6" xfId="1312" xr:uid="{00000000-0005-0000-0000-00001C050000}"/>
    <cellStyle name="SAPBEXstdData 3 7" xfId="1313" xr:uid="{00000000-0005-0000-0000-00001D050000}"/>
    <cellStyle name="SAPBEXstdData 3 8" xfId="1314" xr:uid="{00000000-0005-0000-0000-00001E050000}"/>
    <cellStyle name="SAPBEXstdData 3 9" xfId="1315" xr:uid="{00000000-0005-0000-0000-00001F050000}"/>
    <cellStyle name="SAPBEXstdData 4" xfId="1316" xr:uid="{00000000-0005-0000-0000-000020050000}"/>
    <cellStyle name="SAPBEXstdData 5" xfId="1317" xr:uid="{00000000-0005-0000-0000-000021050000}"/>
    <cellStyle name="SAPBEXstdData 6" xfId="1318" xr:uid="{00000000-0005-0000-0000-000022050000}"/>
    <cellStyle name="SAPBEXstdData 7" xfId="1319" xr:uid="{00000000-0005-0000-0000-000023050000}"/>
    <cellStyle name="SAPBEXstdData 8" xfId="1320" xr:uid="{00000000-0005-0000-0000-000024050000}"/>
    <cellStyle name="SAPBEXstdData 9" xfId="1321" xr:uid="{00000000-0005-0000-0000-000025050000}"/>
    <cellStyle name="SAPBEXstdDataEmph" xfId="53" xr:uid="{00000000-0005-0000-0000-000026050000}"/>
    <cellStyle name="SAPBEXstdDataEmph 10" xfId="1322" xr:uid="{00000000-0005-0000-0000-000027050000}"/>
    <cellStyle name="SAPBEXstdDataEmph 11" xfId="1323" xr:uid="{00000000-0005-0000-0000-000028050000}"/>
    <cellStyle name="SAPBEXstdDataEmph 12" xfId="1324" xr:uid="{00000000-0005-0000-0000-000029050000}"/>
    <cellStyle name="SAPBEXstdDataEmph 2" xfId="1325" xr:uid="{00000000-0005-0000-0000-00002A050000}"/>
    <cellStyle name="SAPBEXstdDataEmph 2 10" xfId="1326" xr:uid="{00000000-0005-0000-0000-00002B050000}"/>
    <cellStyle name="SAPBEXstdDataEmph 2 2" xfId="1327" xr:uid="{00000000-0005-0000-0000-00002C050000}"/>
    <cellStyle name="SAPBEXstdDataEmph 2 3" xfId="1328" xr:uid="{00000000-0005-0000-0000-00002D050000}"/>
    <cellStyle name="SAPBEXstdDataEmph 2 4" xfId="1329" xr:uid="{00000000-0005-0000-0000-00002E050000}"/>
    <cellStyle name="SAPBEXstdDataEmph 2 5" xfId="1330" xr:uid="{00000000-0005-0000-0000-00002F050000}"/>
    <cellStyle name="SAPBEXstdDataEmph 2 6" xfId="1331" xr:uid="{00000000-0005-0000-0000-000030050000}"/>
    <cellStyle name="SAPBEXstdDataEmph 2 7" xfId="1332" xr:uid="{00000000-0005-0000-0000-000031050000}"/>
    <cellStyle name="SAPBEXstdDataEmph 2 8" xfId="1333" xr:uid="{00000000-0005-0000-0000-000032050000}"/>
    <cellStyle name="SAPBEXstdDataEmph 2 9" xfId="1334" xr:uid="{00000000-0005-0000-0000-000033050000}"/>
    <cellStyle name="SAPBEXstdDataEmph 3" xfId="1335" xr:uid="{00000000-0005-0000-0000-000034050000}"/>
    <cellStyle name="SAPBEXstdDataEmph 4" xfId="1336" xr:uid="{00000000-0005-0000-0000-000035050000}"/>
    <cellStyle name="SAPBEXstdDataEmph 5" xfId="1337" xr:uid="{00000000-0005-0000-0000-000036050000}"/>
    <cellStyle name="SAPBEXstdDataEmph 6" xfId="1338" xr:uid="{00000000-0005-0000-0000-000037050000}"/>
    <cellStyle name="SAPBEXstdDataEmph 7" xfId="1339" xr:uid="{00000000-0005-0000-0000-000038050000}"/>
    <cellStyle name="SAPBEXstdDataEmph 8" xfId="1340" xr:uid="{00000000-0005-0000-0000-000039050000}"/>
    <cellStyle name="SAPBEXstdDataEmph 9" xfId="1341" xr:uid="{00000000-0005-0000-0000-00003A050000}"/>
    <cellStyle name="SAPBEXstdItem" xfId="12" xr:uid="{00000000-0005-0000-0000-00003B050000}"/>
    <cellStyle name="SAPBEXstdItem 10" xfId="1342" xr:uid="{00000000-0005-0000-0000-00003C050000}"/>
    <cellStyle name="SAPBEXstdItem 11" xfId="1343" xr:uid="{00000000-0005-0000-0000-00003D050000}"/>
    <cellStyle name="SAPBEXstdItem 12" xfId="1344" xr:uid="{00000000-0005-0000-0000-00003E050000}"/>
    <cellStyle name="SAPBEXstdItem 2" xfId="1345" xr:uid="{00000000-0005-0000-0000-00003F050000}"/>
    <cellStyle name="SAPBEXstdItem 2 10" xfId="1346" xr:uid="{00000000-0005-0000-0000-000040050000}"/>
    <cellStyle name="SAPBEXstdItem 2 11" xfId="1347" xr:uid="{00000000-0005-0000-0000-000041050000}"/>
    <cellStyle name="SAPBEXstdItem 2 12" xfId="1348" xr:uid="{00000000-0005-0000-0000-000042050000}"/>
    <cellStyle name="SAPBEXstdItem 2 2" xfId="1349" xr:uid="{00000000-0005-0000-0000-000043050000}"/>
    <cellStyle name="SAPBEXstdItem 2 2 10" xfId="1350" xr:uid="{00000000-0005-0000-0000-000044050000}"/>
    <cellStyle name="SAPBEXstdItem 2 2 2" xfId="1351" xr:uid="{00000000-0005-0000-0000-000045050000}"/>
    <cellStyle name="SAPBEXstdItem 2 2 3" xfId="1352" xr:uid="{00000000-0005-0000-0000-000046050000}"/>
    <cellStyle name="SAPBEXstdItem 2 2 4" xfId="1353" xr:uid="{00000000-0005-0000-0000-000047050000}"/>
    <cellStyle name="SAPBEXstdItem 2 2 5" xfId="1354" xr:uid="{00000000-0005-0000-0000-000048050000}"/>
    <cellStyle name="SAPBEXstdItem 2 2 6" xfId="1355" xr:uid="{00000000-0005-0000-0000-000049050000}"/>
    <cellStyle name="SAPBEXstdItem 2 2 7" xfId="1356" xr:uid="{00000000-0005-0000-0000-00004A050000}"/>
    <cellStyle name="SAPBEXstdItem 2 2 8" xfId="1357" xr:uid="{00000000-0005-0000-0000-00004B050000}"/>
    <cellStyle name="SAPBEXstdItem 2 2 9" xfId="1358" xr:uid="{00000000-0005-0000-0000-00004C050000}"/>
    <cellStyle name="SAPBEXstdItem 2 3" xfId="1359" xr:uid="{00000000-0005-0000-0000-00004D050000}"/>
    <cellStyle name="SAPBEXstdItem 2 4" xfId="1360" xr:uid="{00000000-0005-0000-0000-00004E050000}"/>
    <cellStyle name="SAPBEXstdItem 2 5" xfId="1361" xr:uid="{00000000-0005-0000-0000-00004F050000}"/>
    <cellStyle name="SAPBEXstdItem 2 6" xfId="1362" xr:uid="{00000000-0005-0000-0000-000050050000}"/>
    <cellStyle name="SAPBEXstdItem 2 7" xfId="1363" xr:uid="{00000000-0005-0000-0000-000051050000}"/>
    <cellStyle name="SAPBEXstdItem 2 8" xfId="1364" xr:uid="{00000000-0005-0000-0000-000052050000}"/>
    <cellStyle name="SAPBEXstdItem 2 9" xfId="1365" xr:uid="{00000000-0005-0000-0000-000053050000}"/>
    <cellStyle name="SAPBEXstdItem 3" xfId="1366" xr:uid="{00000000-0005-0000-0000-000054050000}"/>
    <cellStyle name="SAPBEXstdItem 3 10" xfId="1367" xr:uid="{00000000-0005-0000-0000-000055050000}"/>
    <cellStyle name="SAPBEXstdItem 3 2" xfId="1368" xr:uid="{00000000-0005-0000-0000-000056050000}"/>
    <cellStyle name="SAPBEXstdItem 3 3" xfId="1369" xr:uid="{00000000-0005-0000-0000-000057050000}"/>
    <cellStyle name="SAPBEXstdItem 3 4" xfId="1370" xr:uid="{00000000-0005-0000-0000-000058050000}"/>
    <cellStyle name="SAPBEXstdItem 3 5" xfId="1371" xr:uid="{00000000-0005-0000-0000-000059050000}"/>
    <cellStyle name="SAPBEXstdItem 3 6" xfId="1372" xr:uid="{00000000-0005-0000-0000-00005A050000}"/>
    <cellStyle name="SAPBEXstdItem 3 7" xfId="1373" xr:uid="{00000000-0005-0000-0000-00005B050000}"/>
    <cellStyle name="SAPBEXstdItem 3 8" xfId="1374" xr:uid="{00000000-0005-0000-0000-00005C050000}"/>
    <cellStyle name="SAPBEXstdItem 3 9" xfId="1375" xr:uid="{00000000-0005-0000-0000-00005D050000}"/>
    <cellStyle name="SAPBEXstdItem 4" xfId="1376" xr:uid="{00000000-0005-0000-0000-00005E050000}"/>
    <cellStyle name="SAPBEXstdItem 4 2" xfId="1377" xr:uid="{00000000-0005-0000-0000-00005F050000}"/>
    <cellStyle name="SAPBEXstdItem 5" xfId="1378" xr:uid="{00000000-0005-0000-0000-000060050000}"/>
    <cellStyle name="SAPBEXstdItem 6" xfId="1379" xr:uid="{00000000-0005-0000-0000-000061050000}"/>
    <cellStyle name="SAPBEXstdItem 7" xfId="1380" xr:uid="{00000000-0005-0000-0000-000062050000}"/>
    <cellStyle name="SAPBEXstdItem 8" xfId="1381" xr:uid="{00000000-0005-0000-0000-000063050000}"/>
    <cellStyle name="SAPBEXstdItem 9" xfId="1382" xr:uid="{00000000-0005-0000-0000-000064050000}"/>
    <cellStyle name="SAPBEXstdItem_Výkaz 13-D3a _2011_jk" xfId="1383" xr:uid="{00000000-0005-0000-0000-000065050000}"/>
    <cellStyle name="SAPBEXstdItemX" xfId="54" xr:uid="{00000000-0005-0000-0000-000066050000}"/>
    <cellStyle name="SAPBEXstdItemX 10" xfId="1384" xr:uid="{00000000-0005-0000-0000-000067050000}"/>
    <cellStyle name="SAPBEXstdItemX 11" xfId="1385" xr:uid="{00000000-0005-0000-0000-000068050000}"/>
    <cellStyle name="SAPBEXstdItemX 12" xfId="1386" xr:uid="{00000000-0005-0000-0000-000069050000}"/>
    <cellStyle name="SAPBEXstdItemX 13" xfId="1387" xr:uid="{00000000-0005-0000-0000-00006A050000}"/>
    <cellStyle name="SAPBEXstdItemX 2" xfId="1388" xr:uid="{00000000-0005-0000-0000-00006B050000}"/>
    <cellStyle name="SAPBEXstdItemX 2 10" xfId="1389" xr:uid="{00000000-0005-0000-0000-00006C050000}"/>
    <cellStyle name="SAPBEXstdItemX 2 11" xfId="1390" xr:uid="{00000000-0005-0000-0000-00006D050000}"/>
    <cellStyle name="SAPBEXstdItemX 2 2" xfId="1391" xr:uid="{00000000-0005-0000-0000-00006E050000}"/>
    <cellStyle name="SAPBEXstdItemX 2 2 10" xfId="1392" xr:uid="{00000000-0005-0000-0000-00006F050000}"/>
    <cellStyle name="SAPBEXstdItemX 2 2 2" xfId="1393" xr:uid="{00000000-0005-0000-0000-000070050000}"/>
    <cellStyle name="SAPBEXstdItemX 2 2 3" xfId="1394" xr:uid="{00000000-0005-0000-0000-000071050000}"/>
    <cellStyle name="SAPBEXstdItemX 2 2 4" xfId="1395" xr:uid="{00000000-0005-0000-0000-000072050000}"/>
    <cellStyle name="SAPBEXstdItemX 2 2 5" xfId="1396" xr:uid="{00000000-0005-0000-0000-000073050000}"/>
    <cellStyle name="SAPBEXstdItemX 2 2 6" xfId="1397" xr:uid="{00000000-0005-0000-0000-000074050000}"/>
    <cellStyle name="SAPBEXstdItemX 2 2 7" xfId="1398" xr:uid="{00000000-0005-0000-0000-000075050000}"/>
    <cellStyle name="SAPBEXstdItemX 2 2 8" xfId="1399" xr:uid="{00000000-0005-0000-0000-000076050000}"/>
    <cellStyle name="SAPBEXstdItemX 2 2 9" xfId="1400" xr:uid="{00000000-0005-0000-0000-000077050000}"/>
    <cellStyle name="SAPBEXstdItemX 2 3" xfId="1401" xr:uid="{00000000-0005-0000-0000-000078050000}"/>
    <cellStyle name="SAPBEXstdItemX 2 4" xfId="1402" xr:uid="{00000000-0005-0000-0000-000079050000}"/>
    <cellStyle name="SAPBEXstdItemX 2 5" xfId="1403" xr:uid="{00000000-0005-0000-0000-00007A050000}"/>
    <cellStyle name="SAPBEXstdItemX 2 6" xfId="1404" xr:uid="{00000000-0005-0000-0000-00007B050000}"/>
    <cellStyle name="SAPBEXstdItemX 2 7" xfId="1405" xr:uid="{00000000-0005-0000-0000-00007C050000}"/>
    <cellStyle name="SAPBEXstdItemX 2 8" xfId="1406" xr:uid="{00000000-0005-0000-0000-00007D050000}"/>
    <cellStyle name="SAPBEXstdItemX 2 9" xfId="1407" xr:uid="{00000000-0005-0000-0000-00007E050000}"/>
    <cellStyle name="SAPBEXstdItemX 3" xfId="1408" xr:uid="{00000000-0005-0000-0000-00007F050000}"/>
    <cellStyle name="SAPBEXstdItemX 3 10" xfId="1409" xr:uid="{00000000-0005-0000-0000-000080050000}"/>
    <cellStyle name="SAPBEXstdItemX 3 2" xfId="1410" xr:uid="{00000000-0005-0000-0000-000081050000}"/>
    <cellStyle name="SAPBEXstdItemX 3 3" xfId="1411" xr:uid="{00000000-0005-0000-0000-000082050000}"/>
    <cellStyle name="SAPBEXstdItemX 3 4" xfId="1412" xr:uid="{00000000-0005-0000-0000-000083050000}"/>
    <cellStyle name="SAPBEXstdItemX 3 5" xfId="1413" xr:uid="{00000000-0005-0000-0000-000084050000}"/>
    <cellStyle name="SAPBEXstdItemX 3 6" xfId="1414" xr:uid="{00000000-0005-0000-0000-000085050000}"/>
    <cellStyle name="SAPBEXstdItemX 3 7" xfId="1415" xr:uid="{00000000-0005-0000-0000-000086050000}"/>
    <cellStyle name="SAPBEXstdItemX 3 8" xfId="1416" xr:uid="{00000000-0005-0000-0000-000087050000}"/>
    <cellStyle name="SAPBEXstdItemX 3 9" xfId="1417" xr:uid="{00000000-0005-0000-0000-000088050000}"/>
    <cellStyle name="SAPBEXstdItemX 4" xfId="1418" xr:uid="{00000000-0005-0000-0000-000089050000}"/>
    <cellStyle name="SAPBEXstdItemX 5" xfId="1419" xr:uid="{00000000-0005-0000-0000-00008A050000}"/>
    <cellStyle name="SAPBEXstdItemX 6" xfId="1420" xr:uid="{00000000-0005-0000-0000-00008B050000}"/>
    <cellStyle name="SAPBEXstdItemX 7" xfId="1421" xr:uid="{00000000-0005-0000-0000-00008C050000}"/>
    <cellStyle name="SAPBEXstdItemX 8" xfId="1422" xr:uid="{00000000-0005-0000-0000-00008D050000}"/>
    <cellStyle name="SAPBEXstdItemX 9" xfId="1423" xr:uid="{00000000-0005-0000-0000-00008E050000}"/>
    <cellStyle name="SAPBEXstdItemX_Výkaz 13-D3a _2011_jk" xfId="1424" xr:uid="{00000000-0005-0000-0000-00008F050000}"/>
    <cellStyle name="SAPBEXtitle" xfId="55" xr:uid="{00000000-0005-0000-0000-000090050000}"/>
    <cellStyle name="SAPBEXtitle 2" xfId="1425" xr:uid="{00000000-0005-0000-0000-000091050000}"/>
    <cellStyle name="SAPBEXtitle 3" xfId="1426" xr:uid="{00000000-0005-0000-0000-000092050000}"/>
    <cellStyle name="SAPBEXtitle_Výkaz 13-D3a _2011_jk" xfId="1427" xr:uid="{00000000-0005-0000-0000-000093050000}"/>
    <cellStyle name="SAPBEXunassignedItem" xfId="1428" xr:uid="{00000000-0005-0000-0000-000094050000}"/>
    <cellStyle name="SAPBEXunassignedItem 2" xfId="1429" xr:uid="{00000000-0005-0000-0000-000095050000}"/>
    <cellStyle name="SAPBEXunassignedItem 2 2" xfId="1430" xr:uid="{00000000-0005-0000-0000-000096050000}"/>
    <cellStyle name="SAPBEXunassignedItem 2 3" xfId="1431" xr:uid="{00000000-0005-0000-0000-000097050000}"/>
    <cellStyle name="SAPBEXunassignedItem 2 4" xfId="1432" xr:uid="{00000000-0005-0000-0000-000098050000}"/>
    <cellStyle name="SAPBEXunassignedItem 2 5" xfId="1433" xr:uid="{00000000-0005-0000-0000-000099050000}"/>
    <cellStyle name="SAPBEXunassignedItem 2 6" xfId="1434" xr:uid="{00000000-0005-0000-0000-00009A050000}"/>
    <cellStyle name="SAPBEXunassignedItem 2 7" xfId="1435" xr:uid="{00000000-0005-0000-0000-00009B050000}"/>
    <cellStyle name="SAPBEXunassignedItem 3" xfId="1436" xr:uid="{00000000-0005-0000-0000-00009C050000}"/>
    <cellStyle name="SAPBEXunassignedItem 4" xfId="1437" xr:uid="{00000000-0005-0000-0000-00009D050000}"/>
    <cellStyle name="SAPBEXunassignedItem 5" xfId="1438" xr:uid="{00000000-0005-0000-0000-00009E050000}"/>
    <cellStyle name="SAPBEXunassignedItem 6" xfId="1439" xr:uid="{00000000-0005-0000-0000-00009F050000}"/>
    <cellStyle name="SAPBEXunassignedItem 7" xfId="1440" xr:uid="{00000000-0005-0000-0000-0000A0050000}"/>
    <cellStyle name="SAPBEXunassignedItem 8" xfId="1441" xr:uid="{00000000-0005-0000-0000-0000A1050000}"/>
    <cellStyle name="SAPBEXundefined" xfId="56" xr:uid="{00000000-0005-0000-0000-0000A2050000}"/>
    <cellStyle name="SAPBEXundefined 10" xfId="1442" xr:uid="{00000000-0005-0000-0000-0000A3050000}"/>
    <cellStyle name="SAPBEXundefined 11" xfId="1443" xr:uid="{00000000-0005-0000-0000-0000A4050000}"/>
    <cellStyle name="SAPBEXundefined 12" xfId="1444" xr:uid="{00000000-0005-0000-0000-0000A5050000}"/>
    <cellStyle name="SAPBEXundefined 2" xfId="1445" xr:uid="{00000000-0005-0000-0000-0000A6050000}"/>
    <cellStyle name="SAPBEXundefined 2 10" xfId="1446" xr:uid="{00000000-0005-0000-0000-0000A7050000}"/>
    <cellStyle name="SAPBEXundefined 2 2" xfId="1447" xr:uid="{00000000-0005-0000-0000-0000A8050000}"/>
    <cellStyle name="SAPBEXundefined 2 3" xfId="1448" xr:uid="{00000000-0005-0000-0000-0000A9050000}"/>
    <cellStyle name="SAPBEXundefined 2 4" xfId="1449" xr:uid="{00000000-0005-0000-0000-0000AA050000}"/>
    <cellStyle name="SAPBEXundefined 2 5" xfId="1450" xr:uid="{00000000-0005-0000-0000-0000AB050000}"/>
    <cellStyle name="SAPBEXundefined 2 6" xfId="1451" xr:uid="{00000000-0005-0000-0000-0000AC050000}"/>
    <cellStyle name="SAPBEXundefined 2 7" xfId="1452" xr:uid="{00000000-0005-0000-0000-0000AD050000}"/>
    <cellStyle name="SAPBEXundefined 2 8" xfId="1453" xr:uid="{00000000-0005-0000-0000-0000AE050000}"/>
    <cellStyle name="SAPBEXundefined 2 9" xfId="1454" xr:uid="{00000000-0005-0000-0000-0000AF050000}"/>
    <cellStyle name="SAPBEXundefined 3" xfId="1455" xr:uid="{00000000-0005-0000-0000-0000B0050000}"/>
    <cellStyle name="SAPBEXundefined 4" xfId="1456" xr:uid="{00000000-0005-0000-0000-0000B1050000}"/>
    <cellStyle name="SAPBEXundefined 5" xfId="1457" xr:uid="{00000000-0005-0000-0000-0000B2050000}"/>
    <cellStyle name="SAPBEXundefined 6" xfId="1458" xr:uid="{00000000-0005-0000-0000-0000B3050000}"/>
    <cellStyle name="SAPBEXundefined 7" xfId="1459" xr:uid="{00000000-0005-0000-0000-0000B4050000}"/>
    <cellStyle name="SAPBEXundefined 8" xfId="1460" xr:uid="{00000000-0005-0000-0000-0000B5050000}"/>
    <cellStyle name="SAPBEXundefined 9" xfId="1461" xr:uid="{00000000-0005-0000-0000-0000B6050000}"/>
    <cellStyle name="Sheet Title" xfId="1462" xr:uid="{00000000-0005-0000-0000-0000B7050000}"/>
    <cellStyle name="Správně 2" xfId="1463" xr:uid="{00000000-0005-0000-0000-0000B8050000}"/>
    <cellStyle name="Správně 3" xfId="1464" xr:uid="{00000000-0005-0000-0000-0000B9050000}"/>
    <cellStyle name="Styl 1" xfId="1465" xr:uid="{00000000-0005-0000-0000-0000BA050000}"/>
    <cellStyle name="Subtotal" xfId="1466" xr:uid="{00000000-0005-0000-0000-0000BB050000}"/>
    <cellStyle name="Text upozornění 2" xfId="1467" xr:uid="{00000000-0005-0000-0000-0000BC050000}"/>
    <cellStyle name="Vstup 2" xfId="1468" xr:uid="{00000000-0005-0000-0000-0000BD050000}"/>
    <cellStyle name="Vstup 2 10" xfId="1469" xr:uid="{00000000-0005-0000-0000-0000BE050000}"/>
    <cellStyle name="Vstup 2 11" xfId="1470" xr:uid="{00000000-0005-0000-0000-0000BF050000}"/>
    <cellStyle name="Vstup 2 2" xfId="1471" xr:uid="{00000000-0005-0000-0000-0000C0050000}"/>
    <cellStyle name="Vstup 2 2 10" xfId="1472" xr:uid="{00000000-0005-0000-0000-0000C1050000}"/>
    <cellStyle name="Vstup 2 2 2" xfId="1473" xr:uid="{00000000-0005-0000-0000-0000C2050000}"/>
    <cellStyle name="Vstup 2 2 3" xfId="1474" xr:uid="{00000000-0005-0000-0000-0000C3050000}"/>
    <cellStyle name="Vstup 2 2 4" xfId="1475" xr:uid="{00000000-0005-0000-0000-0000C4050000}"/>
    <cellStyle name="Vstup 2 2 5" xfId="1476" xr:uid="{00000000-0005-0000-0000-0000C5050000}"/>
    <cellStyle name="Vstup 2 2 6" xfId="1477" xr:uid="{00000000-0005-0000-0000-0000C6050000}"/>
    <cellStyle name="Vstup 2 2 7" xfId="1478" xr:uid="{00000000-0005-0000-0000-0000C7050000}"/>
    <cellStyle name="Vstup 2 2 8" xfId="1479" xr:uid="{00000000-0005-0000-0000-0000C8050000}"/>
    <cellStyle name="Vstup 2 2 9" xfId="1480" xr:uid="{00000000-0005-0000-0000-0000C9050000}"/>
    <cellStyle name="Vstup 2 3" xfId="1481" xr:uid="{00000000-0005-0000-0000-0000CA050000}"/>
    <cellStyle name="Vstup 2 4" xfId="1482" xr:uid="{00000000-0005-0000-0000-0000CB050000}"/>
    <cellStyle name="Vstup 2 5" xfId="1483" xr:uid="{00000000-0005-0000-0000-0000CC050000}"/>
    <cellStyle name="Vstup 2 6" xfId="1484" xr:uid="{00000000-0005-0000-0000-0000CD050000}"/>
    <cellStyle name="Vstup 2 7" xfId="1485" xr:uid="{00000000-0005-0000-0000-0000CE050000}"/>
    <cellStyle name="Vstup 2 8" xfId="1486" xr:uid="{00000000-0005-0000-0000-0000CF050000}"/>
    <cellStyle name="Vstup 2 9" xfId="1487" xr:uid="{00000000-0005-0000-0000-0000D0050000}"/>
    <cellStyle name="Výpočet 2" xfId="1488" xr:uid="{00000000-0005-0000-0000-0000D1050000}"/>
    <cellStyle name="Výpočet 2 10" xfId="1489" xr:uid="{00000000-0005-0000-0000-0000D2050000}"/>
    <cellStyle name="Výpočet 2 11" xfId="1490" xr:uid="{00000000-0005-0000-0000-0000D3050000}"/>
    <cellStyle name="Výpočet 2 2" xfId="1491" xr:uid="{00000000-0005-0000-0000-0000D4050000}"/>
    <cellStyle name="Výpočet 2 2 10" xfId="1492" xr:uid="{00000000-0005-0000-0000-0000D5050000}"/>
    <cellStyle name="Výpočet 2 2 2" xfId="1493" xr:uid="{00000000-0005-0000-0000-0000D6050000}"/>
    <cellStyle name="Výpočet 2 2 3" xfId="1494" xr:uid="{00000000-0005-0000-0000-0000D7050000}"/>
    <cellStyle name="Výpočet 2 2 4" xfId="1495" xr:uid="{00000000-0005-0000-0000-0000D8050000}"/>
    <cellStyle name="Výpočet 2 2 5" xfId="1496" xr:uid="{00000000-0005-0000-0000-0000D9050000}"/>
    <cellStyle name="Výpočet 2 2 6" xfId="1497" xr:uid="{00000000-0005-0000-0000-0000DA050000}"/>
    <cellStyle name="Výpočet 2 2 7" xfId="1498" xr:uid="{00000000-0005-0000-0000-0000DB050000}"/>
    <cellStyle name="Výpočet 2 2 8" xfId="1499" xr:uid="{00000000-0005-0000-0000-0000DC050000}"/>
    <cellStyle name="Výpočet 2 2 9" xfId="1500" xr:uid="{00000000-0005-0000-0000-0000DD050000}"/>
    <cellStyle name="Výpočet 2 3" xfId="1501" xr:uid="{00000000-0005-0000-0000-0000DE050000}"/>
    <cellStyle name="Výpočet 2 4" xfId="1502" xr:uid="{00000000-0005-0000-0000-0000DF050000}"/>
    <cellStyle name="Výpočet 2 5" xfId="1503" xr:uid="{00000000-0005-0000-0000-0000E0050000}"/>
    <cellStyle name="Výpočet 2 6" xfId="1504" xr:uid="{00000000-0005-0000-0000-0000E1050000}"/>
    <cellStyle name="Výpočet 2 7" xfId="1505" xr:uid="{00000000-0005-0000-0000-0000E2050000}"/>
    <cellStyle name="Výpočet 2 8" xfId="1506" xr:uid="{00000000-0005-0000-0000-0000E3050000}"/>
    <cellStyle name="Výpočet 2 9" xfId="1507" xr:uid="{00000000-0005-0000-0000-0000E4050000}"/>
    <cellStyle name="Výstup 2" xfId="1508" xr:uid="{00000000-0005-0000-0000-0000E5050000}"/>
    <cellStyle name="Výstup 2 10" xfId="1509" xr:uid="{00000000-0005-0000-0000-0000E6050000}"/>
    <cellStyle name="Výstup 2 11" xfId="1510" xr:uid="{00000000-0005-0000-0000-0000E7050000}"/>
    <cellStyle name="Výstup 2 2" xfId="1511" xr:uid="{00000000-0005-0000-0000-0000E8050000}"/>
    <cellStyle name="Výstup 2 2 10" xfId="1512" xr:uid="{00000000-0005-0000-0000-0000E9050000}"/>
    <cellStyle name="Výstup 2 2 2" xfId="1513" xr:uid="{00000000-0005-0000-0000-0000EA050000}"/>
    <cellStyle name="Výstup 2 2 3" xfId="1514" xr:uid="{00000000-0005-0000-0000-0000EB050000}"/>
    <cellStyle name="Výstup 2 2 4" xfId="1515" xr:uid="{00000000-0005-0000-0000-0000EC050000}"/>
    <cellStyle name="Výstup 2 2 5" xfId="1516" xr:uid="{00000000-0005-0000-0000-0000ED050000}"/>
    <cellStyle name="Výstup 2 2 6" xfId="1517" xr:uid="{00000000-0005-0000-0000-0000EE050000}"/>
    <cellStyle name="Výstup 2 2 7" xfId="1518" xr:uid="{00000000-0005-0000-0000-0000EF050000}"/>
    <cellStyle name="Výstup 2 2 8" xfId="1519" xr:uid="{00000000-0005-0000-0000-0000F0050000}"/>
    <cellStyle name="Výstup 2 2 9" xfId="1520" xr:uid="{00000000-0005-0000-0000-0000F1050000}"/>
    <cellStyle name="Výstup 2 3" xfId="1521" xr:uid="{00000000-0005-0000-0000-0000F2050000}"/>
    <cellStyle name="Výstup 2 4" xfId="1522" xr:uid="{00000000-0005-0000-0000-0000F3050000}"/>
    <cellStyle name="Výstup 2 5" xfId="1523" xr:uid="{00000000-0005-0000-0000-0000F4050000}"/>
    <cellStyle name="Výstup 2 6" xfId="1524" xr:uid="{00000000-0005-0000-0000-0000F5050000}"/>
    <cellStyle name="Výstup 2 7" xfId="1525" xr:uid="{00000000-0005-0000-0000-0000F6050000}"/>
    <cellStyle name="Výstup 2 8" xfId="1526" xr:uid="{00000000-0005-0000-0000-0000F7050000}"/>
    <cellStyle name="Výstup 2 9" xfId="1527" xr:uid="{00000000-0005-0000-0000-0000F8050000}"/>
    <cellStyle name="Vysvětlující text 2" xfId="1528" xr:uid="{00000000-0005-0000-0000-0000F9050000}"/>
    <cellStyle name="Záhlaví 1" xfId="86" xr:uid="{00000000-0005-0000-0000-0000FA050000}"/>
    <cellStyle name="Záhlaví 2" xfId="87" xr:uid="{00000000-0005-0000-0000-0000FB050000}"/>
    <cellStyle name="Zvýraznění 1 2" xfId="1529" xr:uid="{00000000-0005-0000-0000-0000FC050000}"/>
    <cellStyle name="Zvýraznění 2 2" xfId="1530" xr:uid="{00000000-0005-0000-0000-0000FD050000}"/>
    <cellStyle name="Zvýraznění 3 2" xfId="1531" xr:uid="{00000000-0005-0000-0000-0000FE050000}"/>
    <cellStyle name="Zvýraznění 4 2" xfId="1532" xr:uid="{00000000-0005-0000-0000-0000FF050000}"/>
    <cellStyle name="Zvýraznění 5 2" xfId="1533" xr:uid="{00000000-0005-0000-0000-000000060000}"/>
    <cellStyle name="Zvýraznění 6 2" xfId="1534" xr:uid="{00000000-0005-0000-0000-000001060000}"/>
  </cellStyles>
  <dxfs count="0"/>
  <tableStyles count="0" defaultTableStyle="TableStyleMedium2" defaultPivotStyle="PivotStyleLight16"/>
  <colors>
    <mruColors>
      <color rgb="FF233060"/>
      <color rgb="FFF0948F"/>
      <color rgb="FF596387"/>
      <color rgb="FF9196B0"/>
      <color rgb="FFC7CCD6"/>
      <color rgb="FF79C1D5"/>
      <color rgb="FFCEF8FA"/>
      <color rgb="FF646363"/>
      <color rgb="FFDDFAF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'3.2'!$E$28:$E$39</c:f>
              <c:numCache>
                <c:formatCode>#,##0.0</c:formatCode>
                <c:ptCount val="12"/>
                <c:pt idx="0">
                  <c:v>611.86680951218455</c:v>
                </c:pt>
                <c:pt idx="1">
                  <c:v>541.66979960431695</c:v>
                </c:pt>
                <c:pt idx="2">
                  <c:v>558.67411079116368</c:v>
                </c:pt>
                <c:pt idx="3">
                  <c:v>678.89586636549586</c:v>
                </c:pt>
                <c:pt idx="4">
                  <c:v>1032.1800539226767</c:v>
                </c:pt>
                <c:pt idx="5">
                  <c:v>889.48322247170688</c:v>
                </c:pt>
                <c:pt idx="6">
                  <c:v>572.47818055688651</c:v>
                </c:pt>
                <c:pt idx="7">
                  <c:v>587.09390599999995</c:v>
                </c:pt>
                <c:pt idx="8">
                  <c:v>473.93132066397732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'3.2'!$F$28:$F$39</c:f>
              <c:numCache>
                <c:formatCode>#,##0.0</c:formatCode>
                <c:ptCount val="12"/>
                <c:pt idx="0">
                  <c:v>-171.69380494119213</c:v>
                </c:pt>
                <c:pt idx="1">
                  <c:v>-191.63640082004457</c:v>
                </c:pt>
                <c:pt idx="2">
                  <c:v>-85.842169319862464</c:v>
                </c:pt>
                <c:pt idx="3">
                  <c:v>-59.800538558553114</c:v>
                </c:pt>
                <c:pt idx="4">
                  <c:v>-66.096829012414332</c:v>
                </c:pt>
                <c:pt idx="5">
                  <c:v>-25.522451097333597</c:v>
                </c:pt>
                <c:pt idx="6">
                  <c:v>-78.775960216320897</c:v>
                </c:pt>
                <c:pt idx="7">
                  <c:v>-145.15843159277571</c:v>
                </c:pt>
                <c:pt idx="8">
                  <c:v>-97.757947407399001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54269184"/>
        <c:axId val="154270720"/>
      </c:barChart>
      <c:catAx>
        <c:axId val="15426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4270720"/>
        <c:crosses val="autoZero"/>
        <c:auto val="1"/>
        <c:lblAlgn val="ctr"/>
        <c:lblOffset val="100"/>
        <c:noMultiLvlLbl val="0"/>
      </c:catAx>
      <c:valAx>
        <c:axId val="15427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426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369142748693663E-4"/>
          <c:y val="0.92056933894499138"/>
          <c:w val="0.19103510423252798"/>
          <c:h val="7.88861817906429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'4.3'!$H$45:$H$47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'4.3'!$I$45:$I$47</c:f>
              <c:numCache>
                <c:formatCode>#,##0</c:formatCode>
                <c:ptCount val="3"/>
                <c:pt idx="0">
                  <c:v>12298.257111736117</c:v>
                </c:pt>
                <c:pt idx="1">
                  <c:v>7571.5356496818067</c:v>
                </c:pt>
                <c:pt idx="2">
                  <c:v>10075.120590411594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16544"/>
        <c:axId val="165122432"/>
      </c:barChart>
      <c:catAx>
        <c:axId val="16511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122432"/>
        <c:crosses val="autoZero"/>
        <c:auto val="1"/>
        <c:lblAlgn val="ctr"/>
        <c:lblOffset val="100"/>
        <c:noMultiLvlLbl val="0"/>
      </c:catAx>
      <c:valAx>
        <c:axId val="165122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16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2.0754852261096239E-2"/>
          <c:w val="0.49250688350604677"/>
          <c:h val="0.78653580802399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'5.1'!$B$43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'5.1'!$C$43:$D$43</c:f>
              <c:numCache>
                <c:formatCode>#,##0</c:formatCode>
                <c:ptCount val="2"/>
                <c:pt idx="0">
                  <c:v>281136.87955480901</c:v>
                </c:pt>
                <c:pt idx="1">
                  <c:v>288565.59520753234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'5.1'!$B$44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287613.29697751073</c:v>
                </c:pt>
                <c:pt idx="1">
                  <c:v>311105.15298840177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'5.1'!$B$45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302253.87416614796</c:v>
                </c:pt>
                <c:pt idx="1">
                  <c:v>383357.96064253687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312768"/>
        <c:axId val="154272896"/>
      </c:barChart>
      <c:catAx>
        <c:axId val="1673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272896"/>
        <c:crosses val="autoZero"/>
        <c:auto val="1"/>
        <c:lblAlgn val="ctr"/>
        <c:lblOffset val="100"/>
        <c:noMultiLvlLbl val="0"/>
      </c:catAx>
      <c:valAx>
        <c:axId val="154272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731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548508955760597E-3"/>
          <c:y val="0.92454477860696616"/>
          <c:w val="0.36822587099093235"/>
          <c:h val="6.5980402449693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2.3809532736982653E-2"/>
          <c:w val="0.77090245307366301"/>
          <c:h val="0.793063289487547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'5.1'!$H$43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'5.1'!$I$43:$J$43</c:f>
              <c:numCache>
                <c:formatCode>0.0%</c:formatCode>
                <c:ptCount val="2"/>
                <c:pt idx="0">
                  <c:v>0.32277333191431462</c:v>
                </c:pt>
                <c:pt idx="1">
                  <c:v>0.29354747487333943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'5.1'!$H$44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0.33020890861169988</c:v>
                </c:pt>
                <c:pt idx="1">
                  <c:v>0.31647616208075757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'5.1'!$H$45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0.34701775947398555</c:v>
                </c:pt>
                <c:pt idx="1">
                  <c:v>0.38997636304590305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301952"/>
        <c:axId val="154303872"/>
      </c:barChart>
      <c:catAx>
        <c:axId val="15430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4303872"/>
        <c:crosses val="autoZero"/>
        <c:auto val="1"/>
        <c:lblAlgn val="ctr"/>
        <c:lblOffset val="100"/>
        <c:noMultiLvlLbl val="0"/>
      </c:catAx>
      <c:valAx>
        <c:axId val="154303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4301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4599030419658057"/>
          <c:h val="6.5327153773603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'5.2'!$C$42:$D$42</c:f>
              <c:numCache>
                <c:formatCode>#,##0</c:formatCode>
                <c:ptCount val="2"/>
                <c:pt idx="0">
                  <c:v>18360.978347389762</c:v>
                </c:pt>
                <c:pt idx="1">
                  <c:v>18843.73768136169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17394.030885948152</c:v>
                </c:pt>
                <c:pt idx="1">
                  <c:v>18444.496195747073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18273.080481515786</c:v>
                </c:pt>
                <c:pt idx="1">
                  <c:v>29906.473419748214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118400"/>
        <c:axId val="154124288"/>
      </c:barChart>
      <c:catAx>
        <c:axId val="1541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4124288"/>
        <c:crosses val="autoZero"/>
        <c:auto val="1"/>
        <c:lblAlgn val="ctr"/>
        <c:lblOffset val="100"/>
        <c:noMultiLvlLbl val="0"/>
      </c:catAx>
      <c:valAx>
        <c:axId val="154124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411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095451246888922E-3"/>
          <c:y val="0.92930668515436265"/>
          <c:w val="0.3503722759478039"/>
          <c:h val="5.99676464339194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3264503441494594E-2"/>
          <c:w val="0.77090245307366301"/>
          <c:h val="0.766756013905341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'5.2'!$H$42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'5.2'!$I$42:$J$42</c:f>
              <c:numCache>
                <c:formatCode>0.0%</c:formatCode>
                <c:ptCount val="2"/>
                <c:pt idx="0">
                  <c:v>0.33984133890896867</c:v>
                </c:pt>
                <c:pt idx="1">
                  <c:v>0.28043485029427462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0.32194421416247276</c:v>
                </c:pt>
                <c:pt idx="1">
                  <c:v>0.27449328879820584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0.33821444692855851</c:v>
                </c:pt>
                <c:pt idx="1">
                  <c:v>0.44507186090751943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69536"/>
        <c:axId val="162371456"/>
      </c:barChart>
      <c:catAx>
        <c:axId val="1623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371456"/>
        <c:crosses val="autoZero"/>
        <c:auto val="1"/>
        <c:lblAlgn val="ctr"/>
        <c:lblOffset val="100"/>
        <c:noMultiLvlLbl val="0"/>
      </c:catAx>
      <c:valAx>
        <c:axId val="162371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2369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196304938297599"/>
          <c:h val="6.03185054086669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569055036344756E-2"/>
          <c:w val="0.77090245307366301"/>
          <c:h val="0.7578305982780190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'5.3'!$H$42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'5.3'!$I$42:$J$42</c:f>
              <c:numCache>
                <c:formatCode>0.0%</c:formatCode>
                <c:ptCount val="2"/>
                <c:pt idx="0">
                  <c:v>0.31351295182648276</c:v>
                </c:pt>
                <c:pt idx="1">
                  <c:v>0.30314528175528538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0.33516011503943571</c:v>
                </c:pt>
                <c:pt idx="1">
                  <c:v>0.3057453648658166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0.35132693313408153</c:v>
                </c:pt>
                <c:pt idx="1">
                  <c:v>0.39110935337889807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499648"/>
        <c:axId val="167329792"/>
      </c:barChart>
      <c:catAx>
        <c:axId val="16749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329792"/>
        <c:crosses val="autoZero"/>
        <c:auto val="1"/>
        <c:lblAlgn val="ctr"/>
        <c:lblOffset val="100"/>
        <c:noMultiLvlLbl val="0"/>
      </c:catAx>
      <c:valAx>
        <c:axId val="167329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7499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7553732385528067E-2"/>
          <c:y val="0.92930668515436265"/>
          <c:w val="0.5196304938297599"/>
          <c:h val="6.3704044589688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'5.3'!$C$42:$D$42</c:f>
              <c:numCache>
                <c:formatCode>#,##0</c:formatCode>
                <c:ptCount val="2"/>
                <c:pt idx="0">
                  <c:v>211104.98416741923</c:v>
                </c:pt>
                <c:pt idx="1">
                  <c:v>235294.93843617072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225681.17319156262</c:v>
                </c:pt>
                <c:pt idx="1">
                  <c:v>237313.06780265464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236567.15368463221</c:v>
                </c:pt>
                <c:pt idx="1">
                  <c:v>303570.78524278855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96032"/>
        <c:axId val="162397568"/>
      </c:barChart>
      <c:catAx>
        <c:axId val="1623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2397568"/>
        <c:crosses val="autoZero"/>
        <c:auto val="1"/>
        <c:lblAlgn val="ctr"/>
        <c:lblOffset val="100"/>
        <c:noMultiLvlLbl val="0"/>
      </c:catAx>
      <c:valAx>
        <c:axId val="162397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396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2894384643200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'5.4'!$C$42:$D$42</c:f>
              <c:numCache>
                <c:formatCode>#,##0</c:formatCode>
                <c:ptCount val="2"/>
                <c:pt idx="0">
                  <c:v>8753.857</c:v>
                </c:pt>
                <c:pt idx="1">
                  <c:v>10145.726989999999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9990.63501</c:v>
                </c:pt>
                <c:pt idx="1">
                  <c:v>10659.31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10335.236000000001</c:v>
                </c:pt>
                <c:pt idx="1">
                  <c:v>15230.959989999999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995840"/>
        <c:axId val="168997632"/>
      </c:barChart>
      <c:catAx>
        <c:axId val="1689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997632"/>
        <c:crosses val="autoZero"/>
        <c:auto val="1"/>
        <c:lblAlgn val="ctr"/>
        <c:lblOffset val="100"/>
        <c:noMultiLvlLbl val="0"/>
      </c:catAx>
      <c:valAx>
        <c:axId val="168997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899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3507830899987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2380972021361841E-2"/>
          <c:w val="0.77090245307366301"/>
          <c:h val="0.741417600831496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'5.4'!$H$42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'5.4'!$I$42:$J$42</c:f>
              <c:numCache>
                <c:formatCode>0.0%</c:formatCode>
                <c:ptCount val="2"/>
                <c:pt idx="0">
                  <c:v>0.30102953497328805</c:v>
                </c:pt>
                <c:pt idx="1">
                  <c:v>0.2815442291115432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0.3435601256849582</c:v>
                </c:pt>
                <c:pt idx="1">
                  <c:v>0.29579617308537132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0.3554103393417537</c:v>
                </c:pt>
                <c:pt idx="1">
                  <c:v>0.42265959780308532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57280"/>
        <c:axId val="168659200"/>
      </c:barChart>
      <c:catAx>
        <c:axId val="1686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659200"/>
        <c:crosses val="autoZero"/>
        <c:auto val="1"/>
        <c:lblAlgn val="ctr"/>
        <c:lblOffset val="100"/>
        <c:noMultiLvlLbl val="0"/>
      </c:catAx>
      <c:valAx>
        <c:axId val="168659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5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445173497922801E-2"/>
          <c:y val="0.92930668515436265"/>
          <c:w val="0.5196304938297599"/>
          <c:h val="6.39014744799462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'5.5'!$C$42:$D$42</c:f>
              <c:numCache>
                <c:formatCode>#,##0</c:formatCode>
                <c:ptCount val="2"/>
                <c:pt idx="0">
                  <c:v>42917.060039999997</c:v>
                </c:pt>
                <c:pt idx="1">
                  <c:v>24281.1921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34547.457890000005</c:v>
                </c:pt>
                <c:pt idx="1">
                  <c:v>44688.278989999984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37078.40400000001</c:v>
                </c:pt>
                <c:pt idx="1">
                  <c:v>34649.741989999995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018880"/>
        <c:axId val="169020416"/>
      </c:barChart>
      <c:catAx>
        <c:axId val="169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20416"/>
        <c:crosses val="autoZero"/>
        <c:auto val="1"/>
        <c:lblAlgn val="ctr"/>
        <c:lblOffset val="100"/>
        <c:noMultiLvlLbl val="0"/>
      </c:catAx>
      <c:valAx>
        <c:axId val="169020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90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677883821858886"/>
          <c:w val="0.3503722759478039"/>
          <c:h val="7.32211674783457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'3.2'!$N$28:$N$39</c:f>
              <c:numCache>
                <c:formatCode>#,##0.0</c:formatCode>
                <c:ptCount val="12"/>
                <c:pt idx="0">
                  <c:v>484.49456099999998</c:v>
                </c:pt>
                <c:pt idx="1">
                  <c:v>502.731177</c:v>
                </c:pt>
                <c:pt idx="2">
                  <c:v>315.244956</c:v>
                </c:pt>
                <c:pt idx="3">
                  <c:v>79.391479000000004</c:v>
                </c:pt>
                <c:pt idx="4">
                  <c:v>2.5809000000000002E-2</c:v>
                </c:pt>
                <c:pt idx="5">
                  <c:v>0.235014</c:v>
                </c:pt>
                <c:pt idx="6">
                  <c:v>0</c:v>
                </c:pt>
                <c:pt idx="7">
                  <c:v>14.451610000000001</c:v>
                </c:pt>
                <c:pt idx="8">
                  <c:v>30.350071000000003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'3.2'!$O$28:$O$39</c:f>
              <c:numCache>
                <c:formatCode>#,##0.0</c:formatCode>
                <c:ptCount val="12"/>
                <c:pt idx="0">
                  <c:v>-50.764979000000004</c:v>
                </c:pt>
                <c:pt idx="1">
                  <c:v>-0.45966299999999999</c:v>
                </c:pt>
                <c:pt idx="2">
                  <c:v>-29.267647000000004</c:v>
                </c:pt>
                <c:pt idx="3">
                  <c:v>-102.569807</c:v>
                </c:pt>
                <c:pt idx="4">
                  <c:v>-612.77381700000001</c:v>
                </c:pt>
                <c:pt idx="5">
                  <c:v>-558.38072299999999</c:v>
                </c:pt>
                <c:pt idx="6">
                  <c:v>-219.44287299999996</c:v>
                </c:pt>
                <c:pt idx="7">
                  <c:v>-178.688884</c:v>
                </c:pt>
                <c:pt idx="8">
                  <c:v>-106.41528300000002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62464128"/>
        <c:axId val="162465664"/>
      </c:barChart>
      <c:catAx>
        <c:axId val="16246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465664"/>
        <c:crosses val="autoZero"/>
        <c:auto val="1"/>
        <c:lblAlgn val="ctr"/>
        <c:lblOffset val="100"/>
        <c:noMultiLvlLbl val="0"/>
      </c:catAx>
      <c:valAx>
        <c:axId val="16246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46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891071983580152E-3"/>
          <c:y val="0.92037766542394239"/>
          <c:w val="0.19180372348222202"/>
          <c:h val="7.907523343339069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4522924411400248E-2"/>
          <c:w val="0.77090245307366301"/>
          <c:h val="0.750670218267326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'5.5'!$H$42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'5.5'!$I$42:$J$42</c:f>
              <c:numCache>
                <c:formatCode>0.0%</c:formatCode>
                <c:ptCount val="2"/>
                <c:pt idx="0">
                  <c:v>0.37468103062909175</c:v>
                </c:pt>
                <c:pt idx="1">
                  <c:v>0.23433098339835415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0.30161145977324383</c:v>
                </c:pt>
                <c:pt idx="1">
                  <c:v>0.4312740626151837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0.32370750959766448</c:v>
                </c:pt>
                <c:pt idx="1">
                  <c:v>0.33439495398646191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88640"/>
        <c:axId val="169047168"/>
      </c:barChart>
      <c:catAx>
        <c:axId val="16868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47168"/>
        <c:crosses val="autoZero"/>
        <c:auto val="1"/>
        <c:lblAlgn val="ctr"/>
        <c:lblOffset val="100"/>
        <c:noMultiLvlLbl val="0"/>
      </c:catAx>
      <c:valAx>
        <c:axId val="169047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88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641590804866869"/>
          <c:w val="0.5196304938297599"/>
          <c:h val="7.358391856423351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18360.978347389762</c:v>
                </c:pt>
                <c:pt idx="1">
                  <c:v>211104.98416741923</c:v>
                </c:pt>
                <c:pt idx="2">
                  <c:v>8753.857</c:v>
                </c:pt>
                <c:pt idx="3">
                  <c:v>42917.060039999997</c:v>
                </c:pt>
                <c:pt idx="4">
                  <c:v>281136.87955480895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633856"/>
        <c:axId val="170647936"/>
      </c:barChart>
      <c:catAx>
        <c:axId val="170633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647936"/>
        <c:crosses val="autoZero"/>
        <c:auto val="1"/>
        <c:lblAlgn val="ctr"/>
        <c:lblOffset val="100"/>
        <c:noMultiLvlLbl val="0"/>
      </c:catAx>
      <c:valAx>
        <c:axId val="1706479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6338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5D4-4309-9AED-1B1D39D8D9A1}"/>
              </c:ext>
            </c:extLst>
          </c:dPt>
          <c:dPt>
            <c:idx val="1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3-75D4-4309-9AED-1B1D39D8D9A1}"/>
              </c:ext>
            </c:extLst>
          </c:dPt>
          <c:dPt>
            <c:idx val="2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4-75D4-4309-9AED-1B1D39D8D9A1}"/>
              </c:ext>
            </c:extLst>
          </c:dPt>
          <c:dPt>
            <c:idx val="3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5-75D4-4309-9AED-1B1D39D8D9A1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#,##0.0</c:formatCode>
                <c:ptCount val="5"/>
                <c:pt idx="0">
                  <c:v>21.64516129032258</c:v>
                </c:pt>
                <c:pt idx="1">
                  <c:v>19.789784946236551</c:v>
                </c:pt>
                <c:pt idx="2">
                  <c:v>19.764516129032259</c:v>
                </c:pt>
                <c:pt idx="3">
                  <c:v>19.896774193548385</c:v>
                </c:pt>
                <c:pt idx="4">
                  <c:v>19.896774193548385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275584"/>
        <c:axId val="170277120"/>
      </c:barChart>
      <c:catAx>
        <c:axId val="170275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277120"/>
        <c:crosses val="autoZero"/>
        <c:auto val="1"/>
        <c:lblAlgn val="ctr"/>
        <c:lblOffset val="100"/>
        <c:noMultiLvlLbl val="0"/>
      </c:catAx>
      <c:valAx>
        <c:axId val="1702771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275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787178035960902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#,##0.0</c:formatCode>
                <c:ptCount val="5"/>
                <c:pt idx="0">
                  <c:v>29.1</c:v>
                </c:pt>
                <c:pt idx="1">
                  <c:v>26.066666666666666</c:v>
                </c:pt>
                <c:pt idx="2">
                  <c:v>26</c:v>
                </c:pt>
                <c:pt idx="3">
                  <c:v>26.1</c:v>
                </c:pt>
                <c:pt idx="4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#,##0.0</c:formatCode>
                <c:ptCount val="5"/>
                <c:pt idx="0">
                  <c:v>15.5</c:v>
                </c:pt>
                <c:pt idx="1">
                  <c:v>13.549999999999999</c:v>
                </c:pt>
                <c:pt idx="2">
                  <c:v>13.3</c:v>
                </c:pt>
                <c:pt idx="3">
                  <c:v>13.6</c:v>
                </c:pt>
                <c:pt idx="4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308352"/>
        <c:axId val="170309888"/>
      </c:barChart>
      <c:catAx>
        <c:axId val="170308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309888"/>
        <c:crosses val="autoZero"/>
        <c:auto val="1"/>
        <c:lblAlgn val="ctr"/>
        <c:lblOffset val="100"/>
        <c:noMultiLvlLbl val="0"/>
      </c:catAx>
      <c:valAx>
        <c:axId val="1703098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308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092697417917585"/>
                  <c:y val="0.240030492511965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33687823658444793"/>
                  <c:y val="-0.10087926509186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9.1761723357055621E-3"/>
                  <c:y val="0.200859194071329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6.5309746542200647E-2</c:v>
                </c:pt>
                <c:pt idx="1">
                  <c:v>0.75089751476829392</c:v>
                </c:pt>
                <c:pt idx="2">
                  <c:v>3.1137348518138454E-2</c:v>
                </c:pt>
                <c:pt idx="3">
                  <c:v>0.15265539017136709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17394.030885948152</c:v>
                </c:pt>
                <c:pt idx="1">
                  <c:v>225681.17319156262</c:v>
                </c:pt>
                <c:pt idx="2">
                  <c:v>9990.63501</c:v>
                </c:pt>
                <c:pt idx="3">
                  <c:v>34547.457890000005</c:v>
                </c:pt>
                <c:pt idx="4">
                  <c:v>287613.29697751079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68960"/>
        <c:axId val="170970496"/>
      </c:barChart>
      <c:catAx>
        <c:axId val="1709689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970496"/>
        <c:crosses val="autoZero"/>
        <c:auto val="1"/>
        <c:lblAlgn val="ctr"/>
        <c:lblOffset val="100"/>
        <c:noMultiLvlLbl val="0"/>
      </c:catAx>
      <c:valAx>
        <c:axId val="1709704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689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#,##0.0</c:formatCode>
                <c:ptCount val="5"/>
                <c:pt idx="0">
                  <c:v>20.470967741935482</c:v>
                </c:pt>
                <c:pt idx="1">
                  <c:v>18.822043010752694</c:v>
                </c:pt>
                <c:pt idx="2">
                  <c:v>18.451612903225808</c:v>
                </c:pt>
                <c:pt idx="3">
                  <c:v>18.838709677419359</c:v>
                </c:pt>
                <c:pt idx="4">
                  <c:v>18.838709677419359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095168"/>
        <c:axId val="169096704"/>
      </c:barChart>
      <c:catAx>
        <c:axId val="169095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9096704"/>
        <c:crosses val="autoZero"/>
        <c:auto val="1"/>
        <c:lblAlgn val="ctr"/>
        <c:lblOffset val="100"/>
        <c:noMultiLvlLbl val="0"/>
      </c:catAx>
      <c:valAx>
        <c:axId val="1690967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095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117089963161121"/>
          <c:h val="0.829987579364642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#,##0.0</c:formatCode>
                <c:ptCount val="5"/>
                <c:pt idx="0">
                  <c:v>26.4</c:v>
                </c:pt>
                <c:pt idx="1">
                  <c:v>24.416666666666668</c:v>
                </c:pt>
                <c:pt idx="2">
                  <c:v>25</c:v>
                </c:pt>
                <c:pt idx="3">
                  <c:v>24.6</c:v>
                </c:pt>
                <c:pt idx="4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#,##0.0</c:formatCode>
                <c:ptCount val="5"/>
                <c:pt idx="0">
                  <c:v>13.3</c:v>
                </c:pt>
                <c:pt idx="1">
                  <c:v>13.049999999999999</c:v>
                </c:pt>
                <c:pt idx="2">
                  <c:v>12.1</c:v>
                </c:pt>
                <c:pt idx="3">
                  <c:v>12.9</c:v>
                </c:pt>
                <c:pt idx="4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811392"/>
        <c:axId val="170812928"/>
      </c:barChart>
      <c:catAx>
        <c:axId val="170811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812928"/>
        <c:crosses val="autoZero"/>
        <c:auto val="1"/>
        <c:lblAlgn val="ctr"/>
        <c:lblOffset val="100"/>
        <c:noMultiLvlLbl val="0"/>
      </c:catAx>
      <c:valAx>
        <c:axId val="170812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81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6884366845236024"/>
                  <c:y val="0.23022695692450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33491624552514565"/>
                  <c:y val="-9.46436289103438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6.0477144376632333E-2</c:v>
                </c:pt>
                <c:pt idx="1">
                  <c:v>0.78466877422989656</c:v>
                </c:pt>
                <c:pt idx="2">
                  <c:v>3.4736346041682464E-2</c:v>
                </c:pt>
                <c:pt idx="3">
                  <c:v>0.12011773535178855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18273.080481515786</c:v>
                </c:pt>
                <c:pt idx="1">
                  <c:v>236567.15368463221</c:v>
                </c:pt>
                <c:pt idx="2">
                  <c:v>10335.236000000001</c:v>
                </c:pt>
                <c:pt idx="3">
                  <c:v>37078.40400000001</c:v>
                </c:pt>
                <c:pt idx="4">
                  <c:v>302253.87416614802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719488"/>
        <c:axId val="168721024"/>
      </c:barChart>
      <c:catAx>
        <c:axId val="168719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721024"/>
        <c:crosses val="autoZero"/>
        <c:auto val="1"/>
        <c:lblAlgn val="ctr"/>
        <c:lblOffset val="100"/>
        <c:noMultiLvlLbl val="0"/>
      </c:catAx>
      <c:valAx>
        <c:axId val="1687210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194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87667222797443E-2"/>
          <c:y val="7.1139872600047768E-2"/>
          <c:w val="0.876392993628898"/>
          <c:h val="0.60742706380742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'4.1'!$E$28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'4.1'!$E$29:$E$40</c:f>
              <c:numCache>
                <c:formatCode>#,##0.0</c:formatCode>
                <c:ptCount val="12"/>
                <c:pt idx="0">
                  <c:v>891.77987089563828</c:v>
                </c:pt>
                <c:pt idx="1">
                  <c:v>860.76740305537987</c:v>
                </c:pt>
                <c:pt idx="2">
                  <c:v>769.26811951702939</c:v>
                </c:pt>
                <c:pt idx="3">
                  <c:v>606.46775451524184</c:v>
                </c:pt>
                <c:pt idx="4">
                  <c:v>368.85357592765939</c:v>
                </c:pt>
                <c:pt idx="5">
                  <c:v>313.95310905674575</c:v>
                </c:pt>
                <c:pt idx="6">
                  <c:v>281.13655028742176</c:v>
                </c:pt>
                <c:pt idx="7">
                  <c:v>287.61269371612508</c:v>
                </c:pt>
                <c:pt idx="8">
                  <c:v>302.25361771234776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'4.1'!$F$28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'4.1'!$F$29:$F$40</c:f>
              <c:numCache>
                <c:formatCode>#,##0.0</c:formatCode>
                <c:ptCount val="12"/>
                <c:pt idx="0">
                  <c:v>1018.2711816603346</c:v>
                </c:pt>
                <c:pt idx="1">
                  <c:v>905.06624105235687</c:v>
                </c:pt>
                <c:pt idx="2">
                  <c:v>813.43576392756404</c:v>
                </c:pt>
                <c:pt idx="3">
                  <c:v>542.15893668344847</c:v>
                </c:pt>
                <c:pt idx="4">
                  <c:v>354.09291505284216</c:v>
                </c:pt>
                <c:pt idx="5">
                  <c:v>316.35299234701233</c:v>
                </c:pt>
                <c:pt idx="6">
                  <c:v>289.05993831840243</c:v>
                </c:pt>
                <c:pt idx="7">
                  <c:v>290.23701826417499</c:v>
                </c:pt>
                <c:pt idx="8">
                  <c:v>352.89337133559525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85632"/>
        <c:axId val="162887168"/>
      </c:barChart>
      <c:catAx>
        <c:axId val="16288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887168"/>
        <c:crosses val="autoZero"/>
        <c:auto val="1"/>
        <c:lblAlgn val="ctr"/>
        <c:lblOffset val="100"/>
        <c:noMultiLvlLbl val="0"/>
      </c:catAx>
      <c:valAx>
        <c:axId val="16288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85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090010774851205E-3"/>
          <c:y val="0.89268772123053763"/>
          <c:w val="0.28870175114184005"/>
          <c:h val="9.601031095304514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#,##0.0</c:formatCode>
                <c:ptCount val="5"/>
                <c:pt idx="0">
                  <c:v>18.32</c:v>
                </c:pt>
                <c:pt idx="1">
                  <c:v>16.627777777777776</c:v>
                </c:pt>
                <c:pt idx="2">
                  <c:v>16.09</c:v>
                </c:pt>
                <c:pt idx="3">
                  <c:v>16.65666666666667</c:v>
                </c:pt>
                <c:pt idx="4">
                  <c:v>16.65666666666667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00480"/>
        <c:axId val="170902272"/>
      </c:barChart>
      <c:catAx>
        <c:axId val="170900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902272"/>
        <c:crosses val="autoZero"/>
        <c:auto val="1"/>
        <c:lblAlgn val="ctr"/>
        <c:lblOffset val="100"/>
        <c:noMultiLvlLbl val="0"/>
      </c:catAx>
      <c:valAx>
        <c:axId val="1709022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0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8142457232510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#,##0.0</c:formatCode>
                <c:ptCount val="5"/>
                <c:pt idx="0">
                  <c:v>22.7</c:v>
                </c:pt>
                <c:pt idx="1">
                  <c:v>20.55</c:v>
                </c:pt>
                <c:pt idx="2">
                  <c:v>19.5</c:v>
                </c:pt>
                <c:pt idx="3">
                  <c:v>20.5</c:v>
                </c:pt>
                <c:pt idx="4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#,##0.0</c:formatCode>
                <c:ptCount val="5"/>
                <c:pt idx="0">
                  <c:v>12.5</c:v>
                </c:pt>
                <c:pt idx="1">
                  <c:v>11.433333333333332</c:v>
                </c:pt>
                <c:pt idx="2">
                  <c:v>10.199999999999999</c:v>
                </c:pt>
                <c:pt idx="3">
                  <c:v>11.5</c:v>
                </c:pt>
                <c:pt idx="4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795136"/>
        <c:axId val="168796928"/>
      </c:barChart>
      <c:catAx>
        <c:axId val="168795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796928"/>
        <c:crosses val="autoZero"/>
        <c:auto val="1"/>
        <c:lblAlgn val="ctr"/>
        <c:lblOffset val="100"/>
        <c:noMultiLvlLbl val="0"/>
      </c:catAx>
      <c:valAx>
        <c:axId val="168796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95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spPr>
            <a:solidFill>
              <a:srgbClr val="233060"/>
            </a:solidFill>
          </c:spPr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7481783779673074"/>
                  <c:y val="0.21061911378724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6759483548082744"/>
                  <c:y val="-9.1075343523236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6.0456067046045968E-2</c:v>
                </c:pt>
                <c:pt idx="1">
                  <c:v>0.78267699409070923</c:v>
                </c:pt>
                <c:pt idx="2">
                  <c:v>3.4193890908801892E-2</c:v>
                </c:pt>
                <c:pt idx="3">
                  <c:v>0.12267304795444285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54028.089714853704</c:v>
                </c:pt>
                <c:pt idx="1">
                  <c:v>673353.31104361406</c:v>
                </c:pt>
                <c:pt idx="2">
                  <c:v>29079.728010000003</c:v>
                </c:pt>
                <c:pt idx="3">
                  <c:v>114542.92193</c:v>
                </c:pt>
                <c:pt idx="4">
                  <c:v>871004.05069846765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28576"/>
        <c:axId val="171530112"/>
      </c:barChart>
      <c:catAx>
        <c:axId val="171528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1530112"/>
        <c:crosses val="autoZero"/>
        <c:auto val="1"/>
        <c:lblAlgn val="ctr"/>
        <c:lblOffset val="100"/>
        <c:noMultiLvlLbl val="0"/>
      </c:catAx>
      <c:valAx>
        <c:axId val="1715301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28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#,##0.0</c:formatCode>
                <c:ptCount val="5"/>
                <c:pt idx="0">
                  <c:v>20.145376344086021</c:v>
                </c:pt>
                <c:pt idx="1">
                  <c:v>18.41320191158901</c:v>
                </c:pt>
                <c:pt idx="2">
                  <c:v>18.102043010752691</c:v>
                </c:pt>
                <c:pt idx="3">
                  <c:v>18.464050179211469</c:v>
                </c:pt>
                <c:pt idx="4">
                  <c:v>18.464050179211469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63264"/>
        <c:axId val="171569152"/>
      </c:barChart>
      <c:catAx>
        <c:axId val="1715632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569152"/>
        <c:crosses val="autoZero"/>
        <c:auto val="1"/>
        <c:lblAlgn val="ctr"/>
        <c:lblOffset val="100"/>
        <c:noMultiLvlLbl val="0"/>
      </c:catAx>
      <c:valAx>
        <c:axId val="171569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6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1721442089768441"/>
          <c:h val="0.802050017469831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#,##0.0</c:formatCode>
                <c:ptCount val="5"/>
                <c:pt idx="0">
                  <c:v>29.1</c:v>
                </c:pt>
                <c:pt idx="1">
                  <c:v>26.066666666666666</c:v>
                </c:pt>
                <c:pt idx="2">
                  <c:v>26</c:v>
                </c:pt>
                <c:pt idx="3">
                  <c:v>26.1</c:v>
                </c:pt>
                <c:pt idx="4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#,##0.0</c:formatCode>
                <c:ptCount val="5"/>
                <c:pt idx="0">
                  <c:v>12.5</c:v>
                </c:pt>
                <c:pt idx="1">
                  <c:v>11.433333333333332</c:v>
                </c:pt>
                <c:pt idx="2">
                  <c:v>10.199999999999999</c:v>
                </c:pt>
                <c:pt idx="3">
                  <c:v>11.5</c:v>
                </c:pt>
                <c:pt idx="4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600128"/>
        <c:axId val="171601920"/>
      </c:barChart>
      <c:catAx>
        <c:axId val="171600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601920"/>
        <c:crosses val="autoZero"/>
        <c:auto val="1"/>
        <c:lblAlgn val="ctr"/>
        <c:lblOffset val="100"/>
        <c:noMultiLvlLbl val="0"/>
      </c:catAx>
      <c:valAx>
        <c:axId val="1716019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60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7801356659866183"/>
                  <c:y val="0.200815192218619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33594444964749431"/>
                  <c:y val="-0.113573329649583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6.2029665271393385E-2</c:v>
                </c:pt>
                <c:pt idx="1">
                  <c:v>0.77307712920926686</c:v>
                </c:pt>
                <c:pt idx="2">
                  <c:v>3.3386444054629427E-2</c:v>
                </c:pt>
                <c:pt idx="3">
                  <c:v>0.13150676146471049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8368183584301"/>
          <c:y val="6.4472404866917424E-2"/>
          <c:w val="0.7690258581725623"/>
          <c:h val="0.73605807575454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'5.10'!$D$31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'5.10'!$E$31:$H$31</c:f>
              <c:numCache>
                <c:formatCode>General</c:formatCode>
                <c:ptCount val="4"/>
                <c:pt idx="0">
                  <c:v>289971.15204709524</c:v>
                </c:pt>
                <c:pt idx="1">
                  <c:v>2036608.499707636</c:v>
                </c:pt>
                <c:pt idx="2">
                  <c:v>101321.212</c:v>
                </c:pt>
                <c:pt idx="3">
                  <c:v>93914.096560000005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'5.10'!$D$32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117735.97551584727</c:v>
                </c:pt>
                <c:pt idx="1">
                  <c:v>1045693.1061009595</c:v>
                </c:pt>
                <c:pt idx="2">
                  <c:v>52234.282999999996</c:v>
                </c:pt>
                <c:pt idx="3">
                  <c:v>73611.703309999997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'5.10'!$D$33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54028.089714853704</c:v>
                </c:pt>
                <c:pt idx="1">
                  <c:v>673353.31104361406</c:v>
                </c:pt>
                <c:pt idx="2">
                  <c:v>29079.728010000003</c:v>
                </c:pt>
                <c:pt idx="3">
                  <c:v>114542.92193000001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'5.10'!$D$34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1329792"/>
        <c:axId val="171335680"/>
      </c:barChart>
      <c:catAx>
        <c:axId val="17132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1335680"/>
        <c:crosses val="autoZero"/>
        <c:auto val="1"/>
        <c:lblAlgn val="ctr"/>
        <c:lblOffset val="100"/>
        <c:noMultiLvlLbl val="0"/>
      </c:catAx>
      <c:valAx>
        <c:axId val="17133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71329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666270190546593E-3"/>
          <c:y val="0.92739706505758956"/>
          <c:w val="0.42063452038283733"/>
          <c:h val="5.04952059563983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'6.8'!$D$7:$D$20</c:f>
              <c:numCache>
                <c:formatCode>#,##0</c:formatCode>
                <c:ptCount val="14"/>
                <c:pt idx="0">
                  <c:v>82162.377359999999</c:v>
                </c:pt>
                <c:pt idx="1">
                  <c:v>257410.32520999998</c:v>
                </c:pt>
                <c:pt idx="2">
                  <c:v>86734.737490000014</c:v>
                </c:pt>
                <c:pt idx="3">
                  <c:v>86922.989559999987</c:v>
                </c:pt>
                <c:pt idx="4">
                  <c:v>83577.256540000031</c:v>
                </c:pt>
                <c:pt idx="5">
                  <c:v>368381.52848000004</c:v>
                </c:pt>
                <c:pt idx="6">
                  <c:v>149535.44003</c:v>
                </c:pt>
                <c:pt idx="7">
                  <c:v>141083.83490000005</c:v>
                </c:pt>
                <c:pt idx="8">
                  <c:v>121132.76422</c:v>
                </c:pt>
                <c:pt idx="9">
                  <c:v>193064.76025067197</c:v>
                </c:pt>
                <c:pt idx="10">
                  <c:v>430304.96996799996</c:v>
                </c:pt>
                <c:pt idx="11">
                  <c:v>854846.41429099988</c:v>
                </c:pt>
                <c:pt idx="12">
                  <c:v>89881.508399999992</c:v>
                </c:pt>
                <c:pt idx="13">
                  <c:v>120786.37697999996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227200"/>
        <c:axId val="170676608"/>
      </c:barChart>
      <c:catAx>
        <c:axId val="1722272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0676608"/>
        <c:crosses val="autoZero"/>
        <c:auto val="1"/>
        <c:lblAlgn val="ctr"/>
        <c:lblOffset val="100"/>
        <c:noMultiLvlLbl val="0"/>
      </c:catAx>
      <c:valAx>
        <c:axId val="1706766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227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22834645669287"/>
          <c:y val="0.11005524565183827"/>
          <c:w val="0.626515220080248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'6.8'!$G$7:$G$20</c:f>
              <c:numCache>
                <c:formatCode>#,##0.0</c:formatCode>
                <c:ptCount val="14"/>
                <c:pt idx="0">
                  <c:v>19.529032258064518</c:v>
                </c:pt>
                <c:pt idx="1">
                  <c:v>21.893548387096772</c:v>
                </c:pt>
                <c:pt idx="2">
                  <c:v>17.964516129032258</c:v>
                </c:pt>
                <c:pt idx="3">
                  <c:v>18.967741935483872</c:v>
                </c:pt>
                <c:pt idx="4">
                  <c:v>18.958064516129035</c:v>
                </c:pt>
                <c:pt idx="5">
                  <c:v>19.612903225806448</c:v>
                </c:pt>
                <c:pt idx="6">
                  <c:v>19.674193548387098</c:v>
                </c:pt>
                <c:pt idx="7">
                  <c:v>19.767741935483873</c:v>
                </c:pt>
                <c:pt idx="8">
                  <c:v>19.864516129032253</c:v>
                </c:pt>
                <c:pt idx="9">
                  <c:v>22.287096774193554</c:v>
                </c:pt>
                <c:pt idx="10">
                  <c:v>20.470967741935493</c:v>
                </c:pt>
                <c:pt idx="11">
                  <c:v>19.85161290322581</c:v>
                </c:pt>
                <c:pt idx="12">
                  <c:v>19.79354838709677</c:v>
                </c:pt>
                <c:pt idx="13">
                  <c:v>19.387096774193548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713088"/>
        <c:axId val="170714624"/>
      </c:barChart>
      <c:catAx>
        <c:axId val="170713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0714624"/>
        <c:crosses val="autoZero"/>
        <c:auto val="1"/>
        <c:lblAlgn val="ctr"/>
        <c:lblOffset val="100"/>
        <c:noMultiLvlLbl val="0"/>
      </c:catAx>
      <c:valAx>
        <c:axId val="17071462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71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7921641351791E-2"/>
          <c:y val="7.1836716223887848E-2"/>
          <c:w val="0.90558639762917237"/>
          <c:h val="0.603581654229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'4.1'!$N$28</c:f>
              <c:strCache>
                <c:ptCount val="1"/>
                <c:pt idx="0">
                  <c:v>Průměr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'4.1'!$N$29:$N$40</c:f>
              <c:numCache>
                <c:formatCode>#,##0.0</c:formatCode>
                <c:ptCount val="12"/>
                <c:pt idx="0">
                  <c:v>2.1903225806451618</c:v>
                </c:pt>
                <c:pt idx="1">
                  <c:v>1.375</c:v>
                </c:pt>
                <c:pt idx="2">
                  <c:v>4.8774193548387101</c:v>
                </c:pt>
                <c:pt idx="3">
                  <c:v>6.6799999999999988</c:v>
                </c:pt>
                <c:pt idx="4">
                  <c:v>12.812903225806451</c:v>
                </c:pt>
                <c:pt idx="5">
                  <c:v>17.459999999999994</c:v>
                </c:pt>
                <c:pt idx="6">
                  <c:v>19.896774193548385</c:v>
                </c:pt>
                <c:pt idx="7">
                  <c:v>18.838709677419359</c:v>
                </c:pt>
                <c:pt idx="8">
                  <c:v>16.65666666666667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'4.1'!$O$28</c:f>
              <c:strCache>
                <c:ptCount val="1"/>
                <c:pt idx="0">
                  <c:v>Normál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'4.1'!$O$29:$O$40</c:f>
              <c:numCache>
                <c:formatCode>#,##0.0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96512"/>
        <c:axId val="162914688"/>
      </c:barChart>
      <c:catAx>
        <c:axId val="16289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914688"/>
        <c:crosses val="autoZero"/>
        <c:auto val="1"/>
        <c:lblAlgn val="ctr"/>
        <c:lblOffset val="100"/>
        <c:noMultiLvlLbl val="0"/>
      </c:catAx>
      <c:valAx>
        <c:axId val="16291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96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17552045021956E-3"/>
          <c:y val="0.89591169395866144"/>
          <c:w val="0.22936697982969578"/>
          <c:h val="9.695077050920250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39692883217182"/>
          <c:y val="0.11005524565183827"/>
          <c:w val="0.630346637704769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'6.9'!$G$7:$G$20</c:f>
              <c:numCache>
                <c:formatCode>#,##0.0</c:formatCode>
                <c:ptCount val="14"/>
                <c:pt idx="0">
                  <c:v>18.287096774193547</c:v>
                </c:pt>
                <c:pt idx="1">
                  <c:v>20.138709677419357</c:v>
                </c:pt>
                <c:pt idx="2">
                  <c:v>17.158064516129031</c:v>
                </c:pt>
                <c:pt idx="3">
                  <c:v>18.329032258064519</c:v>
                </c:pt>
                <c:pt idx="4">
                  <c:v>18.303225806451611</c:v>
                </c:pt>
                <c:pt idx="5">
                  <c:v>19.167741935483864</c:v>
                </c:pt>
                <c:pt idx="6">
                  <c:v>18.838709677419356</c:v>
                </c:pt>
                <c:pt idx="7">
                  <c:v>18.9258064516129</c:v>
                </c:pt>
                <c:pt idx="8">
                  <c:v>18.600000000000005</c:v>
                </c:pt>
                <c:pt idx="9">
                  <c:v>20.996774193548386</c:v>
                </c:pt>
                <c:pt idx="10">
                  <c:v>19.441935483870971</c:v>
                </c:pt>
                <c:pt idx="11">
                  <c:v>19.203225806451616</c:v>
                </c:pt>
                <c:pt idx="12">
                  <c:v>18.454838709677418</c:v>
                </c:pt>
                <c:pt idx="13">
                  <c:v>18.570967741935483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095936"/>
        <c:axId val="171097472"/>
      </c:barChart>
      <c:catAx>
        <c:axId val="1710959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1097472"/>
        <c:crosses val="autoZero"/>
        <c:auto val="1"/>
        <c:lblAlgn val="ctr"/>
        <c:lblOffset val="100"/>
        <c:noMultiLvlLbl val="0"/>
      </c:catAx>
      <c:valAx>
        <c:axId val="1710974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09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31812833740611"/>
          <c:y val="0.11005524565183827"/>
          <c:w val="0.56350011107545717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'6.9'!$D$7:$D$20</c:f>
              <c:numCache>
                <c:formatCode>#,##0</c:formatCode>
                <c:ptCount val="14"/>
                <c:pt idx="0">
                  <c:v>94777.97064</c:v>
                </c:pt>
                <c:pt idx="1">
                  <c:v>271596.23095</c:v>
                </c:pt>
                <c:pt idx="2">
                  <c:v>91641.415549999991</c:v>
                </c:pt>
                <c:pt idx="3">
                  <c:v>107515.93992999996</c:v>
                </c:pt>
                <c:pt idx="4">
                  <c:v>98240.721310000023</c:v>
                </c:pt>
                <c:pt idx="5">
                  <c:v>346778.98044000001</c:v>
                </c:pt>
                <c:pt idx="6">
                  <c:v>162936.26285000003</c:v>
                </c:pt>
                <c:pt idx="7">
                  <c:v>149030.84715000002</c:v>
                </c:pt>
                <c:pt idx="8">
                  <c:v>132333.92552999995</c:v>
                </c:pt>
                <c:pt idx="9">
                  <c:v>182223.08859500446</c:v>
                </c:pt>
                <c:pt idx="10">
                  <c:v>475816.22693</c:v>
                </c:pt>
                <c:pt idx="11">
                  <c:v>796778.19859300007</c:v>
                </c:pt>
                <c:pt idx="12">
                  <c:v>107291.18212000001</c:v>
                </c:pt>
                <c:pt idx="13">
                  <c:v>134395.66222000003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063744"/>
        <c:axId val="172073728"/>
      </c:barChart>
      <c:catAx>
        <c:axId val="1720637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073728"/>
        <c:crosses val="autoZero"/>
        <c:auto val="1"/>
        <c:lblAlgn val="ctr"/>
        <c:lblOffset val="100"/>
        <c:noMultiLvlLbl val="0"/>
      </c:catAx>
      <c:valAx>
        <c:axId val="1720737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063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73409358312972"/>
          <c:y val="0.11005524565183827"/>
          <c:w val="0.63800947295381183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'6.10'!$G$7:$G$20</c:f>
              <c:numCache>
                <c:formatCode>#,##0.0</c:formatCode>
                <c:ptCount val="14"/>
                <c:pt idx="0">
                  <c:v>15.906666666666666</c:v>
                </c:pt>
                <c:pt idx="1">
                  <c:v>18.02</c:v>
                </c:pt>
                <c:pt idx="2">
                  <c:v>14.750000000000004</c:v>
                </c:pt>
                <c:pt idx="3">
                  <c:v>16.076666666666668</c:v>
                </c:pt>
                <c:pt idx="4">
                  <c:v>15.963333333333336</c:v>
                </c:pt>
                <c:pt idx="5">
                  <c:v>16.50333333333333</c:v>
                </c:pt>
                <c:pt idx="6">
                  <c:v>16.786666666666669</c:v>
                </c:pt>
                <c:pt idx="7">
                  <c:v>16.779999999999998</c:v>
                </c:pt>
                <c:pt idx="8">
                  <c:v>15.953333333333338</c:v>
                </c:pt>
                <c:pt idx="9">
                  <c:v>18.766666666666666</c:v>
                </c:pt>
                <c:pt idx="10">
                  <c:v>17.139999999999997</c:v>
                </c:pt>
                <c:pt idx="11">
                  <c:v>16.473333333333333</c:v>
                </c:pt>
                <c:pt idx="12">
                  <c:v>16.653333333333329</c:v>
                </c:pt>
                <c:pt idx="13">
                  <c:v>16.686666666666664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44160"/>
        <c:axId val="172845696"/>
      </c:barChart>
      <c:catAx>
        <c:axId val="1728441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2845696"/>
        <c:crosses val="autoZero"/>
        <c:auto val="1"/>
        <c:lblAlgn val="ctr"/>
        <c:lblOffset val="100"/>
        <c:noMultiLvlLbl val="0"/>
      </c:catAx>
      <c:valAx>
        <c:axId val="1728456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4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'6.10'!$D$7:$D$20</c:f>
              <c:numCache>
                <c:formatCode>#,##0</c:formatCode>
                <c:ptCount val="14"/>
                <c:pt idx="0">
                  <c:v>96157.041189999989</c:v>
                </c:pt>
                <c:pt idx="1">
                  <c:v>262479.95943999989</c:v>
                </c:pt>
                <c:pt idx="2">
                  <c:v>83981.166910000014</c:v>
                </c:pt>
                <c:pt idx="3">
                  <c:v>108024.43651999997</c:v>
                </c:pt>
                <c:pt idx="4">
                  <c:v>101106.24248999999</c:v>
                </c:pt>
                <c:pt idx="5">
                  <c:v>422679.74448999995</c:v>
                </c:pt>
                <c:pt idx="6">
                  <c:v>164478.92584000004</c:v>
                </c:pt>
                <c:pt idx="7">
                  <c:v>136494.63160999995</c:v>
                </c:pt>
                <c:pt idx="8">
                  <c:v>144762.48605999997</c:v>
                </c:pt>
                <c:pt idx="9">
                  <c:v>192399.44745999193</c:v>
                </c:pt>
                <c:pt idx="10">
                  <c:v>506834.45169500011</c:v>
                </c:pt>
                <c:pt idx="11">
                  <c:v>849469.07588499982</c:v>
                </c:pt>
                <c:pt idx="12">
                  <c:v>103174.46094000002</c:v>
                </c:pt>
                <c:pt idx="13">
                  <c:v>134446.67969000002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78080"/>
        <c:axId val="172883968"/>
      </c:barChart>
      <c:catAx>
        <c:axId val="1728780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883968"/>
        <c:crosses val="autoZero"/>
        <c:auto val="1"/>
        <c:lblAlgn val="ctr"/>
        <c:lblOffset val="100"/>
        <c:noMultiLvlLbl val="0"/>
      </c:catAx>
      <c:valAx>
        <c:axId val="1728839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7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556551120765077"/>
          <c:y val="0.11005524565183827"/>
          <c:w val="0.6341780553292907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'6.11'!$G$7:$G$20</c:f>
              <c:numCache>
                <c:formatCode>#,##0.0</c:formatCode>
                <c:ptCount val="14"/>
                <c:pt idx="0">
                  <c:v>17.907598566308241</c:v>
                </c:pt>
                <c:pt idx="1">
                  <c:v>20.017419354838708</c:v>
                </c:pt>
                <c:pt idx="2">
                  <c:v>16.624193548387098</c:v>
                </c:pt>
                <c:pt idx="3">
                  <c:v>17.791146953405018</c:v>
                </c:pt>
                <c:pt idx="4">
                  <c:v>17.741541218637995</c:v>
                </c:pt>
                <c:pt idx="5">
                  <c:v>18.427992831541214</c:v>
                </c:pt>
                <c:pt idx="6">
                  <c:v>18.433189964157709</c:v>
                </c:pt>
                <c:pt idx="7">
                  <c:v>18.491182795698922</c:v>
                </c:pt>
                <c:pt idx="8">
                  <c:v>18.139283154121866</c:v>
                </c:pt>
                <c:pt idx="9">
                  <c:v>20.68351254480287</c:v>
                </c:pt>
                <c:pt idx="10">
                  <c:v>19.017634408602152</c:v>
                </c:pt>
                <c:pt idx="11">
                  <c:v>18.509390681003584</c:v>
                </c:pt>
                <c:pt idx="12">
                  <c:v>18.300573476702507</c:v>
                </c:pt>
                <c:pt idx="13">
                  <c:v>18.214910394265232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23616"/>
        <c:axId val="173025152"/>
      </c:barChart>
      <c:catAx>
        <c:axId val="173023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3025152"/>
        <c:crosses val="autoZero"/>
        <c:auto val="1"/>
        <c:lblAlgn val="ctr"/>
        <c:lblOffset val="100"/>
        <c:noMultiLvlLbl val="0"/>
      </c:catAx>
      <c:valAx>
        <c:axId val="173025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2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39649824336218"/>
          <c:y val="0.11005524565183827"/>
          <c:w val="0.5384217411695011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'6.11'!$D$7:$D$20</c:f>
              <c:numCache>
                <c:formatCode>#,##0</c:formatCode>
                <c:ptCount val="14"/>
                <c:pt idx="0">
                  <c:v>273097.38919000002</c:v>
                </c:pt>
                <c:pt idx="1">
                  <c:v>791486.51559999993</c:v>
                </c:pt>
                <c:pt idx="2">
                  <c:v>262357.31995000003</c:v>
                </c:pt>
                <c:pt idx="3">
                  <c:v>302463.36600999994</c:v>
                </c:pt>
                <c:pt idx="4">
                  <c:v>282924.22034000006</c:v>
                </c:pt>
                <c:pt idx="5">
                  <c:v>1137840.2534099999</c:v>
                </c:pt>
                <c:pt idx="6">
                  <c:v>476950.6287200001</c:v>
                </c:pt>
                <c:pt idx="7">
                  <c:v>426609.31366000004</c:v>
                </c:pt>
                <c:pt idx="8">
                  <c:v>398229.17580999987</c:v>
                </c:pt>
                <c:pt idx="9">
                  <c:v>567687.29630566842</c:v>
                </c:pt>
                <c:pt idx="10">
                  <c:v>1412955.6485929999</c:v>
                </c:pt>
                <c:pt idx="11">
                  <c:v>2501093.6887690001</c:v>
                </c:pt>
                <c:pt idx="12">
                  <c:v>300347.15146000008</c:v>
                </c:pt>
                <c:pt idx="13">
                  <c:v>389628.71889000002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49344"/>
        <c:axId val="173050880"/>
      </c:barChart>
      <c:catAx>
        <c:axId val="173049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3050880"/>
        <c:crosses val="autoZero"/>
        <c:auto val="1"/>
        <c:lblAlgn val="ctr"/>
        <c:lblOffset val="100"/>
        <c:noMultiLvlLbl val="0"/>
      </c:catAx>
      <c:valAx>
        <c:axId val="1730508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49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0597841936423"/>
          <c:y val="0.34057376401069023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2260234912496405"/>
                  <c:y val="1.72374885683857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'4.2'!$B$27:$F$27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'4.2'!$B$28:$F$28</c:f>
              <c:numCache>
                <c:formatCode>#,##0</c:formatCode>
                <c:ptCount val="5"/>
                <c:pt idx="0">
                  <c:v>1562</c:v>
                </c:pt>
                <c:pt idx="1">
                  <c:v>6124</c:v>
                </c:pt>
                <c:pt idx="2">
                  <c:v>203202</c:v>
                </c:pt>
                <c:pt idx="3">
                  <c:v>2561383</c:v>
                </c:pt>
                <c:pt idx="4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'4.2'!$I$28:$I$31</c:f>
              <c:numCache>
                <c:formatCode>#,##0.0</c:formatCode>
                <c:ptCount val="4"/>
                <c:pt idx="0">
                  <c:v>972.73779653115685</c:v>
                </c:pt>
                <c:pt idx="1">
                  <c:v>713.1469345859507</c:v>
                </c:pt>
                <c:pt idx="2">
                  <c:v>649.71897217572041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'4.2'!$J$28:$J$31</c:f>
              <c:numCache>
                <c:formatCode>#,##0.0</c:formatCode>
                <c:ptCount val="4"/>
                <c:pt idx="0">
                  <c:v>246.52069251980049</c:v>
                </c:pt>
                <c:pt idx="1">
                  <c:v>113.12263278371259</c:v>
                </c:pt>
                <c:pt idx="2">
                  <c:v>64.445374107523179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'4.2'!$K$28:$K$31</c:f>
              <c:numCache>
                <c:formatCode>#,##0.0</c:formatCode>
                <c:ptCount val="4"/>
                <c:pt idx="0">
                  <c:v>433.60110803893588</c:v>
                </c:pt>
                <c:pt idx="1">
                  <c:v>148.380611643517</c:v>
                </c:pt>
                <c:pt idx="2">
                  <c:v>47.979289138244155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'4.2'!$L$28:$L$31</c:f>
              <c:numCache>
                <c:formatCode>#,##0.0</c:formatCode>
                <c:ptCount val="4"/>
                <c:pt idx="0">
                  <c:v>793.64640396804884</c:v>
                </c:pt>
                <c:pt idx="1">
                  <c:v>278.60368638204932</c:v>
                </c:pt>
                <c:pt idx="2">
                  <c:v>84.069088311636236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'4.2'!$M$28:$M$31</c:f>
              <c:numCache>
                <c:formatCode>#,##0.0</c:formatCode>
                <c:ptCount val="4"/>
                <c:pt idx="0">
                  <c:v>22.174044978425176</c:v>
                </c:pt>
                <c:pt idx="1">
                  <c:v>22.272727339250615</c:v>
                </c:pt>
                <c:pt idx="2">
                  <c:v>21.824686121713619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34688"/>
        <c:axId val="164436224"/>
      </c:barChart>
      <c:catAx>
        <c:axId val="16443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436224"/>
        <c:crosses val="autoZero"/>
        <c:auto val="1"/>
        <c:lblAlgn val="ctr"/>
        <c:lblOffset val="100"/>
        <c:noMultiLvlLbl val="0"/>
      </c:catAx>
      <c:valAx>
        <c:axId val="16443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3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641202302644729E-2"/>
          <c:y val="0.91431116564974846"/>
          <c:w val="0.54397829038354595"/>
          <c:h val="8.22561533199307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'4.2'!$P$28:$P$31</c:f>
              <c:numCache>
                <c:formatCode>#,##0</c:formatCode>
                <c:ptCount val="4"/>
                <c:pt idx="0">
                  <c:v>10569.378439568</c:v>
                </c:pt>
                <c:pt idx="1">
                  <c:v>7797.5522529378686</c:v>
                </c:pt>
                <c:pt idx="2">
                  <c:v>7128.2792416596731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'4.2'!$Q$28:$Q$31</c:f>
              <c:numCache>
                <c:formatCode>#,##0</c:formatCode>
                <c:ptCount val="4"/>
                <c:pt idx="0">
                  <c:v>2678.3421776699997</c:v>
                </c:pt>
                <c:pt idx="1">
                  <c:v>1236.6427551400002</c:v>
                </c:pt>
                <c:pt idx="2">
                  <c:v>707.10366793999992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'4.2'!$R$28:$R$31</c:f>
              <c:numCache>
                <c:formatCode>#,##0</c:formatCode>
                <c:ptCount val="4"/>
                <c:pt idx="0">
                  <c:v>4710.2183123059049</c:v>
                </c:pt>
                <c:pt idx="1">
                  <c:v>1621.00079782993</c:v>
                </c:pt>
                <c:pt idx="2">
                  <c:v>526.35666583026068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'4.2'!$S$28:$S$31</c:f>
              <c:numCache>
                <c:formatCode>#,##0</c:formatCode>
                <c:ptCount val="4"/>
                <c:pt idx="0">
                  <c:v>8619.9176248230488</c:v>
                </c:pt>
                <c:pt idx="1">
                  <c:v>3043.5013785209489</c:v>
                </c:pt>
                <c:pt idx="2">
                  <c:v>922.47551249773574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'4.2'!$T$28:$T$31</c:f>
              <c:numCache>
                <c:formatCode>#,##0</c:formatCode>
                <c:ptCount val="4"/>
                <c:pt idx="0">
                  <c:v>240.80960168000001</c:v>
                </c:pt>
                <c:pt idx="1">
                  <c:v>243.62970901</c:v>
                </c:pt>
                <c:pt idx="2">
                  <c:v>239.45559878000003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486144"/>
        <c:axId val="165020416"/>
      </c:barChart>
      <c:catAx>
        <c:axId val="16448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20416"/>
        <c:crosses val="autoZero"/>
        <c:auto val="1"/>
        <c:lblAlgn val="ctr"/>
        <c:lblOffset val="100"/>
        <c:noMultiLvlLbl val="0"/>
      </c:catAx>
      <c:valAx>
        <c:axId val="16502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86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353287164405642E-3"/>
          <c:y val="0.92082355031032004"/>
          <c:w val="0.51630586449379434"/>
          <c:h val="7.9176414320556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'4.3'!$B$45:$B$47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'4.3'!$C$45:$C$47</c:f>
              <c:numCache>
                <c:formatCode>#,##0</c:formatCode>
                <c:ptCount val="3"/>
                <c:pt idx="0">
                  <c:v>12313.555622104723</c:v>
                </c:pt>
                <c:pt idx="1">
                  <c:v>6475.0270940252849</c:v>
                </c:pt>
                <c:pt idx="2">
                  <c:v>9068.9209770136058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47680"/>
        <c:axId val="165057664"/>
      </c:barChart>
      <c:catAx>
        <c:axId val="16504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057664"/>
        <c:crosses val="autoZero"/>
        <c:auto val="1"/>
        <c:lblAlgn val="ctr"/>
        <c:lblOffset val="100"/>
        <c:noMultiLvlLbl val="0"/>
      </c:catAx>
      <c:valAx>
        <c:axId val="165057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47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'4.3'!$E$45:$E$47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'4.3'!$F$45:$F$47</c:f>
              <c:numCache>
                <c:formatCode>#,##0</c:formatCode>
                <c:ptCount val="3"/>
                <c:pt idx="0">
                  <c:v>12181.172499759656</c:v>
                </c:pt>
                <c:pt idx="1">
                  <c:v>6574.6931317858471</c:v>
                </c:pt>
                <c:pt idx="2">
                  <c:v>9277.8288295524235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88256"/>
        <c:axId val="165090048"/>
      </c:barChart>
      <c:catAx>
        <c:axId val="1650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90048"/>
        <c:crosses val="autoZero"/>
        <c:auto val="1"/>
        <c:lblAlgn val="ctr"/>
        <c:lblOffset val="100"/>
        <c:noMultiLvlLbl val="0"/>
      </c:catAx>
      <c:valAx>
        <c:axId val="16509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88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image" Target="../media/image11.png"/><Relationship Id="rId4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11.png"/><Relationship Id="rId4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image" Target="../media/image11.png"/><Relationship Id="rId4" Type="http://schemas.openxmlformats.org/officeDocument/2006/relationships/chart" Target="../charts/chart3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image" Target="../media/image11.png"/><Relationship Id="rId4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1AA8B5-5249-445C-8B4E-732F9012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4977583</xdr:rowOff>
    </xdr:from>
    <xdr:to>
      <xdr:col>2</xdr:col>
      <xdr:colOff>985</xdr:colOff>
      <xdr:row>1</xdr:row>
      <xdr:rowOff>4633682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5A5B4A11-A448-40A2-8020-A1DA7E18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4977583"/>
          <a:ext cx="6430360" cy="4736099"/>
        </a:xfrm>
        <a:prstGeom prst="rect">
          <a:avLst/>
        </a:prstGeom>
      </xdr:spPr>
    </xdr:pic>
    <xdr:clientData/>
  </xdr:twoCellAnchor>
  <xdr:twoCellAnchor editAs="oneCell">
    <xdr:from>
      <xdr:col>1</xdr:col>
      <xdr:colOff>1569938</xdr:colOff>
      <xdr:row>1</xdr:row>
      <xdr:rowOff>3582605</xdr:rowOff>
    </xdr:from>
    <xdr:to>
      <xdr:col>2</xdr:col>
      <xdr:colOff>47128</xdr:colOff>
      <xdr:row>2</xdr:row>
      <xdr:rowOff>46623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58758D7-D9AE-4D28-8E13-F184DBD0F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5063" y="8662605"/>
          <a:ext cx="2001440" cy="12900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52</xdr:row>
      <xdr:rowOff>120650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52</xdr:row>
      <xdr:rowOff>165100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323850</xdr:colOff>
      <xdr:row>2</xdr:row>
      <xdr:rowOff>123825</xdr:rowOff>
    </xdr:from>
    <xdr:to>
      <xdr:col>2</xdr:col>
      <xdr:colOff>294586</xdr:colOff>
      <xdr:row>3</xdr:row>
      <xdr:rowOff>561975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9B2BDA4-8585-4555-B95B-A95B4D89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28625"/>
          <a:ext cx="856561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50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50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304800</xdr:colOff>
      <xdr:row>2</xdr:row>
      <xdr:rowOff>123825</xdr:rowOff>
    </xdr:from>
    <xdr:to>
      <xdr:col>2</xdr:col>
      <xdr:colOff>304800</xdr:colOff>
      <xdr:row>3</xdr:row>
      <xdr:rowOff>583568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FF69A7B-4C4B-40B4-A090-21957D0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" y="428625"/>
          <a:ext cx="885825" cy="65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28575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142875</xdr:colOff>
      <xdr:row>34</xdr:row>
      <xdr:rowOff>38100</xdr:rowOff>
    </xdr:from>
    <xdr:to>
      <xdr:col>4</xdr:col>
      <xdr:colOff>57152</xdr:colOff>
      <xdr:row>48</xdr:row>
      <xdr:rowOff>152399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18D57470-C8CE-41B0-9D13-6A6BBB738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57150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629D853-21F0-440B-8467-D525E11B1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47625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E71C72E-6C87-4172-9D38-6702F73C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0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38100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38100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2</xdr:row>
      <xdr:rowOff>219074</xdr:rowOff>
    </xdr:from>
    <xdr:ext cx="907958" cy="664845"/>
    <xdr:pic>
      <xdr:nvPicPr>
        <xdr:cNvPr id="9" name="Obrázek 8">
          <a:extLst>
            <a:ext uri="{FF2B5EF4-FFF2-40B4-BE49-F238E27FC236}">
              <a16:creationId xmlns:a16="http://schemas.microsoft.com/office/drawing/2014/main" id="{128EAC60-D702-4C8D-9840-8CEF24BEB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142875</xdr:rowOff>
    </xdr:from>
    <xdr:to>
      <xdr:col>10</xdr:col>
      <xdr:colOff>514350</xdr:colOff>
      <xdr:row>51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DD8DFCA-E82F-41D8-A381-19E5A72BA2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07F0B3E-169F-4537-9F96-F049448E9B4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06C6586-9FAF-4817-8031-B05116C8F8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673EDCB-75E3-4F3B-BB02-5BA3B0C555A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0B09FD-1449-4C7A-B229-FE5161C0E3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E987EE-9B6D-4116-94DD-D57C37C43C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3</xdr:row>
      <xdr:rowOff>0</xdr:rowOff>
    </xdr:from>
    <xdr:to>
      <xdr:col>2</xdr:col>
      <xdr:colOff>562645</xdr:colOff>
      <xdr:row>4</xdr:row>
      <xdr:rowOff>224567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A8F6B51-CF59-4EAA-97E8-5C6B3469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0" y="561975"/>
          <a:ext cx="629320" cy="472217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2F6A0A5-6A79-40E3-8C88-7D3D2D3B3A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54878A7-DCE0-436D-8028-DA1754B454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31EF213-6A00-47A5-B2D1-727FB9F552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1ADB51C-49D1-44A8-B337-9B8FC24F5E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11E01AE-7DD8-4700-8982-312544949A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E5F0081-9F62-4837-A907-02B4B807B1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4F0F9BD-7560-4F1F-8688-41811DE6FA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3617210-72F0-49B8-9D80-B4BC7EF57C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30</xdr:row>
      <xdr:rowOff>19050</xdr:rowOff>
    </xdr:from>
    <xdr:to>
      <xdr:col>4</xdr:col>
      <xdr:colOff>85726</xdr:colOff>
      <xdr:row>48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DDB014C-3084-4834-A9A1-0C3CADB0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52450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346721-374F-4FC6-81DE-B331FE4F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EAEC643-C980-4362-944D-F20F51F4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D4A0FEE-D3B4-4739-A6DF-7E809BD4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19049</xdr:rowOff>
    </xdr:from>
    <xdr:to>
      <xdr:col>1</xdr:col>
      <xdr:colOff>189265</xdr:colOff>
      <xdr:row>3</xdr:row>
      <xdr:rowOff>549524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847E974-281E-441B-9F27-C60104D0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29</xdr:row>
      <xdr:rowOff>19049</xdr:rowOff>
    </xdr:from>
    <xdr:ext cx="722665" cy="530475"/>
    <xdr:pic>
      <xdr:nvPicPr>
        <xdr:cNvPr id="6" name="Obrázek 5">
          <a:extLst>
            <a:ext uri="{FF2B5EF4-FFF2-40B4-BE49-F238E27FC236}">
              <a16:creationId xmlns:a16="http://schemas.microsoft.com/office/drawing/2014/main" id="{B6158311-4EF9-4A85-B6CF-CE21169F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20</xdr:col>
      <xdr:colOff>28575</xdr:colOff>
      <xdr:row>38</xdr:row>
      <xdr:rowOff>128386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01E71F8-84D4-46A9-8E1E-57EEF4063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7725"/>
          <a:ext cx="6324600" cy="61767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26</xdr:row>
      <xdr:rowOff>26670</xdr:rowOff>
    </xdr:from>
    <xdr:to>
      <xdr:col>9</xdr:col>
      <xdr:colOff>26671</xdr:colOff>
      <xdr:row>46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26</xdr:row>
      <xdr:rowOff>22859</xdr:rowOff>
    </xdr:from>
    <xdr:to>
      <xdr:col>18</xdr:col>
      <xdr:colOff>472441</xdr:colOff>
      <xdr:row>46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51</xdr:row>
      <xdr:rowOff>157162</xdr:rowOff>
    </xdr:from>
    <xdr:to>
      <xdr:col>5</xdr:col>
      <xdr:colOff>286868</xdr:colOff>
      <xdr:row>57</xdr:row>
      <xdr:rowOff>130478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D0FE0CE-B882-40A6-AACC-02B880A69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8310562"/>
          <a:ext cx="3633318" cy="925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17463</xdr:rowOff>
    </xdr:from>
    <xdr:to>
      <xdr:col>8</xdr:col>
      <xdr:colOff>457201</xdr:colOff>
      <xdr:row>44</xdr:row>
      <xdr:rowOff>88900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27</xdr:row>
      <xdr:rowOff>17462</xdr:rowOff>
    </xdr:from>
    <xdr:to>
      <xdr:col>19</xdr:col>
      <xdr:colOff>380999</xdr:colOff>
      <xdr:row>44</xdr:row>
      <xdr:rowOff>107950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9525</xdr:rowOff>
    </xdr:from>
    <xdr:to>
      <xdr:col>6</xdr:col>
      <xdr:colOff>266700</xdr:colOff>
      <xdr:row>40</xdr:row>
      <xdr:rowOff>107950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26</xdr:row>
      <xdr:rowOff>47625</xdr:rowOff>
    </xdr:from>
    <xdr:to>
      <xdr:col>13</xdr:col>
      <xdr:colOff>285751</xdr:colOff>
      <xdr:row>40</xdr:row>
      <xdr:rowOff>114300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26</xdr:row>
      <xdr:rowOff>19049</xdr:rowOff>
    </xdr:from>
    <xdr:to>
      <xdr:col>20</xdr:col>
      <xdr:colOff>476250</xdr:colOff>
      <xdr:row>40</xdr:row>
      <xdr:rowOff>88900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42</xdr:row>
      <xdr:rowOff>47625</xdr:rowOff>
    </xdr:from>
    <xdr:to>
      <xdr:col>3</xdr:col>
      <xdr:colOff>523874</xdr:colOff>
      <xdr:row>50</xdr:row>
      <xdr:rowOff>228599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42</xdr:row>
      <xdr:rowOff>38100</xdr:rowOff>
    </xdr:from>
    <xdr:to>
      <xdr:col>6</xdr:col>
      <xdr:colOff>495300</xdr:colOff>
      <xdr:row>50</xdr:row>
      <xdr:rowOff>219075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42</xdr:row>
      <xdr:rowOff>38100</xdr:rowOff>
    </xdr:from>
    <xdr:to>
      <xdr:col>9</xdr:col>
      <xdr:colOff>485775</xdr:colOff>
      <xdr:row>50</xdr:row>
      <xdr:rowOff>209550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57150</xdr:rowOff>
    </xdr:from>
    <xdr:to>
      <xdr:col>6</xdr:col>
      <xdr:colOff>295275</xdr:colOff>
      <xdr:row>52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47626</xdr:rowOff>
    </xdr:from>
    <xdr:to>
      <xdr:col>10</xdr:col>
      <xdr:colOff>228600</xdr:colOff>
      <xdr:row>52</xdr:row>
      <xdr:rowOff>152400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333375</xdr:colOff>
      <xdr:row>3</xdr:row>
      <xdr:rowOff>161925</xdr:rowOff>
    </xdr:from>
    <xdr:to>
      <xdr:col>2</xdr:col>
      <xdr:colOff>303862</xdr:colOff>
      <xdr:row>4</xdr:row>
      <xdr:rowOff>600075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CA5F219-B358-4BE5-89F0-6C82426C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723900"/>
          <a:ext cx="856312" cy="62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28576</xdr:rowOff>
    </xdr:from>
    <xdr:to>
      <xdr:col>6</xdr:col>
      <xdr:colOff>247650</xdr:colOff>
      <xdr:row>52</xdr:row>
      <xdr:rowOff>158750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85726</xdr:colOff>
      <xdr:row>37</xdr:row>
      <xdr:rowOff>57151</xdr:rowOff>
    </xdr:from>
    <xdr:to>
      <xdr:col>10</xdr:col>
      <xdr:colOff>19050</xdr:colOff>
      <xdr:row>52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239378</xdr:colOff>
      <xdr:row>4</xdr:row>
      <xdr:rowOff>202531</xdr:rowOff>
    </xdr:from>
    <xdr:to>
      <xdr:col>2</xdr:col>
      <xdr:colOff>53640</xdr:colOff>
      <xdr:row>4</xdr:row>
      <xdr:rowOff>254167</xdr:rowOff>
    </xdr:to>
    <xdr:sp macro="" textlink="">
      <xdr:nvSpPr>
        <xdr:cNvPr id="12" name="Volný tvar: obrazec 11">
          <a:extLst>
            <a:ext uri="{FF2B5EF4-FFF2-40B4-BE49-F238E27FC236}">
              <a16:creationId xmlns:a16="http://schemas.microsoft.com/office/drawing/2014/main" id="{DB01A8B9-E390-4F63-A3F6-B16E7BA119F9}"/>
            </a:ext>
          </a:extLst>
        </xdr:cNvPr>
        <xdr:cNvSpPr/>
      </xdr:nvSpPr>
      <xdr:spPr>
        <a:xfrm>
          <a:off x="868028" y="955006"/>
          <a:ext cx="71437" cy="51636"/>
        </a:xfrm>
        <a:custGeom>
          <a:avLst/>
          <a:gdLst>
            <a:gd name="connsiteX0" fmla="*/ 0 w 3305175"/>
            <a:gd name="connsiteY0" fmla="*/ 771525 h 2552700"/>
            <a:gd name="connsiteX1" fmla="*/ 514350 w 3305175"/>
            <a:gd name="connsiteY1" fmla="*/ 514350 h 2552700"/>
            <a:gd name="connsiteX2" fmla="*/ 647700 w 3305175"/>
            <a:gd name="connsiteY2" fmla="*/ 647700 h 2552700"/>
            <a:gd name="connsiteX3" fmla="*/ 904875 w 3305175"/>
            <a:gd name="connsiteY3" fmla="*/ 628650 h 2552700"/>
            <a:gd name="connsiteX4" fmla="*/ 933450 w 3305175"/>
            <a:gd name="connsiteY4" fmla="*/ 342900 h 2552700"/>
            <a:gd name="connsiteX5" fmla="*/ 1066800 w 3305175"/>
            <a:gd name="connsiteY5" fmla="*/ 314325 h 2552700"/>
            <a:gd name="connsiteX6" fmla="*/ 1123950 w 3305175"/>
            <a:gd name="connsiteY6" fmla="*/ 381000 h 2552700"/>
            <a:gd name="connsiteX7" fmla="*/ 1781175 w 3305175"/>
            <a:gd name="connsiteY7" fmla="*/ 28575 h 2552700"/>
            <a:gd name="connsiteX8" fmla="*/ 2085975 w 3305175"/>
            <a:gd name="connsiteY8" fmla="*/ 0 h 2552700"/>
            <a:gd name="connsiteX9" fmla="*/ 2447925 w 3305175"/>
            <a:gd name="connsiteY9" fmla="*/ 285750 h 2552700"/>
            <a:gd name="connsiteX10" fmla="*/ 2600325 w 3305175"/>
            <a:gd name="connsiteY10" fmla="*/ 533400 h 2552700"/>
            <a:gd name="connsiteX11" fmla="*/ 2933700 w 3305175"/>
            <a:gd name="connsiteY11" fmla="*/ 581025 h 2552700"/>
            <a:gd name="connsiteX12" fmla="*/ 3305175 w 3305175"/>
            <a:gd name="connsiteY12" fmla="*/ 1038225 h 2552700"/>
            <a:gd name="connsiteX13" fmla="*/ 2867025 w 3305175"/>
            <a:gd name="connsiteY13" fmla="*/ 1295400 h 2552700"/>
            <a:gd name="connsiteX14" fmla="*/ 3067050 w 3305175"/>
            <a:gd name="connsiteY14" fmla="*/ 1752600 h 2552700"/>
            <a:gd name="connsiteX15" fmla="*/ 2847975 w 3305175"/>
            <a:gd name="connsiteY15" fmla="*/ 1981200 h 2552700"/>
            <a:gd name="connsiteX16" fmla="*/ 2371725 w 3305175"/>
            <a:gd name="connsiteY16" fmla="*/ 1781175 h 2552700"/>
            <a:gd name="connsiteX17" fmla="*/ 1400175 w 3305175"/>
            <a:gd name="connsiteY17" fmla="*/ 2295525 h 2552700"/>
            <a:gd name="connsiteX18" fmla="*/ 1143000 w 3305175"/>
            <a:gd name="connsiteY18" fmla="*/ 2228850 h 2552700"/>
            <a:gd name="connsiteX19" fmla="*/ 1143000 w 3305175"/>
            <a:gd name="connsiteY19" fmla="*/ 2552700 h 2552700"/>
            <a:gd name="connsiteX20" fmla="*/ 676275 w 3305175"/>
            <a:gd name="connsiteY20" fmla="*/ 2447925 h 2552700"/>
            <a:gd name="connsiteX21" fmla="*/ 571500 w 3305175"/>
            <a:gd name="connsiteY21" fmla="*/ 1771650 h 2552700"/>
            <a:gd name="connsiteX22" fmla="*/ 104775 w 3305175"/>
            <a:gd name="connsiteY22" fmla="*/ 1333500 h 2552700"/>
            <a:gd name="connsiteX23" fmla="*/ 381000 w 3305175"/>
            <a:gd name="connsiteY23" fmla="*/ 1066800 h 2552700"/>
            <a:gd name="connsiteX24" fmla="*/ 0 w 3305175"/>
            <a:gd name="connsiteY24" fmla="*/ 771525 h 2552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3305175" h="2552700">
              <a:moveTo>
                <a:pt x="0" y="771525"/>
              </a:moveTo>
              <a:lnTo>
                <a:pt x="514350" y="514350"/>
              </a:lnTo>
              <a:lnTo>
                <a:pt x="647700" y="647700"/>
              </a:lnTo>
              <a:lnTo>
                <a:pt x="904875" y="628650"/>
              </a:lnTo>
              <a:lnTo>
                <a:pt x="933450" y="342900"/>
              </a:lnTo>
              <a:lnTo>
                <a:pt x="1066800" y="314325"/>
              </a:lnTo>
              <a:lnTo>
                <a:pt x="1123950" y="381000"/>
              </a:lnTo>
              <a:lnTo>
                <a:pt x="1781175" y="28575"/>
              </a:lnTo>
              <a:lnTo>
                <a:pt x="2085975" y="0"/>
              </a:lnTo>
              <a:lnTo>
                <a:pt x="2447925" y="285750"/>
              </a:lnTo>
              <a:lnTo>
                <a:pt x="2600325" y="533400"/>
              </a:lnTo>
              <a:lnTo>
                <a:pt x="2933700" y="581025"/>
              </a:lnTo>
              <a:lnTo>
                <a:pt x="3305175" y="1038225"/>
              </a:lnTo>
              <a:lnTo>
                <a:pt x="2867025" y="1295400"/>
              </a:lnTo>
              <a:lnTo>
                <a:pt x="3067050" y="1752600"/>
              </a:lnTo>
              <a:lnTo>
                <a:pt x="2847975" y="1981200"/>
              </a:lnTo>
              <a:lnTo>
                <a:pt x="2371725" y="1781175"/>
              </a:lnTo>
              <a:lnTo>
                <a:pt x="1400175" y="2295525"/>
              </a:lnTo>
              <a:lnTo>
                <a:pt x="1143000" y="2228850"/>
              </a:lnTo>
              <a:lnTo>
                <a:pt x="1143000" y="2552700"/>
              </a:lnTo>
              <a:lnTo>
                <a:pt x="676275" y="2447925"/>
              </a:lnTo>
              <a:lnTo>
                <a:pt x="571500" y="1771650"/>
              </a:lnTo>
              <a:lnTo>
                <a:pt x="104775" y="1333500"/>
              </a:lnTo>
              <a:lnTo>
                <a:pt x="381000" y="1066800"/>
              </a:lnTo>
              <a:lnTo>
                <a:pt x="0" y="771525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0</xdr:col>
      <xdr:colOff>323850</xdr:colOff>
      <xdr:row>3</xdr:row>
      <xdr:rowOff>28575</xdr:rowOff>
    </xdr:from>
    <xdr:to>
      <xdr:col>2</xdr:col>
      <xdr:colOff>295275</xdr:colOff>
      <xdr:row>4</xdr:row>
      <xdr:rowOff>28423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9C67806-0819-47C3-91A3-A85E2A7CC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95300"/>
          <a:ext cx="857250" cy="6284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52</xdr:row>
      <xdr:rowOff>158750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37</xdr:row>
      <xdr:rowOff>47625</xdr:rowOff>
    </xdr:from>
    <xdr:to>
      <xdr:col>6</xdr:col>
      <xdr:colOff>295275</xdr:colOff>
      <xdr:row>52</xdr:row>
      <xdr:rowOff>146050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314326</xdr:colOff>
      <xdr:row>2</xdr:row>
      <xdr:rowOff>142876</xdr:rowOff>
    </xdr:from>
    <xdr:to>
      <xdr:col>2</xdr:col>
      <xdr:colOff>286697</xdr:colOff>
      <xdr:row>3</xdr:row>
      <xdr:rowOff>581026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B611F01-5990-4EE6-985D-4D5B1F8E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6" y="447676"/>
          <a:ext cx="858196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EE4A-A0B5-4F83-9926-315C635D1C0E}">
  <sheetPr codeName="List1"/>
  <dimension ref="A1:K50"/>
  <sheetViews>
    <sheetView showGridLines="0" tabSelected="1" showWhiteSpace="0" zoomScaleNormal="100" zoomScaleSheetLayoutView="70" zoomScalePageLayoutView="70" workbookViewId="0">
      <selection activeCell="G1" sqref="G1"/>
    </sheetView>
  </sheetViews>
  <sheetFormatPr defaultColWidth="9.140625" defaultRowHeight="12.75"/>
  <cols>
    <col min="1" max="1" width="41.5703125" style="134" customWidth="1"/>
    <col min="2" max="2" width="50.42578125" style="134" customWidth="1"/>
    <col min="3" max="9" width="9.85546875" style="134" customWidth="1"/>
    <col min="10" max="10" width="10.28515625" style="134" customWidth="1"/>
    <col min="11" max="16384" width="9.140625" style="134"/>
  </cols>
  <sheetData>
    <row r="1" spans="1:11" ht="399.75" customHeight="1">
      <c r="A1" s="413" t="s">
        <v>320</v>
      </c>
      <c r="B1" s="414"/>
    </row>
    <row r="2" spans="1:11" ht="380.1" customHeight="1">
      <c r="A2" s="135"/>
      <c r="B2" s="136"/>
      <c r="C2" s="137"/>
      <c r="D2" s="137"/>
      <c r="E2" s="137"/>
      <c r="F2" s="137"/>
      <c r="G2" s="137"/>
      <c r="H2" s="137"/>
      <c r="I2" s="137"/>
      <c r="J2" s="137"/>
      <c r="K2" s="134" t="s">
        <v>259</v>
      </c>
    </row>
    <row r="3" spans="1:11">
      <c r="B3" s="138"/>
      <c r="D3" s="139"/>
      <c r="E3" s="140"/>
      <c r="F3" s="140"/>
      <c r="G3" s="140"/>
      <c r="J3" s="141"/>
    </row>
    <row r="9" spans="1:11">
      <c r="B9" s="142"/>
      <c r="I9" s="143"/>
    </row>
    <row r="10" spans="1:11">
      <c r="B10" s="144"/>
      <c r="C10" s="145"/>
    </row>
    <row r="11" spans="1:11">
      <c r="B11" s="144"/>
      <c r="C11" s="145"/>
    </row>
    <row r="12" spans="1:11">
      <c r="B12" s="144"/>
      <c r="C12" s="145"/>
    </row>
    <row r="13" spans="1:11">
      <c r="A13" s="146"/>
      <c r="B13" s="147"/>
      <c r="C13" s="148"/>
      <c r="D13" s="146"/>
      <c r="E13" s="146"/>
      <c r="F13" s="146"/>
      <c r="G13" s="146"/>
      <c r="H13" s="146"/>
      <c r="I13" s="146"/>
      <c r="J13" s="146"/>
    </row>
    <row r="14" spans="1:11">
      <c r="A14" s="146"/>
      <c r="B14" s="147"/>
      <c r="C14" s="148"/>
      <c r="D14" s="146"/>
      <c r="E14" s="146"/>
      <c r="F14" s="146"/>
      <c r="G14" s="146"/>
      <c r="H14" s="146"/>
      <c r="I14" s="146"/>
      <c r="J14" s="146"/>
    </row>
    <row r="15" spans="1:11">
      <c r="A15" s="146"/>
      <c r="B15" s="147"/>
      <c r="C15" s="148"/>
      <c r="D15" s="146"/>
      <c r="E15" s="146"/>
      <c r="F15" s="146"/>
      <c r="G15" s="146"/>
      <c r="H15" s="146"/>
      <c r="I15" s="146"/>
      <c r="J15" s="146"/>
    </row>
    <row r="16" spans="1:11">
      <c r="A16" s="146"/>
      <c r="B16" s="147"/>
      <c r="C16" s="148"/>
      <c r="D16" s="146"/>
      <c r="E16" s="146"/>
      <c r="F16" s="146"/>
      <c r="G16" s="146"/>
      <c r="H16" s="146"/>
      <c r="I16" s="146"/>
      <c r="J16" s="146"/>
    </row>
    <row r="17" spans="1:10">
      <c r="A17" s="146"/>
      <c r="B17" s="147"/>
      <c r="C17" s="148"/>
      <c r="D17" s="146"/>
      <c r="E17" s="146"/>
      <c r="F17" s="146"/>
      <c r="G17" s="146"/>
      <c r="H17" s="146"/>
      <c r="I17" s="146"/>
      <c r="J17" s="146"/>
    </row>
    <row r="18" spans="1:10">
      <c r="A18" s="146"/>
      <c r="B18" s="147"/>
      <c r="C18" s="148"/>
      <c r="D18" s="146"/>
      <c r="E18" s="146"/>
      <c r="F18" s="146"/>
      <c r="G18" s="146"/>
      <c r="H18" s="146"/>
      <c r="I18" s="146"/>
      <c r="J18" s="146"/>
    </row>
    <row r="19" spans="1:10">
      <c r="A19" s="146"/>
      <c r="B19" s="147"/>
      <c r="C19" s="148"/>
      <c r="D19" s="146"/>
      <c r="E19" s="146"/>
      <c r="F19" s="146"/>
      <c r="G19" s="146"/>
      <c r="H19" s="146"/>
      <c r="I19" s="146"/>
      <c r="J19" s="146"/>
    </row>
    <row r="21" spans="1:10">
      <c r="A21" s="146"/>
      <c r="B21" s="147"/>
      <c r="C21" s="148"/>
      <c r="D21" s="146"/>
      <c r="E21" s="146"/>
      <c r="F21" s="146"/>
      <c r="G21" s="146"/>
      <c r="H21" s="146"/>
      <c r="I21" s="146"/>
      <c r="J21" s="146"/>
    </row>
    <row r="22" spans="1:10">
      <c r="A22" s="146"/>
      <c r="B22" s="147"/>
      <c r="C22" s="148"/>
      <c r="D22" s="146"/>
      <c r="E22" s="146"/>
      <c r="F22" s="146"/>
      <c r="G22" s="146"/>
      <c r="H22" s="146"/>
      <c r="I22" s="146"/>
      <c r="J22" s="146"/>
    </row>
    <row r="23" spans="1:10">
      <c r="A23" s="146"/>
      <c r="B23" s="147"/>
      <c r="C23" s="148"/>
      <c r="D23" s="146"/>
      <c r="E23" s="146"/>
      <c r="F23" s="146"/>
      <c r="G23" s="146"/>
      <c r="H23" s="146"/>
      <c r="I23" s="146"/>
      <c r="J23" s="146"/>
    </row>
    <row r="25" spans="1:10">
      <c r="A25" s="146"/>
      <c r="C25" s="148"/>
      <c r="D25" s="146"/>
      <c r="E25" s="146"/>
      <c r="F25" s="146"/>
      <c r="G25" s="146"/>
      <c r="H25" s="146"/>
      <c r="I25" s="146"/>
      <c r="J25" s="146"/>
    </row>
    <row r="26" spans="1:10">
      <c r="A26" s="146"/>
      <c r="C26" s="148"/>
      <c r="D26" s="146"/>
      <c r="E26" s="146"/>
      <c r="F26" s="146"/>
      <c r="G26" s="146"/>
      <c r="H26" s="146"/>
      <c r="I26" s="146"/>
      <c r="J26" s="146"/>
    </row>
    <row r="27" spans="1:10">
      <c r="A27" s="146"/>
      <c r="C27" s="148"/>
      <c r="D27" s="146"/>
      <c r="E27" s="146"/>
      <c r="F27" s="146"/>
      <c r="G27" s="146"/>
      <c r="H27" s="146"/>
      <c r="I27" s="146"/>
      <c r="J27" s="146"/>
    </row>
    <row r="28" spans="1:10">
      <c r="A28" s="415"/>
      <c r="B28" s="415"/>
      <c r="C28" s="415"/>
      <c r="D28" s="415"/>
      <c r="E28" s="415"/>
      <c r="F28" s="415"/>
      <c r="G28" s="415"/>
      <c r="H28" s="415"/>
      <c r="I28" s="415"/>
      <c r="J28" s="415"/>
    </row>
    <row r="29" spans="1:10">
      <c r="A29" s="146"/>
      <c r="B29" s="147"/>
      <c r="C29" s="148"/>
      <c r="D29" s="146"/>
      <c r="E29" s="146"/>
      <c r="F29" s="146"/>
      <c r="G29" s="146"/>
      <c r="H29" s="146"/>
      <c r="I29" s="146"/>
      <c r="J29" s="146"/>
    </row>
    <row r="31" spans="1:10">
      <c r="A31" s="146"/>
      <c r="B31" s="147"/>
      <c r="C31" s="148"/>
      <c r="D31" s="146"/>
      <c r="E31" s="146"/>
      <c r="F31" s="146"/>
      <c r="G31" s="146"/>
      <c r="H31" s="146"/>
      <c r="I31" s="146"/>
      <c r="J31" s="146"/>
    </row>
    <row r="32" spans="1:10">
      <c r="A32" s="146"/>
      <c r="B32" s="147"/>
      <c r="C32" s="148"/>
      <c r="D32" s="146"/>
      <c r="E32" s="146"/>
      <c r="F32" s="146"/>
      <c r="G32" s="146"/>
      <c r="H32" s="146"/>
      <c r="I32" s="146"/>
      <c r="J32" s="146"/>
    </row>
    <row r="33" spans="1:10">
      <c r="A33" s="416"/>
      <c r="B33" s="416"/>
      <c r="C33" s="416"/>
      <c r="D33" s="416"/>
      <c r="E33" s="416"/>
      <c r="F33" s="416"/>
      <c r="G33" s="416"/>
      <c r="H33" s="416"/>
      <c r="I33" s="416"/>
      <c r="J33" s="416"/>
    </row>
    <row r="34" spans="1:10">
      <c r="B34" s="141"/>
      <c r="C34" s="141"/>
      <c r="D34" s="141"/>
      <c r="E34" s="141"/>
      <c r="F34" s="141"/>
      <c r="G34" s="141"/>
      <c r="H34" s="141"/>
      <c r="I34" s="141"/>
      <c r="J34" s="141"/>
    </row>
    <row r="37" spans="1:10">
      <c r="B37" s="144"/>
      <c r="C37" s="145"/>
    </row>
    <row r="39" spans="1:10">
      <c r="B39" s="149"/>
      <c r="C39" s="149"/>
      <c r="D39" s="149"/>
      <c r="E39" s="149"/>
      <c r="F39" s="149"/>
      <c r="G39" s="149"/>
      <c r="H39" s="149"/>
      <c r="I39" s="149"/>
    </row>
    <row r="50" spans="1:10">
      <c r="A50" s="417"/>
      <c r="B50" s="417"/>
      <c r="C50" s="417"/>
      <c r="D50" s="417"/>
      <c r="E50" s="417"/>
      <c r="F50" s="417"/>
      <c r="G50" s="417"/>
      <c r="H50" s="417"/>
      <c r="I50" s="417"/>
      <c r="J50" s="417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5"/>
  <sheetViews>
    <sheetView showGridLines="0" topLeftCell="A4" zoomScaleNormal="100" zoomScaleSheetLayoutView="100" workbookViewId="0">
      <selection activeCell="G1" sqref="G1"/>
    </sheetView>
  </sheetViews>
  <sheetFormatPr defaultColWidth="9.140625" defaultRowHeight="12.75"/>
  <cols>
    <col min="1" max="1" width="18.42578125" style="76" customWidth="1"/>
    <col min="2" max="10" width="9" style="76" customWidth="1"/>
    <col min="11" max="12" width="7.7109375" style="76" customWidth="1"/>
    <col min="13" max="13" width="9.28515625" style="76" bestFit="1" customWidth="1"/>
    <col min="14" max="14" width="9.85546875" style="76" bestFit="1" customWidth="1"/>
    <col min="15" max="16384" width="9.140625" style="76"/>
  </cols>
  <sheetData>
    <row r="1" spans="1:10" ht="18">
      <c r="A1" s="471" t="s">
        <v>296</v>
      </c>
      <c r="B1" s="471"/>
      <c r="C1" s="471"/>
      <c r="D1" s="471"/>
      <c r="E1" s="471"/>
      <c r="F1" s="471"/>
      <c r="G1" s="471"/>
      <c r="H1" s="471"/>
      <c r="I1" s="471"/>
      <c r="J1" s="471"/>
    </row>
    <row r="2" spans="1:10" ht="6" customHeight="1">
      <c r="A2" s="253"/>
      <c r="B2" s="254"/>
      <c r="C2" s="254"/>
      <c r="D2" s="254"/>
      <c r="E2" s="254"/>
      <c r="F2" s="254"/>
      <c r="G2" s="254"/>
      <c r="H2" s="254"/>
      <c r="I2" s="254"/>
      <c r="J2" s="254"/>
    </row>
    <row r="3" spans="1:10" ht="15.75" customHeight="1">
      <c r="A3" s="299">
        <f>'3.1'!A4</f>
        <v>2023</v>
      </c>
      <c r="B3" s="473" t="str">
        <f>'3.1'!D5</f>
        <v>Červenec</v>
      </c>
      <c r="C3" s="472"/>
      <c r="D3" s="474"/>
      <c r="E3" s="472" t="str">
        <f>'3.1'!E5</f>
        <v>Srpen</v>
      </c>
      <c r="F3" s="472"/>
      <c r="G3" s="472"/>
      <c r="H3" s="473" t="str">
        <f>'3.1'!F5</f>
        <v>Září</v>
      </c>
      <c r="I3" s="472"/>
      <c r="J3" s="472"/>
    </row>
    <row r="4" spans="1:10" ht="28.5" customHeight="1">
      <c r="A4" s="273"/>
      <c r="B4" s="475" t="s">
        <v>60</v>
      </c>
      <c r="C4" s="476"/>
      <c r="D4" s="222" t="s">
        <v>183</v>
      </c>
      <c r="E4" s="476" t="s">
        <v>60</v>
      </c>
      <c r="F4" s="476"/>
      <c r="G4" s="219" t="s">
        <v>183</v>
      </c>
      <c r="H4" s="475" t="s">
        <v>60</v>
      </c>
      <c r="I4" s="476"/>
      <c r="J4" s="219" t="s">
        <v>183</v>
      </c>
    </row>
    <row r="5" spans="1:10" ht="15" customHeight="1">
      <c r="A5" s="261" t="s">
        <v>175</v>
      </c>
      <c r="B5" s="221" t="s">
        <v>261</v>
      </c>
      <c r="C5" s="219" t="s">
        <v>262</v>
      </c>
      <c r="D5" s="222" t="s">
        <v>230</v>
      </c>
      <c r="E5" s="219" t="s">
        <v>261</v>
      </c>
      <c r="F5" s="219" t="s">
        <v>262</v>
      </c>
      <c r="G5" s="219" t="s">
        <v>230</v>
      </c>
      <c r="H5" s="221" t="s">
        <v>261</v>
      </c>
      <c r="I5" s="219" t="s">
        <v>262</v>
      </c>
      <c r="J5" s="219" t="s">
        <v>230</v>
      </c>
    </row>
    <row r="6" spans="1:10" ht="12.6" customHeight="1">
      <c r="A6" s="154">
        <v>1</v>
      </c>
      <c r="B6" s="155">
        <v>7009.5808673558913</v>
      </c>
      <c r="C6" s="156">
        <v>76819.818902741943</v>
      </c>
      <c r="D6" s="267">
        <v>19.3</v>
      </c>
      <c r="E6" s="156">
        <v>8150.4275769245751</v>
      </c>
      <c r="F6" s="156">
        <v>89408.835453806445</v>
      </c>
      <c r="G6" s="255">
        <v>16.399999999999999</v>
      </c>
      <c r="H6" s="155">
        <v>10825.02799517862</v>
      </c>
      <c r="I6" s="156">
        <v>118811.29272543333</v>
      </c>
      <c r="J6" s="255">
        <v>15.6</v>
      </c>
    </row>
    <row r="7" spans="1:10" ht="12.6" customHeight="1">
      <c r="A7" s="154">
        <v>2</v>
      </c>
      <c r="B7" s="155">
        <v>7312.0225117276768</v>
      </c>
      <c r="C7" s="156">
        <v>80134.992902741942</v>
      </c>
      <c r="D7" s="267">
        <v>18.2</v>
      </c>
      <c r="E7" s="156">
        <v>8294.4514288393038</v>
      </c>
      <c r="F7" s="156">
        <v>90990.117453806452</v>
      </c>
      <c r="G7" s="255">
        <v>18.3</v>
      </c>
      <c r="H7" s="155">
        <v>8303.2966189830422</v>
      </c>
      <c r="I7" s="156">
        <v>91165.921725433334</v>
      </c>
      <c r="J7" s="255">
        <v>17.399999999999999</v>
      </c>
    </row>
    <row r="8" spans="1:10" ht="12.6" customHeight="1">
      <c r="A8" s="154">
        <v>3</v>
      </c>
      <c r="B8" s="155">
        <v>8630.163662908426</v>
      </c>
      <c r="C8" s="156">
        <v>94576.017902741936</v>
      </c>
      <c r="D8" s="267">
        <v>18.899999999999999</v>
      </c>
      <c r="E8" s="156">
        <v>8477.1570383514518</v>
      </c>
      <c r="F8" s="156">
        <v>92993.20045380645</v>
      </c>
      <c r="G8" s="255">
        <v>18</v>
      </c>
      <c r="H8" s="155">
        <v>8357.2880854748128</v>
      </c>
      <c r="I8" s="156">
        <v>91781.732725433336</v>
      </c>
      <c r="J8" s="255">
        <v>16.3</v>
      </c>
    </row>
    <row r="9" spans="1:10" ht="12.6" customHeight="1">
      <c r="A9" s="154">
        <v>4</v>
      </c>
      <c r="B9" s="155">
        <v>9727.2884954654219</v>
      </c>
      <c r="C9" s="156">
        <v>106588.51790274194</v>
      </c>
      <c r="D9" s="267">
        <v>19.3</v>
      </c>
      <c r="E9" s="156">
        <v>9263.93393538282</v>
      </c>
      <c r="F9" s="156">
        <v>101604.41945380645</v>
      </c>
      <c r="G9" s="255">
        <v>18.100000000000001</v>
      </c>
      <c r="H9" s="155">
        <v>11237.848773800508</v>
      </c>
      <c r="I9" s="156">
        <v>123407.35272543333</v>
      </c>
      <c r="J9" s="255">
        <v>15.5</v>
      </c>
    </row>
    <row r="10" spans="1:10" ht="12.6" customHeight="1">
      <c r="A10" s="154">
        <v>5</v>
      </c>
      <c r="B10" s="155">
        <v>7433.899820698145</v>
      </c>
      <c r="C10" s="156">
        <v>81463.527902741946</v>
      </c>
      <c r="D10" s="267">
        <v>18.8</v>
      </c>
      <c r="E10" s="156">
        <v>6951.4092829002793</v>
      </c>
      <c r="F10" s="156">
        <v>76256.731453806438</v>
      </c>
      <c r="G10" s="255">
        <v>15.6</v>
      </c>
      <c r="H10" s="155">
        <v>12298.257111736117</v>
      </c>
      <c r="I10" s="156">
        <v>135085.78872543335</v>
      </c>
      <c r="J10" s="255">
        <v>15.9</v>
      </c>
    </row>
    <row r="11" spans="1:10" ht="12.6" customHeight="1">
      <c r="A11" s="154">
        <v>6</v>
      </c>
      <c r="B11" s="155">
        <v>8880.0427474346398</v>
      </c>
      <c r="C11" s="156">
        <v>97306.183902741934</v>
      </c>
      <c r="D11" s="267">
        <v>17.8</v>
      </c>
      <c r="E11" s="156">
        <v>7425.7980999221973</v>
      </c>
      <c r="F11" s="156">
        <v>81461.365453806444</v>
      </c>
      <c r="G11" s="255">
        <v>14.1</v>
      </c>
      <c r="H11" s="155">
        <v>11500.474954928393</v>
      </c>
      <c r="I11" s="156">
        <v>126291.04372543334</v>
      </c>
      <c r="J11" s="255">
        <v>17.2</v>
      </c>
    </row>
    <row r="12" spans="1:10" ht="12.6" customHeight="1">
      <c r="A12" s="154">
        <v>7</v>
      </c>
      <c r="B12" s="155">
        <v>8262.8271723300986</v>
      </c>
      <c r="C12" s="156">
        <v>90541.519902741944</v>
      </c>
      <c r="D12" s="267">
        <v>19.899999999999999</v>
      </c>
      <c r="E12" s="156">
        <v>9237.9778587848778</v>
      </c>
      <c r="F12" s="156">
        <v>101338.83645380645</v>
      </c>
      <c r="G12" s="255">
        <v>12.9</v>
      </c>
      <c r="H12" s="155">
        <v>11177.501966897624</v>
      </c>
      <c r="I12" s="156">
        <v>122708.20572543333</v>
      </c>
      <c r="J12" s="255">
        <v>18.399999999999999</v>
      </c>
    </row>
    <row r="13" spans="1:10" ht="12.6" customHeight="1">
      <c r="A13" s="154">
        <v>8</v>
      </c>
      <c r="B13" s="155">
        <v>8041.3346971320934</v>
      </c>
      <c r="C13" s="156">
        <v>88112.072902741944</v>
      </c>
      <c r="D13" s="267">
        <v>21.6</v>
      </c>
      <c r="E13" s="156">
        <v>9156.2577018647953</v>
      </c>
      <c r="F13" s="156">
        <v>100442.19945380645</v>
      </c>
      <c r="G13" s="255">
        <v>14.8</v>
      </c>
      <c r="H13" s="155">
        <v>10612.842784151822</v>
      </c>
      <c r="I13" s="156">
        <v>116519.83472543333</v>
      </c>
      <c r="J13" s="255">
        <v>18.100000000000001</v>
      </c>
    </row>
    <row r="14" spans="1:10" ht="12.6" customHeight="1">
      <c r="A14" s="154">
        <v>9</v>
      </c>
      <c r="B14" s="155">
        <v>8754.3209561031072</v>
      </c>
      <c r="C14" s="156">
        <v>95925.481902741943</v>
      </c>
      <c r="D14" s="267">
        <v>23.5</v>
      </c>
      <c r="E14" s="156">
        <v>10512.791578840039</v>
      </c>
      <c r="F14" s="156">
        <v>115322.63445380644</v>
      </c>
      <c r="G14" s="255">
        <v>13.3</v>
      </c>
      <c r="H14" s="155">
        <v>7961.9082637724232</v>
      </c>
      <c r="I14" s="156">
        <v>87419.23872543333</v>
      </c>
      <c r="J14" s="255">
        <v>18.5</v>
      </c>
    </row>
    <row r="15" spans="1:10" ht="12.6" customHeight="1">
      <c r="A15" s="154">
        <v>10</v>
      </c>
      <c r="B15" s="155">
        <v>11276.519905971152</v>
      </c>
      <c r="C15" s="156">
        <v>123602.74990274194</v>
      </c>
      <c r="D15" s="267">
        <v>22.1</v>
      </c>
      <c r="E15" s="156">
        <v>9636.4329762433244</v>
      </c>
      <c r="F15" s="156">
        <v>105720.53945380644</v>
      </c>
      <c r="G15" s="255">
        <v>14.6</v>
      </c>
      <c r="H15" s="155">
        <v>8798.4922619129939</v>
      </c>
      <c r="I15" s="156">
        <v>96624.078725433341</v>
      </c>
      <c r="J15" s="255">
        <v>19</v>
      </c>
    </row>
    <row r="16" spans="1:10" ht="12.6" customHeight="1">
      <c r="A16" s="154">
        <v>11</v>
      </c>
      <c r="B16" s="155">
        <v>10482.546599579482</v>
      </c>
      <c r="C16" s="156">
        <v>114921.97490274195</v>
      </c>
      <c r="D16" s="267">
        <v>23.3</v>
      </c>
      <c r="E16" s="156">
        <v>8872.1970765112219</v>
      </c>
      <c r="F16" s="156">
        <v>97328.334453806441</v>
      </c>
      <c r="G16" s="255">
        <v>17.8</v>
      </c>
      <c r="H16" s="155">
        <v>11363.468464068832</v>
      </c>
      <c r="I16" s="156">
        <v>124759.05972543334</v>
      </c>
      <c r="J16" s="255">
        <v>20</v>
      </c>
    </row>
    <row r="17" spans="1:10" ht="12.6" customHeight="1">
      <c r="A17" s="154">
        <v>12</v>
      </c>
      <c r="B17" s="155">
        <v>10859.068776167309</v>
      </c>
      <c r="C17" s="156">
        <v>119090.38390274195</v>
      </c>
      <c r="D17" s="267">
        <v>22.9</v>
      </c>
      <c r="E17" s="156">
        <v>6888.3288698787337</v>
      </c>
      <c r="F17" s="156">
        <v>75563.146453806447</v>
      </c>
      <c r="G17" s="255">
        <v>21.1</v>
      </c>
      <c r="H17" s="155">
        <v>11088.965011622635</v>
      </c>
      <c r="I17" s="156">
        <v>121733.26872543333</v>
      </c>
      <c r="J17" s="255">
        <v>20.5</v>
      </c>
    </row>
    <row r="18" spans="1:10" ht="12.6" customHeight="1">
      <c r="A18" s="154">
        <v>13</v>
      </c>
      <c r="B18" s="155">
        <v>12313.555622104723</v>
      </c>
      <c r="C18" s="156">
        <v>135078.33490274195</v>
      </c>
      <c r="D18" s="268">
        <v>20</v>
      </c>
      <c r="E18" s="156">
        <v>6987.104650616182</v>
      </c>
      <c r="F18" s="156">
        <v>76646.249453806449</v>
      </c>
      <c r="G18" s="256">
        <v>22.1</v>
      </c>
      <c r="H18" s="155">
        <v>11255.292650622061</v>
      </c>
      <c r="I18" s="156">
        <v>123661.74872543334</v>
      </c>
      <c r="J18" s="256">
        <v>19.5</v>
      </c>
    </row>
    <row r="19" spans="1:10" ht="12.6" customHeight="1">
      <c r="A19" s="154">
        <v>14</v>
      </c>
      <c r="B19" s="155">
        <v>9887.529528326706</v>
      </c>
      <c r="C19" s="156">
        <v>108367.61190274193</v>
      </c>
      <c r="D19" s="268">
        <v>20.7</v>
      </c>
      <c r="E19" s="156">
        <v>9557.8166955011839</v>
      </c>
      <c r="F19" s="156">
        <v>104818.21645380644</v>
      </c>
      <c r="G19" s="256">
        <v>23.3</v>
      </c>
      <c r="H19" s="155">
        <v>11302.411285630882</v>
      </c>
      <c r="I19" s="156">
        <v>124207.48172543333</v>
      </c>
      <c r="J19" s="256">
        <v>15.2</v>
      </c>
    </row>
    <row r="20" spans="1:10" ht="12.6" customHeight="1">
      <c r="A20" s="154">
        <v>15</v>
      </c>
      <c r="B20" s="155">
        <v>6778.0383717394352</v>
      </c>
      <c r="C20" s="156">
        <v>74287.256902741938</v>
      </c>
      <c r="D20" s="268">
        <v>26.1</v>
      </c>
      <c r="E20" s="156">
        <v>9627.4422367272273</v>
      </c>
      <c r="F20" s="156">
        <v>105636.80845380644</v>
      </c>
      <c r="G20" s="256">
        <v>23.3</v>
      </c>
      <c r="H20" s="155">
        <v>10385.112329605259</v>
      </c>
      <c r="I20" s="156">
        <v>114094.61872543333</v>
      </c>
      <c r="J20" s="256">
        <v>15</v>
      </c>
    </row>
    <row r="21" spans="1:10" ht="12.6" customHeight="1">
      <c r="A21" s="154">
        <v>16</v>
      </c>
      <c r="B21" s="155">
        <v>8847.1223627072577</v>
      </c>
      <c r="C21" s="156">
        <v>96941.692902741939</v>
      </c>
      <c r="D21" s="268">
        <v>22.8</v>
      </c>
      <c r="E21" s="156">
        <v>10498.813286278193</v>
      </c>
      <c r="F21" s="156">
        <v>115202.21945380645</v>
      </c>
      <c r="G21" s="256">
        <v>22.3</v>
      </c>
      <c r="H21" s="155">
        <v>8316.8165527621422</v>
      </c>
      <c r="I21" s="156">
        <v>91391.956725433338</v>
      </c>
      <c r="J21" s="256">
        <v>17.100000000000001</v>
      </c>
    </row>
    <row r="22" spans="1:10" ht="12.6" customHeight="1">
      <c r="A22" s="154">
        <v>17</v>
      </c>
      <c r="B22" s="155">
        <v>10935.357248568012</v>
      </c>
      <c r="C22" s="156">
        <v>119811.24390274195</v>
      </c>
      <c r="D22" s="268">
        <v>21.9</v>
      </c>
      <c r="E22" s="156">
        <v>10609.024546363975</v>
      </c>
      <c r="F22" s="156">
        <v>116409.18545380645</v>
      </c>
      <c r="G22" s="256">
        <v>21</v>
      </c>
      <c r="H22" s="155">
        <v>7571.5356496818067</v>
      </c>
      <c r="I22" s="156">
        <v>83148.746725433331</v>
      </c>
      <c r="J22" s="256">
        <v>18.100000000000001</v>
      </c>
    </row>
    <row r="23" spans="1:10" ht="12.6" customHeight="1">
      <c r="A23" s="154">
        <v>18</v>
      </c>
      <c r="B23" s="155">
        <v>11648.682654031234</v>
      </c>
      <c r="C23" s="257">
        <v>127697.90590274194</v>
      </c>
      <c r="D23" s="269">
        <v>21.2</v>
      </c>
      <c r="E23" s="156">
        <v>9249.7325212972173</v>
      </c>
      <c r="F23" s="257">
        <v>101466.05345380644</v>
      </c>
      <c r="G23" s="258">
        <v>21.3</v>
      </c>
      <c r="H23" s="155">
        <v>9247.3890436782058</v>
      </c>
      <c r="I23" s="257">
        <v>101551.55472543334</v>
      </c>
      <c r="J23" s="258">
        <v>19.3</v>
      </c>
    </row>
    <row r="24" spans="1:10" ht="12.6" customHeight="1">
      <c r="A24" s="154">
        <v>19</v>
      </c>
      <c r="B24" s="155">
        <v>10981.124206853439</v>
      </c>
      <c r="C24" s="257">
        <v>120386.80890274193</v>
      </c>
      <c r="D24" s="269">
        <v>21.4</v>
      </c>
      <c r="E24" s="156">
        <v>7488.9046254419472</v>
      </c>
      <c r="F24" s="257">
        <v>82155.573453806443</v>
      </c>
      <c r="G24" s="258">
        <v>22.8</v>
      </c>
      <c r="H24" s="155">
        <v>9640.599612935026</v>
      </c>
      <c r="I24" s="257">
        <v>105870.25072543333</v>
      </c>
      <c r="J24" s="258">
        <v>15.7</v>
      </c>
    </row>
    <row r="25" spans="1:10" ht="12.6" customHeight="1">
      <c r="A25" s="154">
        <v>20</v>
      </c>
      <c r="B25" s="155">
        <v>10939.208873895201</v>
      </c>
      <c r="C25" s="156">
        <v>119943.94690274194</v>
      </c>
      <c r="D25" s="268">
        <v>18.100000000000001</v>
      </c>
      <c r="E25" s="156">
        <v>8049.6864905172597</v>
      </c>
      <c r="F25" s="156">
        <v>88323.21545380645</v>
      </c>
      <c r="G25" s="256">
        <v>23.9</v>
      </c>
      <c r="H25" s="155">
        <v>10621.926978631813</v>
      </c>
      <c r="I25" s="156">
        <v>116709.08972543334</v>
      </c>
      <c r="J25" s="256">
        <v>16.7</v>
      </c>
    </row>
    <row r="26" spans="1:10" ht="12.6" customHeight="1">
      <c r="A26" s="154">
        <v>21</v>
      </c>
      <c r="B26" s="155">
        <v>10422.518992922402</v>
      </c>
      <c r="C26" s="156">
        <v>114328.55690274194</v>
      </c>
      <c r="D26" s="268">
        <v>17.8</v>
      </c>
      <c r="E26" s="156">
        <v>9488.024998356932</v>
      </c>
      <c r="F26" s="156">
        <v>104080.66545380645</v>
      </c>
      <c r="G26" s="256">
        <v>24.4</v>
      </c>
      <c r="H26" s="155">
        <v>10827.326719853321</v>
      </c>
      <c r="I26" s="156">
        <v>118995.37172543333</v>
      </c>
      <c r="J26" s="256">
        <v>18.100000000000001</v>
      </c>
    </row>
    <row r="27" spans="1:10" ht="12.6" customHeight="1">
      <c r="A27" s="154">
        <v>22</v>
      </c>
      <c r="B27" s="155">
        <v>6616.4245638643561</v>
      </c>
      <c r="C27" s="156">
        <v>72510.137902741932</v>
      </c>
      <c r="D27" s="268">
        <v>17.3</v>
      </c>
      <c r="E27" s="156">
        <v>10577.108849217911</v>
      </c>
      <c r="F27" s="156">
        <v>116003.82245380644</v>
      </c>
      <c r="G27" s="256">
        <v>24.6</v>
      </c>
      <c r="H27" s="155">
        <v>11121.30600847946</v>
      </c>
      <c r="I27" s="156">
        <v>122226.45972543333</v>
      </c>
      <c r="J27" s="256">
        <v>15.4</v>
      </c>
    </row>
    <row r="28" spans="1:10" ht="12.6" customHeight="1">
      <c r="A28" s="154">
        <v>23</v>
      </c>
      <c r="B28" s="265">
        <v>6934.4651147798349</v>
      </c>
      <c r="C28" s="259">
        <v>75995.185902741941</v>
      </c>
      <c r="D28" s="267">
        <v>22.4</v>
      </c>
      <c r="E28" s="259">
        <v>11625.351655709068</v>
      </c>
      <c r="F28" s="259">
        <v>127513.46845380645</v>
      </c>
      <c r="G28" s="255">
        <v>21.6</v>
      </c>
      <c r="H28" s="265">
        <v>8088.1180175280715</v>
      </c>
      <c r="I28" s="259">
        <v>88820.893725433329</v>
      </c>
      <c r="J28" s="255">
        <v>12</v>
      </c>
    </row>
    <row r="29" spans="1:10" ht="12.6" customHeight="1">
      <c r="A29" s="154">
        <v>24</v>
      </c>
      <c r="B29" s="266">
        <v>9517.1669052980942</v>
      </c>
      <c r="C29" s="260">
        <v>104273.35190274194</v>
      </c>
      <c r="D29" s="267">
        <v>21.7</v>
      </c>
      <c r="E29" s="260">
        <v>10868.152368164914</v>
      </c>
      <c r="F29" s="260">
        <v>119144.47345380645</v>
      </c>
      <c r="G29" s="255">
        <v>21.6</v>
      </c>
      <c r="H29" s="266">
        <v>8802.5796480783483</v>
      </c>
      <c r="I29" s="260">
        <v>96668.122725433335</v>
      </c>
      <c r="J29" s="255">
        <v>11.5</v>
      </c>
    </row>
    <row r="30" spans="1:10" ht="12.6" customHeight="1">
      <c r="A30" s="154">
        <v>25</v>
      </c>
      <c r="B30" s="155">
        <v>10043.748939851845</v>
      </c>
      <c r="C30" s="156">
        <v>110026.44690274194</v>
      </c>
      <c r="D30" s="268">
        <v>16.8</v>
      </c>
      <c r="E30" s="156">
        <v>10308.624492751198</v>
      </c>
      <c r="F30" s="156">
        <v>113001.64845380644</v>
      </c>
      <c r="G30" s="256">
        <v>23.1</v>
      </c>
      <c r="H30" s="155">
        <v>11547.68206170538</v>
      </c>
      <c r="I30" s="156">
        <v>126948.11772543333</v>
      </c>
      <c r="J30" s="256">
        <v>14.3</v>
      </c>
    </row>
    <row r="31" spans="1:10" ht="12.6" customHeight="1">
      <c r="A31" s="154">
        <v>26</v>
      </c>
      <c r="B31" s="155">
        <v>8487.8942533398931</v>
      </c>
      <c r="C31" s="156">
        <v>93018.62490274194</v>
      </c>
      <c r="D31" s="268">
        <v>13.6</v>
      </c>
      <c r="E31" s="156">
        <v>6574.6931317858471</v>
      </c>
      <c r="F31" s="156">
        <v>72110.678453806438</v>
      </c>
      <c r="G31" s="256">
        <v>20.9</v>
      </c>
      <c r="H31" s="155">
        <v>12249.771708547909</v>
      </c>
      <c r="I31" s="156">
        <v>134762.53572543335</v>
      </c>
      <c r="J31" s="256">
        <v>17</v>
      </c>
    </row>
    <row r="32" spans="1:10" ht="12.6" customHeight="1">
      <c r="A32" s="154">
        <v>27</v>
      </c>
      <c r="B32" s="155">
        <v>9180.3279476798416</v>
      </c>
      <c r="C32" s="156">
        <v>100624.54090274194</v>
      </c>
      <c r="D32" s="268">
        <v>16.2</v>
      </c>
      <c r="E32" s="156">
        <v>7241.5897662255966</v>
      </c>
      <c r="F32" s="156">
        <v>79423.880453806443</v>
      </c>
      <c r="G32" s="256">
        <v>17.7</v>
      </c>
      <c r="H32" s="155">
        <v>11092.911903629536</v>
      </c>
      <c r="I32" s="156">
        <v>121991.60672543333</v>
      </c>
      <c r="J32" s="256">
        <v>16.7</v>
      </c>
    </row>
    <row r="33" spans="1:15" ht="12.6" customHeight="1">
      <c r="A33" s="154">
        <v>28</v>
      </c>
      <c r="B33" s="155">
        <v>9994.7715767140526</v>
      </c>
      <c r="C33" s="156">
        <v>109599.46190274194</v>
      </c>
      <c r="D33" s="268">
        <v>19</v>
      </c>
      <c r="E33" s="156">
        <v>11470.481636895756</v>
      </c>
      <c r="F33" s="156">
        <v>125791.47145380644</v>
      </c>
      <c r="G33" s="256">
        <v>14.4</v>
      </c>
      <c r="H33" s="155">
        <v>9804.5956891921614</v>
      </c>
      <c r="I33" s="156">
        <v>107740.72572543334</v>
      </c>
      <c r="J33" s="256">
        <v>16</v>
      </c>
    </row>
    <row r="34" spans="1:15" ht="12.6" customHeight="1">
      <c r="A34" s="154">
        <v>29</v>
      </c>
      <c r="B34" s="155">
        <v>6475.0270940252849</v>
      </c>
      <c r="C34" s="156">
        <v>70962.261902741942</v>
      </c>
      <c r="D34" s="268">
        <v>18.8</v>
      </c>
      <c r="E34" s="156">
        <v>12181.172499759656</v>
      </c>
      <c r="F34" s="156">
        <v>133633.39945380646</v>
      </c>
      <c r="G34" s="256">
        <v>13.5</v>
      </c>
      <c r="H34" s="155">
        <v>8826.4797404046585</v>
      </c>
      <c r="I34" s="156">
        <v>96940.107725433336</v>
      </c>
      <c r="J34" s="256">
        <v>17</v>
      </c>
    </row>
    <row r="35" spans="1:15" ht="12.6" customHeight="1">
      <c r="A35" s="154">
        <v>30</v>
      </c>
      <c r="B35" s="155">
        <v>6575.0732557725232</v>
      </c>
      <c r="C35" s="156">
        <v>72060.169902741938</v>
      </c>
      <c r="D35" s="268">
        <v>17.399999999999999</v>
      </c>
      <c r="E35" s="156">
        <v>11278.31977605364</v>
      </c>
      <c r="F35" s="156">
        <v>123747.48245380644</v>
      </c>
      <c r="G35" s="256">
        <v>13.7</v>
      </c>
      <c r="H35" s="155">
        <v>8026.3898188538651</v>
      </c>
      <c r="I35" s="156">
        <v>88151.211725433328</v>
      </c>
      <c r="J35" s="256">
        <v>12.7</v>
      </c>
    </row>
    <row r="36" spans="1:15" ht="12.6" customHeight="1">
      <c r="A36" s="159">
        <v>31</v>
      </c>
      <c r="B36" s="160">
        <v>7888.896562074181</v>
      </c>
      <c r="C36" s="161">
        <v>86454.979902741936</v>
      </c>
      <c r="D36" s="270">
        <v>18</v>
      </c>
      <c r="E36" s="161">
        <v>11063.48606401783</v>
      </c>
      <c r="F36" s="161">
        <v>121343.26845380645</v>
      </c>
      <c r="G36" s="262">
        <v>13.5</v>
      </c>
      <c r="H36" s="160"/>
      <c r="I36" s="161"/>
      <c r="J36" s="262"/>
    </row>
    <row r="37" spans="1:15" ht="12.6" customHeight="1">
      <c r="A37" s="263" t="s">
        <v>0</v>
      </c>
      <c r="B37" s="169">
        <f>SUM(B6:B36)</f>
        <v>281136.55028742179</v>
      </c>
      <c r="C37" s="170">
        <f>SUM(C6:C36)</f>
        <v>3081451.7639849996</v>
      </c>
      <c r="D37" s="271">
        <f>AVERAGE(D6:D36)</f>
        <v>19.896774193548385</v>
      </c>
      <c r="E37" s="170">
        <f>SUM(E6:E36)</f>
        <v>287612.69371612516</v>
      </c>
      <c r="F37" s="170">
        <f>SUM(F6:F36)</f>
        <v>3154882.1410680003</v>
      </c>
      <c r="G37" s="264">
        <f>AVERAGE(G6:G36)</f>
        <v>18.838709677419359</v>
      </c>
      <c r="H37" s="169">
        <f>SUM(H6:H36)</f>
        <v>302253.61771234783</v>
      </c>
      <c r="I37" s="170">
        <f>SUM(I6:I36)</f>
        <v>3320187.4197630002</v>
      </c>
      <c r="J37" s="264">
        <f>AVERAGE(J6:J36)</f>
        <v>16.65666666666667</v>
      </c>
      <c r="M37" s="41"/>
      <c r="N37" s="41"/>
      <c r="O37" s="77"/>
    </row>
    <row r="38" spans="1:15" ht="12.95" customHeight="1">
      <c r="A38" s="154" t="s">
        <v>176</v>
      </c>
      <c r="B38" s="155">
        <f>MAX(B6:B36)</f>
        <v>12313.555622104723</v>
      </c>
      <c r="C38" s="156">
        <f>MAX(C6:C36)</f>
        <v>135078.33490274195</v>
      </c>
      <c r="D38" s="268">
        <f>VLOOKUP(B38,$B$6:$D$36,3,FALSE)</f>
        <v>20</v>
      </c>
      <c r="E38" s="156">
        <f>MAX(E6:E36)</f>
        <v>12181.172499759656</v>
      </c>
      <c r="F38" s="156">
        <f>MAX(F6:F36)</f>
        <v>133633.39945380646</v>
      </c>
      <c r="G38" s="256">
        <f>VLOOKUP(E38,$E$6:$G$36,3,FALSE)</f>
        <v>13.5</v>
      </c>
      <c r="H38" s="155">
        <f>MAX(H6:H36)</f>
        <v>12298.257111736117</v>
      </c>
      <c r="I38" s="156">
        <f>MAX(I6:I36)</f>
        <v>135085.78872543335</v>
      </c>
      <c r="J38" s="256">
        <f>VLOOKUP(H38,$H$6:$J$36,3,FALSE)</f>
        <v>15.9</v>
      </c>
    </row>
    <row r="39" spans="1:15" ht="12.95" customHeight="1">
      <c r="A39" s="154" t="s">
        <v>177</v>
      </c>
      <c r="B39" s="155">
        <f>MIN(B6:B36)</f>
        <v>6475.0270940252849</v>
      </c>
      <c r="C39" s="156">
        <f>MIN(C6:C36)</f>
        <v>70962.261902741942</v>
      </c>
      <c r="D39" s="268">
        <f>VLOOKUP(B39,$B$6:$D$36,3,FALSE)</f>
        <v>18.8</v>
      </c>
      <c r="E39" s="156">
        <f>MIN(E6:E36)</f>
        <v>6574.6931317858471</v>
      </c>
      <c r="F39" s="156">
        <f>MIN(F6:F36)</f>
        <v>72110.678453806438</v>
      </c>
      <c r="G39" s="256">
        <f>VLOOKUP(E39,$E$6:$G$36,3,FALSE)</f>
        <v>20.9</v>
      </c>
      <c r="H39" s="155">
        <f>MIN(H6:H36)</f>
        <v>7571.5356496818067</v>
      </c>
      <c r="I39" s="156">
        <f>MIN(I6:I36)</f>
        <v>83148.746725433331</v>
      </c>
      <c r="J39" s="256">
        <f>VLOOKUP(H39,$H$6:$J$36,3,FALSE)</f>
        <v>18.100000000000001</v>
      </c>
    </row>
    <row r="40" spans="1:15" ht="12.95" customHeight="1">
      <c r="A40" s="159" t="s">
        <v>178</v>
      </c>
      <c r="B40" s="160">
        <f t="shared" ref="B40:J40" si="0">AVERAGE(B6:B36)</f>
        <v>9068.9209770136058</v>
      </c>
      <c r="C40" s="161">
        <f t="shared" si="0"/>
        <v>99401.669805967729</v>
      </c>
      <c r="D40" s="270">
        <f t="shared" si="0"/>
        <v>19.896774193548385</v>
      </c>
      <c r="E40" s="161">
        <f t="shared" si="0"/>
        <v>9277.8288295524235</v>
      </c>
      <c r="F40" s="161">
        <f>AVERAGE(F6:F36)</f>
        <v>101770.39164735485</v>
      </c>
      <c r="G40" s="262">
        <f>AVERAGE(G6:G36)</f>
        <v>18.838709677419359</v>
      </c>
      <c r="H40" s="160">
        <f>AVERAGE(H6:H36)</f>
        <v>10075.120590411594</v>
      </c>
      <c r="I40" s="161">
        <f t="shared" si="0"/>
        <v>110672.9139921</v>
      </c>
      <c r="J40" s="262">
        <f t="shared" si="0"/>
        <v>16.65666666666667</v>
      </c>
    </row>
    <row r="41" spans="1:15" ht="15" customHeight="1">
      <c r="A41" s="43"/>
      <c r="B41" s="468" t="str">
        <f>B3</f>
        <v>Červenec</v>
      </c>
      <c r="C41" s="469"/>
      <c r="D41" s="470"/>
      <c r="E41" s="468" t="str">
        <f>E3</f>
        <v>Srpen</v>
      </c>
      <c r="F41" s="469"/>
      <c r="G41" s="470"/>
      <c r="H41" s="468" t="str">
        <f>H3</f>
        <v>Září</v>
      </c>
      <c r="I41" s="469"/>
      <c r="J41" s="469"/>
    </row>
    <row r="42" spans="1:15" ht="15" customHeight="1">
      <c r="A42" s="43"/>
      <c r="B42" s="298" t="s">
        <v>269</v>
      </c>
      <c r="C42" s="79"/>
      <c r="D42" s="296"/>
      <c r="E42" s="298" t="s">
        <v>269</v>
      </c>
      <c r="F42" s="79"/>
      <c r="G42" s="79"/>
      <c r="H42" s="298" t="s">
        <v>269</v>
      </c>
      <c r="I42" s="79"/>
      <c r="J42" s="79"/>
    </row>
    <row r="43" spans="1:15" ht="21" customHeight="1">
      <c r="A43" s="43"/>
      <c r="B43" s="292"/>
      <c r="C43" s="79"/>
      <c r="D43" s="296"/>
      <c r="E43" s="79"/>
      <c r="F43" s="79"/>
      <c r="G43" s="79"/>
      <c r="H43" s="292"/>
      <c r="I43" s="79"/>
      <c r="J43" s="79"/>
    </row>
    <row r="44" spans="1:15" ht="21" customHeight="1">
      <c r="B44" s="292"/>
      <c r="C44" s="79"/>
      <c r="D44" s="296"/>
      <c r="E44" s="79"/>
      <c r="F44" s="79"/>
      <c r="G44" s="79"/>
      <c r="H44" s="292"/>
      <c r="I44" s="79"/>
      <c r="J44" s="79"/>
    </row>
    <row r="45" spans="1:15" ht="21" customHeight="1">
      <c r="B45" s="293" t="s">
        <v>267</v>
      </c>
      <c r="C45" s="81">
        <f>B38</f>
        <v>12313.555622104723</v>
      </c>
      <c r="D45" s="296"/>
      <c r="E45" s="80" t="s">
        <v>267</v>
      </c>
      <c r="F45" s="81">
        <f>E38</f>
        <v>12181.172499759656</v>
      </c>
      <c r="G45" s="79"/>
      <c r="H45" s="293" t="s">
        <v>267</v>
      </c>
      <c r="I45" s="81">
        <f>H38</f>
        <v>12298.257111736117</v>
      </c>
      <c r="J45" s="79"/>
    </row>
    <row r="46" spans="1:15" ht="21" customHeight="1">
      <c r="B46" s="294" t="s">
        <v>268</v>
      </c>
      <c r="C46" s="81">
        <f t="shared" ref="C46:C47" si="1">B39</f>
        <v>6475.0270940252849</v>
      </c>
      <c r="D46" s="296"/>
      <c r="E46" s="82" t="s">
        <v>268</v>
      </c>
      <c r="F46" s="81">
        <f t="shared" ref="F46:F47" si="2">E39</f>
        <v>6574.6931317858471</v>
      </c>
      <c r="G46" s="79"/>
      <c r="H46" s="294" t="s">
        <v>268</v>
      </c>
      <c r="I46" s="81">
        <f t="shared" ref="I46:I47" si="3">H39</f>
        <v>7571.5356496818067</v>
      </c>
      <c r="J46" s="79"/>
    </row>
    <row r="47" spans="1:15" ht="21" customHeight="1">
      <c r="B47" s="294" t="s">
        <v>62</v>
      </c>
      <c r="C47" s="81">
        <f t="shared" si="1"/>
        <v>9068.9209770136058</v>
      </c>
      <c r="D47" s="296"/>
      <c r="E47" s="82" t="s">
        <v>62</v>
      </c>
      <c r="F47" s="81">
        <f t="shared" si="2"/>
        <v>9277.8288295524235</v>
      </c>
      <c r="G47" s="79"/>
      <c r="H47" s="294" t="s">
        <v>62</v>
      </c>
      <c r="I47" s="81">
        <f t="shared" si="3"/>
        <v>10075.120590411594</v>
      </c>
      <c r="J47" s="79"/>
    </row>
    <row r="48" spans="1:15" ht="21" customHeight="1">
      <c r="B48" s="292"/>
      <c r="C48" s="79"/>
      <c r="D48" s="296"/>
      <c r="E48" s="79"/>
      <c r="F48" s="79"/>
      <c r="G48" s="79"/>
      <c r="H48" s="292"/>
      <c r="I48" s="79"/>
      <c r="J48" s="79"/>
    </row>
    <row r="49" spans="1:10" ht="21" customHeight="1">
      <c r="B49" s="292"/>
      <c r="C49" s="79"/>
      <c r="D49" s="296"/>
      <c r="E49" s="79"/>
      <c r="F49" s="79"/>
      <c r="G49" s="79"/>
      <c r="H49" s="292"/>
      <c r="I49" s="79"/>
      <c r="J49" s="79"/>
    </row>
    <row r="50" spans="1:10" ht="21" customHeight="1">
      <c r="B50" s="292"/>
      <c r="C50" s="79"/>
      <c r="D50" s="296"/>
      <c r="E50" s="79"/>
      <c r="F50" s="79"/>
      <c r="G50" s="79"/>
      <c r="H50" s="292"/>
      <c r="I50" s="79"/>
      <c r="J50" s="79"/>
    </row>
    <row r="51" spans="1:10" ht="21" customHeight="1">
      <c r="A51" s="279"/>
      <c r="B51" s="295"/>
      <c r="C51" s="279"/>
      <c r="D51" s="297"/>
      <c r="E51" s="279"/>
      <c r="F51" s="279"/>
      <c r="G51" s="279"/>
      <c r="H51" s="295"/>
      <c r="I51" s="279"/>
      <c r="J51" s="279"/>
    </row>
    <row r="52" spans="1:10" ht="12.75" customHeight="1">
      <c r="A52" s="132" t="s">
        <v>179</v>
      </c>
      <c r="B52" s="282">
        <v>183.38498975826357</v>
      </c>
      <c r="C52" s="283">
        <v>2010.0267987255554</v>
      </c>
      <c r="D52" s="288" t="s">
        <v>208</v>
      </c>
      <c r="E52" s="41">
        <v>133.83564960393841</v>
      </c>
      <c r="F52" s="41">
        <v>1468.0704642001931</v>
      </c>
      <c r="G52" s="274" t="s">
        <v>208</v>
      </c>
      <c r="H52" s="282">
        <v>498.25459210199654</v>
      </c>
      <c r="I52" s="283">
        <v>5473.2136576461971</v>
      </c>
      <c r="J52" s="284" t="s">
        <v>208</v>
      </c>
    </row>
    <row r="53" spans="1:10" ht="12.95" customHeight="1">
      <c r="A53" s="276" t="s">
        <v>180</v>
      </c>
      <c r="B53" s="285">
        <v>245.976972404029</v>
      </c>
      <c r="C53" s="277">
        <v>2696.0783816233543</v>
      </c>
      <c r="D53" s="289" t="s">
        <v>208</v>
      </c>
      <c r="E53" s="277">
        <v>24.685358360966788</v>
      </c>
      <c r="F53" s="277">
        <v>270.77871714433098</v>
      </c>
      <c r="G53" s="278" t="s">
        <v>208</v>
      </c>
      <c r="H53" s="285">
        <v>46.075000995610985</v>
      </c>
      <c r="I53" s="277">
        <v>506.12343312556442</v>
      </c>
      <c r="J53" s="278" t="s">
        <v>208</v>
      </c>
    </row>
    <row r="54" spans="1:10" ht="12.95" customHeight="1">
      <c r="A54" s="275" t="s">
        <v>181</v>
      </c>
      <c r="B54" s="286" t="s">
        <v>321</v>
      </c>
      <c r="C54" s="83" t="s">
        <v>321</v>
      </c>
      <c r="D54" s="290">
        <v>0</v>
      </c>
      <c r="E54" s="83" t="s">
        <v>321</v>
      </c>
      <c r="F54" s="83" t="s">
        <v>321</v>
      </c>
      <c r="G54" s="251">
        <v>0</v>
      </c>
      <c r="H54" s="286" t="s">
        <v>321</v>
      </c>
      <c r="I54" s="83" t="s">
        <v>321</v>
      </c>
      <c r="J54" s="251">
        <v>0</v>
      </c>
    </row>
    <row r="55" spans="1:10" ht="12.95" customHeight="1">
      <c r="A55" s="276" t="s">
        <v>182</v>
      </c>
      <c r="B55" s="287" t="s">
        <v>321</v>
      </c>
      <c r="C55" s="280" t="s">
        <v>321</v>
      </c>
      <c r="D55" s="291">
        <v>-12</v>
      </c>
      <c r="E55" s="280" t="s">
        <v>321</v>
      </c>
      <c r="F55" s="280" t="s">
        <v>321</v>
      </c>
      <c r="G55" s="281">
        <v>-12</v>
      </c>
      <c r="H55" s="287" t="s">
        <v>321</v>
      </c>
      <c r="I55" s="280" t="s">
        <v>321</v>
      </c>
      <c r="J55" s="281">
        <v>-12</v>
      </c>
    </row>
  </sheetData>
  <mergeCells count="10">
    <mergeCell ref="B41:D41"/>
    <mergeCell ref="E41:G41"/>
    <mergeCell ref="H41:J41"/>
    <mergeCell ref="A1:J1"/>
    <mergeCell ref="E3:G3"/>
    <mergeCell ref="H3:J3"/>
    <mergeCell ref="B3:D3"/>
    <mergeCell ref="B4:C4"/>
    <mergeCell ref="E4:F4"/>
    <mergeCell ref="H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7:D39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3"/>
  <sheetViews>
    <sheetView showGridLines="0" zoomScaleNormal="100" zoomScaleSheetLayoutView="100" workbookViewId="0">
      <selection activeCell="G1" sqref="G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2" width="9.140625" style="85"/>
    <col min="13" max="13" width="9.140625" style="84"/>
    <col min="14" max="14" width="11.140625" style="84" customWidth="1"/>
    <col min="15" max="16384" width="9.140625" style="84"/>
  </cols>
  <sheetData>
    <row r="1" spans="1:21" ht="20.25">
      <c r="A1" s="55" t="s">
        <v>289</v>
      </c>
    </row>
    <row r="2" spans="1:21" s="86" customFormat="1" ht="18">
      <c r="A2" s="471" t="s">
        <v>297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85"/>
      <c r="M2" s="84"/>
      <c r="N2" s="84"/>
      <c r="O2" s="84"/>
      <c r="P2" s="84"/>
      <c r="Q2" s="84"/>
      <c r="R2" s="84"/>
      <c r="S2" s="84"/>
      <c r="T2" s="84"/>
      <c r="U2" s="84"/>
    </row>
    <row r="3" spans="1:21" ht="6" customHeight="1">
      <c r="A3" s="477"/>
      <c r="B3" s="477"/>
      <c r="C3" s="477"/>
      <c r="D3" s="315"/>
      <c r="E3" s="315"/>
      <c r="F3" s="316"/>
      <c r="G3" s="317"/>
      <c r="H3" s="317"/>
      <c r="I3" s="317"/>
      <c r="J3" s="279"/>
      <c r="K3" s="279"/>
    </row>
    <row r="4" spans="1:21" ht="15" customHeight="1">
      <c r="A4" s="487" t="s">
        <v>2</v>
      </c>
      <c r="B4" s="487"/>
      <c r="C4" s="487"/>
      <c r="D4" s="481">
        <f>'3.1'!A4</f>
        <v>2023</v>
      </c>
      <c r="E4" s="482"/>
      <c r="F4" s="482"/>
      <c r="G4" s="482"/>
      <c r="H4" s="376"/>
      <c r="I4" s="481">
        <f>D4-1</f>
        <v>2022</v>
      </c>
      <c r="J4" s="482"/>
      <c r="K4" s="482"/>
    </row>
    <row r="5" spans="1:21" ht="50.1" customHeight="1">
      <c r="A5" s="322"/>
      <c r="B5" s="322"/>
      <c r="C5" s="322"/>
      <c r="D5" s="483"/>
      <c r="E5" s="484"/>
      <c r="F5" s="484"/>
      <c r="G5" s="484"/>
      <c r="H5" s="174"/>
      <c r="I5" s="483"/>
      <c r="J5" s="484"/>
      <c r="K5" s="484"/>
    </row>
    <row r="6" spans="1:21" ht="24.95" customHeight="1">
      <c r="A6" s="487" t="s">
        <v>158</v>
      </c>
      <c r="B6" s="487"/>
      <c r="C6" s="487" t="s">
        <v>184</v>
      </c>
      <c r="D6" s="485" t="s">
        <v>159</v>
      </c>
      <c r="E6" s="479" t="s">
        <v>60</v>
      </c>
      <c r="F6" s="479"/>
      <c r="G6" s="480" t="s">
        <v>33</v>
      </c>
      <c r="H6" s="480" t="s">
        <v>270</v>
      </c>
      <c r="I6" s="478" t="s">
        <v>60</v>
      </c>
      <c r="J6" s="479"/>
      <c r="K6" s="480" t="s">
        <v>33</v>
      </c>
    </row>
    <row r="7" spans="1:21" ht="22.5" customHeight="1">
      <c r="A7" s="488"/>
      <c r="B7" s="488"/>
      <c r="C7" s="488"/>
      <c r="D7" s="486"/>
      <c r="E7" s="219" t="s">
        <v>261</v>
      </c>
      <c r="F7" s="219" t="s">
        <v>262</v>
      </c>
      <c r="G7" s="476"/>
      <c r="H7" s="476"/>
      <c r="I7" s="221" t="s">
        <v>261</v>
      </c>
      <c r="J7" s="219" t="s">
        <v>262</v>
      </c>
      <c r="K7" s="476"/>
    </row>
    <row r="8" spans="1:21" ht="12.95" customHeight="1">
      <c r="A8" s="493" t="str">
        <f>'3.1'!D5</f>
        <v>Červenec</v>
      </c>
      <c r="B8" s="493"/>
      <c r="C8" s="164" t="s">
        <v>4</v>
      </c>
      <c r="D8" s="312">
        <v>1560</v>
      </c>
      <c r="E8" s="308">
        <v>212969.77754321508</v>
      </c>
      <c r="F8" s="308">
        <v>2334239.069546672</v>
      </c>
      <c r="G8" s="309">
        <f t="shared" ref="G8:G13" si="0">E8/$E$14</f>
        <v>0.75753055906596412</v>
      </c>
      <c r="H8" s="309">
        <f>(E8-I8)/I8</f>
        <v>3.6485443878041248E-3</v>
      </c>
      <c r="I8" s="312">
        <v>212195.57257776958</v>
      </c>
      <c r="J8" s="308">
        <v>2307890.158721</v>
      </c>
      <c r="K8" s="309">
        <f>I8/$I$14</f>
        <v>0.73534605684770382</v>
      </c>
      <c r="M8" s="412"/>
      <c r="N8" s="412"/>
      <c r="O8" s="412"/>
      <c r="P8" s="412"/>
      <c r="Q8" s="412"/>
      <c r="R8" s="412"/>
      <c r="S8" s="412"/>
      <c r="T8" s="412"/>
      <c r="U8" s="412"/>
    </row>
    <row r="9" spans="1:21" ht="12.95" customHeight="1">
      <c r="A9" s="494"/>
      <c r="B9" s="494"/>
      <c r="C9" s="154" t="s">
        <v>5</v>
      </c>
      <c r="D9" s="313">
        <v>6120</v>
      </c>
      <c r="E9" s="129">
        <v>19584.09371916181</v>
      </c>
      <c r="F9" s="129">
        <v>214656.13189000002</v>
      </c>
      <c r="G9" s="307">
        <f t="shared" si="0"/>
        <v>6.9660351036740439E-2</v>
      </c>
      <c r="H9" s="307">
        <f t="shared" ref="H9:H12" si="1">(E9-I9)/I9</f>
        <v>-0.10519090125065252</v>
      </c>
      <c r="I9" s="313">
        <v>21886.337260689474</v>
      </c>
      <c r="J9" s="129">
        <v>238059.37745000006</v>
      </c>
      <c r="K9" s="307">
        <f t="shared" ref="K9:K13" si="2">I9/$I$14</f>
        <v>7.5845276166582251E-2</v>
      </c>
      <c r="L9" s="90"/>
      <c r="M9" s="412"/>
      <c r="N9" s="412"/>
      <c r="O9" s="412"/>
      <c r="P9" s="412"/>
      <c r="Q9" s="412"/>
      <c r="R9" s="412"/>
      <c r="S9" s="412"/>
      <c r="T9" s="412"/>
      <c r="U9" s="412"/>
    </row>
    <row r="10" spans="1:21" ht="12.95" customHeight="1">
      <c r="A10" s="494"/>
      <c r="B10" s="494"/>
      <c r="C10" s="154" t="s">
        <v>6</v>
      </c>
      <c r="D10" s="313">
        <v>202677</v>
      </c>
      <c r="E10" s="129">
        <v>13677.605556818515</v>
      </c>
      <c r="F10" s="129">
        <v>149885.48061507798</v>
      </c>
      <c r="G10" s="307">
        <f t="shared" si="0"/>
        <v>4.8651054171468096E-2</v>
      </c>
      <c r="H10" s="307">
        <f t="shared" si="1"/>
        <v>-0.24136128890412728</v>
      </c>
      <c r="I10" s="313">
        <v>18029.14266932262</v>
      </c>
      <c r="J10" s="129">
        <v>196121.5213177609</v>
      </c>
      <c r="K10" s="307">
        <f t="shared" si="2"/>
        <v>6.2478490051304673E-2</v>
      </c>
      <c r="L10" s="90"/>
      <c r="M10" s="412"/>
      <c r="N10" s="412"/>
      <c r="O10" s="412"/>
      <c r="P10" s="412"/>
      <c r="Q10" s="412"/>
      <c r="R10" s="412"/>
      <c r="S10" s="412"/>
      <c r="T10" s="412"/>
      <c r="U10" s="412"/>
    </row>
    <row r="11" spans="1:21" ht="12.95" customHeight="1">
      <c r="A11" s="494"/>
      <c r="B11" s="494"/>
      <c r="C11" s="154" t="s">
        <v>7</v>
      </c>
      <c r="D11" s="313">
        <v>2550508</v>
      </c>
      <c r="E11" s="129">
        <v>26534.587427453152</v>
      </c>
      <c r="F11" s="129">
        <v>290859.8692179221</v>
      </c>
      <c r="G11" s="307">
        <f t="shared" si="0"/>
        <v>9.4383161218377629E-2</v>
      </c>
      <c r="H11" s="307">
        <f t="shared" si="1"/>
        <v>-7.2265122241082322E-2</v>
      </c>
      <c r="I11" s="313">
        <v>28601.476632582162</v>
      </c>
      <c r="J11" s="129">
        <v>311179.94267823471</v>
      </c>
      <c r="K11" s="307">
        <f t="shared" si="2"/>
        <v>9.9116031528333717E-2</v>
      </c>
      <c r="L11" s="90"/>
      <c r="M11" s="412"/>
      <c r="N11" s="412"/>
      <c r="O11" s="412"/>
      <c r="P11" s="412"/>
      <c r="Q11" s="412"/>
      <c r="R11" s="412"/>
      <c r="S11" s="412"/>
      <c r="T11" s="412"/>
      <c r="U11" s="412"/>
    </row>
    <row r="12" spans="1:21" ht="12.95" customHeight="1">
      <c r="A12" s="494"/>
      <c r="B12" s="494"/>
      <c r="C12" s="154" t="s">
        <v>93</v>
      </c>
      <c r="D12" s="313">
        <v>274</v>
      </c>
      <c r="E12" s="129">
        <v>6950.5698160341881</v>
      </c>
      <c r="F12" s="129">
        <v>76184.732409999997</v>
      </c>
      <c r="G12" s="307">
        <f t="shared" si="0"/>
        <v>2.4723080895827972E-2</v>
      </c>
      <c r="H12" s="307">
        <f t="shared" si="1"/>
        <v>-3.2680525754772136E-2</v>
      </c>
      <c r="I12" s="313">
        <v>7185.3922112521532</v>
      </c>
      <c r="J12" s="129">
        <v>78134.612270000012</v>
      </c>
      <c r="K12" s="307">
        <f t="shared" si="2"/>
        <v>2.4900377351238009E-2</v>
      </c>
      <c r="L12" s="90"/>
      <c r="M12" s="412"/>
      <c r="N12" s="412"/>
      <c r="O12" s="412"/>
      <c r="P12" s="412"/>
      <c r="Q12" s="412"/>
      <c r="R12" s="412"/>
      <c r="S12" s="412"/>
      <c r="T12" s="412"/>
      <c r="U12" s="412"/>
    </row>
    <row r="13" spans="1:21" ht="12.95" customHeight="1">
      <c r="A13" s="494"/>
      <c r="B13" s="494"/>
      <c r="C13" s="154" t="s">
        <v>94</v>
      </c>
      <c r="D13" s="313"/>
      <c r="E13" s="129">
        <v>1420.2454921262627</v>
      </c>
      <c r="F13" s="129">
        <v>15626.359576000021</v>
      </c>
      <c r="G13" s="307">
        <f t="shared" si="0"/>
        <v>5.0517936116217686E-3</v>
      </c>
      <c r="H13" s="307">
        <f>(E13-I13)/I13</f>
        <v>1.1271545673701162</v>
      </c>
      <c r="I13" s="313">
        <v>667.67385591643551</v>
      </c>
      <c r="J13" s="129">
        <v>7540.5288919999439</v>
      </c>
      <c r="K13" s="307">
        <f t="shared" si="2"/>
        <v>2.3137680548377701E-3</v>
      </c>
      <c r="L13" s="90"/>
      <c r="M13" s="412"/>
      <c r="N13" s="412"/>
      <c r="O13" s="412"/>
      <c r="P13" s="412"/>
      <c r="Q13" s="412"/>
      <c r="R13" s="412"/>
      <c r="S13" s="412"/>
      <c r="T13" s="412"/>
      <c r="U13" s="412"/>
    </row>
    <row r="14" spans="1:21" ht="12.95" customHeight="1">
      <c r="A14" s="495"/>
      <c r="B14" s="495"/>
      <c r="C14" s="318" t="s">
        <v>0</v>
      </c>
      <c r="D14" s="321">
        <v>2761139</v>
      </c>
      <c r="E14" s="319">
        <v>281136.87955480901</v>
      </c>
      <c r="F14" s="319">
        <v>3081451.643255672</v>
      </c>
      <c r="G14" s="320">
        <f>SUM(G8:G13)</f>
        <v>1</v>
      </c>
      <c r="H14" s="320">
        <f>(E14-I14)/I14</f>
        <v>-2.5743594441259371E-2</v>
      </c>
      <c r="I14" s="321">
        <v>288565.59520753234</v>
      </c>
      <c r="J14" s="319">
        <v>3138926.1413289951</v>
      </c>
      <c r="K14" s="320">
        <f>SUM(K8:K13)</f>
        <v>1.0000000000000002</v>
      </c>
      <c r="L14" s="90"/>
      <c r="M14" s="412"/>
      <c r="N14" s="412"/>
      <c r="O14" s="412"/>
      <c r="P14" s="412"/>
      <c r="Q14" s="412"/>
      <c r="R14" s="412"/>
      <c r="S14" s="412"/>
      <c r="T14" s="412"/>
      <c r="U14" s="412"/>
    </row>
    <row r="15" spans="1:21" ht="12.95" customHeight="1">
      <c r="A15" s="493" t="str">
        <f>'3.1'!E5</f>
        <v>Srpen</v>
      </c>
      <c r="B15" s="493"/>
      <c r="C15" s="164" t="s">
        <v>4</v>
      </c>
      <c r="D15" s="312">
        <v>1559</v>
      </c>
      <c r="E15" s="308">
        <v>212008.87538523442</v>
      </c>
      <c r="F15" s="308">
        <v>2325420.4846630003</v>
      </c>
      <c r="G15" s="309">
        <f>E15/$E$21</f>
        <v>0.73713168901857817</v>
      </c>
      <c r="H15" s="309">
        <f>(E15-I15)/I15</f>
        <v>-9.5048042020572709E-2</v>
      </c>
      <c r="I15" s="312">
        <v>234276.38728867652</v>
      </c>
      <c r="J15" s="308">
        <v>2543316.7270309995</v>
      </c>
      <c r="K15" s="309">
        <f>I15/$I$21</f>
        <v>0.75304566651588223</v>
      </c>
      <c r="L15" s="90"/>
      <c r="M15" s="412"/>
      <c r="N15" s="412"/>
      <c r="O15" s="412"/>
      <c r="P15" s="412"/>
      <c r="Q15" s="412"/>
      <c r="R15" s="412"/>
      <c r="S15" s="412"/>
      <c r="T15" s="412"/>
      <c r="U15" s="412"/>
    </row>
    <row r="16" spans="1:21" ht="12.95" customHeight="1">
      <c r="A16" s="494"/>
      <c r="B16" s="494"/>
      <c r="C16" s="154" t="s">
        <v>5</v>
      </c>
      <c r="D16" s="313">
        <v>6119</v>
      </c>
      <c r="E16" s="129">
        <v>22410.035505772081</v>
      </c>
      <c r="F16" s="129">
        <v>245829.98013999991</v>
      </c>
      <c r="G16" s="307">
        <f t="shared" ref="G16:G20" si="3">E16/$E$21</f>
        <v>7.7917244234797609E-2</v>
      </c>
      <c r="H16" s="307">
        <f t="shared" ref="H16:H18" si="4">(E16-I16)/I16</f>
        <v>-5.9606195703597112E-2</v>
      </c>
      <c r="I16" s="313">
        <v>23830.479745173499</v>
      </c>
      <c r="J16" s="129">
        <v>258759.43551999994</v>
      </c>
      <c r="K16" s="307">
        <f t="shared" ref="K16:K20" si="5">I16/$I$21</f>
        <v>7.6599437573642237E-2</v>
      </c>
      <c r="L16" s="91"/>
      <c r="M16" s="412"/>
      <c r="N16" s="412"/>
      <c r="O16" s="412"/>
      <c r="P16" s="412"/>
      <c r="Q16" s="412"/>
      <c r="R16" s="412"/>
      <c r="S16" s="412"/>
      <c r="T16" s="412"/>
      <c r="U16" s="412"/>
    </row>
    <row r="17" spans="1:21" ht="12.95" customHeight="1">
      <c r="A17" s="494"/>
      <c r="B17" s="494"/>
      <c r="C17" s="154" t="s">
        <v>6</v>
      </c>
      <c r="D17" s="313">
        <v>202420</v>
      </c>
      <c r="E17" s="129">
        <v>16774.581032884431</v>
      </c>
      <c r="F17" s="129">
        <v>183968.39829451469</v>
      </c>
      <c r="G17" s="307">
        <f t="shared" si="3"/>
        <v>5.8323384937922676E-2</v>
      </c>
      <c r="H17" s="307">
        <f t="shared" si="4"/>
        <v>-4.9504245290992469E-2</v>
      </c>
      <c r="I17" s="313">
        <v>17648.244034524843</v>
      </c>
      <c r="J17" s="129">
        <v>191629.38941472713</v>
      </c>
      <c r="K17" s="307">
        <f>I17/$I$21</f>
        <v>5.67275850785499E-2</v>
      </c>
      <c r="L17" s="90"/>
      <c r="M17" s="412"/>
      <c r="N17" s="412"/>
      <c r="O17" s="412"/>
      <c r="P17" s="412"/>
      <c r="Q17" s="412"/>
      <c r="R17" s="412"/>
      <c r="S17" s="412"/>
      <c r="T17" s="412"/>
      <c r="U17" s="412"/>
    </row>
    <row r="18" spans="1:21" ht="12.95" customHeight="1">
      <c r="A18" s="494"/>
      <c r="B18" s="494"/>
      <c r="C18" s="154" t="s">
        <v>7</v>
      </c>
      <c r="D18" s="313">
        <v>2548470</v>
      </c>
      <c r="E18" s="129">
        <v>28611.552693102869</v>
      </c>
      <c r="F18" s="129">
        <v>313873.48230048979</v>
      </c>
      <c r="G18" s="307">
        <f t="shared" si="3"/>
        <v>9.9479241724140743E-2</v>
      </c>
      <c r="H18" s="307">
        <f t="shared" si="4"/>
        <v>4.2339899565070893E-2</v>
      </c>
      <c r="I18" s="313">
        <v>27449.349972155331</v>
      </c>
      <c r="J18" s="129">
        <v>298067.34010225767</v>
      </c>
      <c r="K18" s="307">
        <f>I18/$I$21</f>
        <v>8.823174321763376E-2</v>
      </c>
      <c r="L18" s="90"/>
      <c r="M18" s="412"/>
      <c r="N18" s="412"/>
      <c r="O18" s="412"/>
      <c r="P18" s="412"/>
      <c r="Q18" s="412"/>
      <c r="R18" s="412"/>
      <c r="S18" s="412"/>
      <c r="T18" s="412"/>
      <c r="U18" s="412"/>
    </row>
    <row r="19" spans="1:21" ht="12.95" customHeight="1">
      <c r="A19" s="494"/>
      <c r="B19" s="494"/>
      <c r="C19" s="154" t="s">
        <v>93</v>
      </c>
      <c r="D19" s="313">
        <v>274</v>
      </c>
      <c r="E19" s="129">
        <v>7499.3791616754752</v>
      </c>
      <c r="F19" s="129">
        <v>82264.307410000023</v>
      </c>
      <c r="G19" s="307">
        <f t="shared" si="3"/>
        <v>2.6074521729299156E-2</v>
      </c>
      <c r="H19" s="307">
        <f>(E19-I19)/I19</f>
        <v>4.3980385800056969E-2</v>
      </c>
      <c r="I19" s="313">
        <v>7183.4483326315631</v>
      </c>
      <c r="J19" s="129">
        <v>77970.101449999987</v>
      </c>
      <c r="K19" s="307">
        <f>I19/$I$21</f>
        <v>2.3090097555855553E-2</v>
      </c>
      <c r="L19" s="90"/>
      <c r="M19" s="412"/>
      <c r="N19" s="412"/>
      <c r="O19" s="412"/>
      <c r="P19" s="412"/>
      <c r="Q19" s="412"/>
      <c r="R19" s="412"/>
      <c r="S19" s="412"/>
      <c r="T19" s="412"/>
      <c r="U19" s="412"/>
    </row>
    <row r="20" spans="1:21" ht="12.95" customHeight="1">
      <c r="A20" s="494"/>
      <c r="B20" s="494"/>
      <c r="C20" s="154" t="s">
        <v>94</v>
      </c>
      <c r="D20" s="313"/>
      <c r="E20" s="129">
        <v>308.87319884148945</v>
      </c>
      <c r="F20" s="129">
        <v>3525.4763180000004</v>
      </c>
      <c r="G20" s="307">
        <f t="shared" si="3"/>
        <v>1.0739183552617218E-3</v>
      </c>
      <c r="H20" s="307">
        <f t="shared" ref="H20" si="6">(E20-I20)/I20</f>
        <v>-0.56936082485983674</v>
      </c>
      <c r="I20" s="313">
        <v>717.24361523997038</v>
      </c>
      <c r="J20" s="129">
        <v>7884.1560159999462</v>
      </c>
      <c r="K20" s="307">
        <f t="shared" si="5"/>
        <v>2.3054700584361899E-3</v>
      </c>
      <c r="L20" s="90"/>
      <c r="M20" s="412"/>
      <c r="N20" s="412"/>
      <c r="O20" s="412"/>
      <c r="P20" s="412"/>
      <c r="Q20" s="412"/>
      <c r="R20" s="412"/>
      <c r="S20" s="412"/>
      <c r="T20" s="412"/>
      <c r="U20" s="412"/>
    </row>
    <row r="21" spans="1:21" ht="12.95" customHeight="1">
      <c r="A21" s="495"/>
      <c r="B21" s="495"/>
      <c r="C21" s="318" t="s">
        <v>0</v>
      </c>
      <c r="D21" s="321">
        <v>2758842</v>
      </c>
      <c r="E21" s="319">
        <v>287613.29697751073</v>
      </c>
      <c r="F21" s="319">
        <v>3154882.1291260044</v>
      </c>
      <c r="G21" s="320">
        <f>SUM(G15:G20)</f>
        <v>1.0000000000000002</v>
      </c>
      <c r="H21" s="320">
        <f>(E21-I21)/I21</f>
        <v>-7.5510983296913844E-2</v>
      </c>
      <c r="I21" s="321">
        <v>311105.15298840177</v>
      </c>
      <c r="J21" s="319">
        <v>3377627.1495339843</v>
      </c>
      <c r="K21" s="320">
        <f>SUM(K15:K20)</f>
        <v>0.99999999999999989</v>
      </c>
      <c r="L21" s="90"/>
      <c r="M21" s="412"/>
      <c r="N21" s="412"/>
      <c r="O21" s="412"/>
      <c r="P21" s="412"/>
      <c r="Q21" s="412"/>
      <c r="R21" s="412"/>
      <c r="S21" s="412"/>
      <c r="T21" s="412"/>
      <c r="U21" s="412"/>
    </row>
    <row r="22" spans="1:21" ht="12.95" customHeight="1">
      <c r="A22" s="493" t="str">
        <f>'3.1'!F5</f>
        <v>Září</v>
      </c>
      <c r="B22" s="493"/>
      <c r="C22" s="164" t="s">
        <v>4</v>
      </c>
      <c r="D22" s="312">
        <v>1559</v>
      </c>
      <c r="E22" s="308">
        <v>224740.31924727093</v>
      </c>
      <c r="F22" s="308">
        <v>2468619.6874500001</v>
      </c>
      <c r="G22" s="309">
        <f>E22/$E$28</f>
        <v>0.7435481840134559</v>
      </c>
      <c r="H22" s="309">
        <f>(E22-I22)/I22</f>
        <v>-7.3108211113297336E-2</v>
      </c>
      <c r="I22" s="312">
        <v>242466.6200972698</v>
      </c>
      <c r="J22" s="308">
        <v>2653458.3193360004</v>
      </c>
      <c r="K22" s="309">
        <f>I22/$I$28</f>
        <v>0.63248098380656415</v>
      </c>
      <c r="L22" s="92"/>
      <c r="M22" s="412"/>
      <c r="N22" s="412"/>
      <c r="O22" s="412"/>
      <c r="P22" s="412"/>
      <c r="Q22" s="412"/>
      <c r="R22" s="412"/>
      <c r="S22" s="412"/>
      <c r="T22" s="412"/>
      <c r="U22" s="412"/>
    </row>
    <row r="23" spans="1:21" ht="12.95" customHeight="1">
      <c r="A23" s="494"/>
      <c r="B23" s="494"/>
      <c r="C23" s="154" t="s">
        <v>5</v>
      </c>
      <c r="D23" s="313">
        <v>6118.9390000000003</v>
      </c>
      <c r="E23" s="129">
        <v>22451.244882589297</v>
      </c>
      <c r="F23" s="129">
        <v>246617.55591</v>
      </c>
      <c r="G23" s="307">
        <f t="shared" ref="G23:G27" si="7">E23/$E$28</f>
        <v>7.4279427995844055E-2</v>
      </c>
      <c r="H23" s="307">
        <f t="shared" ref="H23:H26" si="8">(E23-I23)/I23</f>
        <v>-0.31961756222047977</v>
      </c>
      <c r="I23" s="313">
        <v>32997.978248616528</v>
      </c>
      <c r="J23" s="129">
        <v>361134.43099999992</v>
      </c>
      <c r="K23" s="307">
        <f t="shared" ref="K23:K27" si="9">I23/$I$28</f>
        <v>8.607615241198964E-2</v>
      </c>
      <c r="L23" s="92"/>
      <c r="M23" s="412"/>
      <c r="N23" s="412"/>
      <c r="O23" s="412"/>
      <c r="P23" s="412"/>
      <c r="Q23" s="412"/>
      <c r="R23" s="412"/>
      <c r="S23" s="412"/>
      <c r="T23" s="412"/>
      <c r="U23" s="412"/>
    </row>
    <row r="24" spans="1:21" ht="12.95" customHeight="1">
      <c r="A24" s="494"/>
      <c r="B24" s="494"/>
      <c r="C24" s="154" t="s">
        <v>6</v>
      </c>
      <c r="D24" s="313">
        <v>202196</v>
      </c>
      <c r="E24" s="129">
        <v>17527.102548541206</v>
      </c>
      <c r="F24" s="129">
        <v>192502.78692066798</v>
      </c>
      <c r="G24" s="307">
        <f t="shared" si="7"/>
        <v>5.7988016189683696E-2</v>
      </c>
      <c r="H24" s="307">
        <f t="shared" si="8"/>
        <v>-0.53302675724322057</v>
      </c>
      <c r="I24" s="313">
        <v>37533.419356256578</v>
      </c>
      <c r="J24" s="129">
        <v>410752.68184842722</v>
      </c>
      <c r="K24" s="307">
        <f t="shared" si="9"/>
        <v>9.790697783697444E-2</v>
      </c>
      <c r="L24" s="92"/>
      <c r="M24" s="412"/>
      <c r="N24" s="412"/>
      <c r="O24" s="412"/>
      <c r="P24" s="412"/>
      <c r="Q24" s="412"/>
      <c r="R24" s="412"/>
      <c r="S24" s="412"/>
      <c r="T24" s="412"/>
      <c r="U24" s="412"/>
    </row>
    <row r="25" spans="1:21" ht="12.95" customHeight="1">
      <c r="A25" s="494"/>
      <c r="B25" s="494"/>
      <c r="C25" s="154" t="s">
        <v>7</v>
      </c>
      <c r="D25" s="313">
        <v>2546357</v>
      </c>
      <c r="E25" s="129">
        <v>28922.94819108021</v>
      </c>
      <c r="F25" s="129">
        <v>317742.16097932396</v>
      </c>
      <c r="G25" s="307">
        <f t="shared" si="7"/>
        <v>9.5690909738947991E-2</v>
      </c>
      <c r="H25" s="307">
        <f t="shared" si="8"/>
        <v>-0.52587743701792067</v>
      </c>
      <c r="I25" s="313">
        <v>61003.104364331688</v>
      </c>
      <c r="J25" s="129">
        <v>667548.82757754135</v>
      </c>
      <c r="K25" s="307">
        <f t="shared" si="9"/>
        <v>0.15912830990149751</v>
      </c>
      <c r="L25" s="92"/>
      <c r="M25" s="412"/>
      <c r="N25" s="412"/>
      <c r="O25" s="412"/>
      <c r="P25" s="412"/>
      <c r="Q25" s="412"/>
      <c r="R25" s="412"/>
      <c r="S25" s="412"/>
      <c r="T25" s="412"/>
      <c r="U25" s="412"/>
    </row>
    <row r="26" spans="1:21" ht="12.95" customHeight="1">
      <c r="A26" s="494"/>
      <c r="B26" s="494"/>
      <c r="C26" s="154" t="s">
        <v>93</v>
      </c>
      <c r="D26" s="313">
        <v>274</v>
      </c>
      <c r="E26" s="129">
        <v>7374.7371440039569</v>
      </c>
      <c r="F26" s="129">
        <v>81006.558960000009</v>
      </c>
      <c r="G26" s="307">
        <f t="shared" si="7"/>
        <v>2.4399148445488867E-2</v>
      </c>
      <c r="H26" s="307">
        <f t="shared" si="8"/>
        <v>0.11423499967870167</v>
      </c>
      <c r="I26" s="313">
        <v>6618.6550827523097</v>
      </c>
      <c r="J26" s="129">
        <v>72384.30846</v>
      </c>
      <c r="K26" s="307">
        <f t="shared" si="9"/>
        <v>1.7264947548393007E-2</v>
      </c>
      <c r="L26" s="92"/>
      <c r="M26" s="412"/>
      <c r="N26" s="412"/>
      <c r="O26" s="412"/>
      <c r="P26" s="412"/>
      <c r="Q26" s="412"/>
      <c r="R26" s="412"/>
      <c r="S26" s="412"/>
      <c r="T26" s="412"/>
      <c r="U26" s="412"/>
    </row>
    <row r="27" spans="1:21" ht="12.95" customHeight="1">
      <c r="A27" s="494"/>
      <c r="B27" s="494"/>
      <c r="C27" s="154" t="s">
        <v>94</v>
      </c>
      <c r="D27" s="313"/>
      <c r="E27" s="129">
        <v>1237.5221526624007</v>
      </c>
      <c r="F27" s="129">
        <v>13698.718703000015</v>
      </c>
      <c r="G27" s="307">
        <f t="shared" si="7"/>
        <v>4.0943136165796134E-3</v>
      </c>
      <c r="H27" s="307">
        <f t="shared" ref="H27" si="10">(E27-I27)/I27</f>
        <v>-0.54804995513048127</v>
      </c>
      <c r="I27" s="313">
        <v>2738.1834933099349</v>
      </c>
      <c r="J27" s="129">
        <v>30011.104936000011</v>
      </c>
      <c r="K27" s="307">
        <f t="shared" si="9"/>
        <v>7.1426284945812334E-3</v>
      </c>
      <c r="L27" s="92"/>
      <c r="M27" s="412"/>
      <c r="N27" s="412"/>
      <c r="O27" s="412"/>
      <c r="P27" s="412"/>
      <c r="Q27" s="412"/>
      <c r="R27" s="412"/>
      <c r="S27" s="412"/>
      <c r="T27" s="412"/>
      <c r="U27" s="412"/>
    </row>
    <row r="28" spans="1:21" ht="12.95" customHeight="1">
      <c r="A28" s="495"/>
      <c r="B28" s="495"/>
      <c r="C28" s="318" t="s">
        <v>0</v>
      </c>
      <c r="D28" s="321">
        <v>2756504.9390000002</v>
      </c>
      <c r="E28" s="319">
        <v>302253.87416614796</v>
      </c>
      <c r="F28" s="319">
        <v>3320187.4689229922</v>
      </c>
      <c r="G28" s="320">
        <f>SUM(G22:G27)</f>
        <v>1.0000000000000002</v>
      </c>
      <c r="H28" s="320">
        <f>(E28-I28)/I28</f>
        <v>-0.21156228591275983</v>
      </c>
      <c r="I28" s="321">
        <v>383357.96064253687</v>
      </c>
      <c r="J28" s="319">
        <v>4195289.6731579686</v>
      </c>
      <c r="K28" s="320">
        <f>SUM(K22:K27)</f>
        <v>1</v>
      </c>
      <c r="M28" s="412"/>
      <c r="N28" s="412"/>
      <c r="O28" s="412"/>
      <c r="P28" s="412"/>
      <c r="Q28" s="412"/>
      <c r="R28" s="412"/>
      <c r="S28" s="412"/>
      <c r="T28" s="412"/>
      <c r="U28" s="412"/>
    </row>
    <row r="29" spans="1:21" ht="12.95" customHeight="1">
      <c r="A29" s="496" t="str">
        <f>'3.1'!G5</f>
        <v>III. čtvrtletí</v>
      </c>
      <c r="B29" s="493"/>
      <c r="C29" s="164" t="s">
        <v>4</v>
      </c>
      <c r="D29" s="312">
        <f>D22</f>
        <v>1559</v>
      </c>
      <c r="E29" s="308">
        <f>E8+E15+E22</f>
        <v>649718.97217572038</v>
      </c>
      <c r="F29" s="308">
        <f>F8+F15+F22</f>
        <v>7128279.241659672</v>
      </c>
      <c r="G29" s="309">
        <f>E29/$E$35</f>
        <v>0.74594253798785859</v>
      </c>
      <c r="H29" s="309">
        <f>(E29-I29)/I29</f>
        <v>-5.6927582412442411E-2</v>
      </c>
      <c r="I29" s="312">
        <f>I8+I15+I22</f>
        <v>688938.57996371586</v>
      </c>
      <c r="J29" s="308">
        <f>J8+J15+J22</f>
        <v>7504665.2050880007</v>
      </c>
      <c r="K29" s="309">
        <f>I29/$I$35</f>
        <v>0.70083261431678157</v>
      </c>
      <c r="M29" s="412"/>
      <c r="N29" s="412"/>
      <c r="O29" s="412"/>
      <c r="P29" s="412"/>
      <c r="Q29" s="412"/>
      <c r="R29" s="412"/>
      <c r="S29" s="412"/>
      <c r="T29" s="412"/>
      <c r="U29" s="412"/>
    </row>
    <row r="30" spans="1:21" ht="12.95" customHeight="1">
      <c r="A30" s="494"/>
      <c r="B30" s="494"/>
      <c r="C30" s="154" t="s">
        <v>5</v>
      </c>
      <c r="D30" s="313">
        <f t="shared" ref="D30:D33" si="11">D23</f>
        <v>6118.9390000000003</v>
      </c>
      <c r="E30" s="129">
        <f>E9+E16+E23</f>
        <v>64445.374107523181</v>
      </c>
      <c r="F30" s="129">
        <f t="shared" ref="F30" si="12">F9+F16+F23</f>
        <v>707103.66793999996</v>
      </c>
      <c r="G30" s="307">
        <f t="shared" ref="G30:G34" si="13">E30/$E$35</f>
        <v>7.398975246538031E-2</v>
      </c>
      <c r="H30" s="307">
        <f t="shared" ref="H30:H32" si="14">(E30-I30)/I30</f>
        <v>-0.18128003891548311</v>
      </c>
      <c r="I30" s="313">
        <f>I9+I16+I23</f>
        <v>78714.795254479512</v>
      </c>
      <c r="J30" s="129">
        <f t="shared" ref="J30" si="15">J9+J16+J23</f>
        <v>857953.24396999995</v>
      </c>
      <c r="K30" s="307">
        <f t="shared" ref="K30:K34" si="16">I30/$I$35</f>
        <v>8.0073750183234732E-2</v>
      </c>
      <c r="M30" s="412"/>
      <c r="N30" s="412"/>
      <c r="O30" s="412"/>
      <c r="P30" s="412"/>
      <c r="Q30" s="412"/>
      <c r="R30" s="412"/>
      <c r="S30" s="412"/>
      <c r="T30" s="412"/>
      <c r="U30" s="412"/>
    </row>
    <row r="31" spans="1:21" ht="12.95" customHeight="1">
      <c r="A31" s="494"/>
      <c r="B31" s="494"/>
      <c r="C31" s="154" t="s">
        <v>6</v>
      </c>
      <c r="D31" s="313">
        <f t="shared" si="11"/>
        <v>202196</v>
      </c>
      <c r="E31" s="129">
        <f t="shared" ref="E31:F31" si="17">E10+E17+E24</f>
        <v>47979.289138244152</v>
      </c>
      <c r="F31" s="129">
        <f t="shared" si="17"/>
        <v>526356.66583026061</v>
      </c>
      <c r="G31" s="307">
        <f t="shared" si="13"/>
        <v>5.5085035597445313E-2</v>
      </c>
      <c r="H31" s="307">
        <f t="shared" si="14"/>
        <v>-0.34464197677519787</v>
      </c>
      <c r="I31" s="313">
        <f t="shared" ref="I31:J31" si="18">I10+I17+I24</f>
        <v>73210.806060104049</v>
      </c>
      <c r="J31" s="129">
        <f t="shared" si="18"/>
        <v>798503.5925809152</v>
      </c>
      <c r="K31" s="307">
        <f t="shared" si="16"/>
        <v>7.4474738531907794E-2</v>
      </c>
      <c r="M31" s="412"/>
      <c r="N31" s="412"/>
      <c r="O31" s="412"/>
      <c r="P31" s="412"/>
      <c r="Q31" s="412"/>
      <c r="R31" s="412"/>
      <c r="S31" s="412"/>
      <c r="T31" s="412"/>
      <c r="U31" s="412"/>
    </row>
    <row r="32" spans="1:21" ht="12.95" customHeight="1">
      <c r="A32" s="494"/>
      <c r="B32" s="494"/>
      <c r="C32" s="154" t="s">
        <v>7</v>
      </c>
      <c r="D32" s="313">
        <f t="shared" si="11"/>
        <v>2546357</v>
      </c>
      <c r="E32" s="129">
        <f>E11+E18+E25</f>
        <v>84069.088311636238</v>
      </c>
      <c r="F32" s="129">
        <f t="shared" ref="E32:F34" si="19">F11+F18+F25</f>
        <v>922475.51249773591</v>
      </c>
      <c r="G32" s="307">
        <f t="shared" si="13"/>
        <v>9.6519744361946797E-2</v>
      </c>
      <c r="H32" s="307">
        <f t="shared" si="14"/>
        <v>-0.28179184060165396</v>
      </c>
      <c r="I32" s="313">
        <f>I11+I18+I25</f>
        <v>117053.93096906919</v>
      </c>
      <c r="J32" s="129">
        <f t="shared" ref="J32" si="20">J11+J18+J25</f>
        <v>1276796.1103580338</v>
      </c>
      <c r="K32" s="307">
        <f t="shared" si="16"/>
        <v>0.11907478379484766</v>
      </c>
      <c r="M32" s="412"/>
      <c r="N32" s="412"/>
      <c r="O32" s="412"/>
      <c r="P32" s="412"/>
      <c r="Q32" s="412"/>
      <c r="R32" s="412"/>
      <c r="S32" s="412"/>
      <c r="T32" s="412"/>
      <c r="U32" s="412"/>
    </row>
    <row r="33" spans="1:21" ht="12.95" customHeight="1">
      <c r="A33" s="494"/>
      <c r="B33" s="494"/>
      <c r="C33" s="154" t="s">
        <v>93</v>
      </c>
      <c r="D33" s="313">
        <f t="shared" si="11"/>
        <v>274</v>
      </c>
      <c r="E33" s="129">
        <f>E12+E19+E26</f>
        <v>21824.686121713621</v>
      </c>
      <c r="F33" s="129">
        <f t="shared" si="19"/>
        <v>239455.59878</v>
      </c>
      <c r="G33" s="307">
        <f t="shared" si="13"/>
        <v>2.5056928385364188E-2</v>
      </c>
      <c r="H33" s="307">
        <f>(E33-I33)/I33</f>
        <v>3.9889966386226994E-2</v>
      </c>
      <c r="I33" s="313">
        <f>I12+I19+I26</f>
        <v>20987.495626636024</v>
      </c>
      <c r="J33" s="129">
        <f t="shared" ref="J33" si="21">J12+J19+J26</f>
        <v>228489.02218</v>
      </c>
      <c r="K33" s="307">
        <f t="shared" si="16"/>
        <v>2.1349829804497237E-2</v>
      </c>
      <c r="M33" s="412"/>
      <c r="N33" s="412"/>
      <c r="O33" s="412"/>
      <c r="P33" s="412"/>
      <c r="Q33" s="412"/>
      <c r="R33" s="412"/>
      <c r="S33" s="412"/>
      <c r="T33" s="412"/>
      <c r="U33" s="412"/>
    </row>
    <row r="34" spans="1:21" ht="12.95" customHeight="1">
      <c r="A34" s="494"/>
      <c r="B34" s="494"/>
      <c r="C34" s="154" t="s">
        <v>94</v>
      </c>
      <c r="D34" s="313"/>
      <c r="E34" s="129">
        <f t="shared" si="19"/>
        <v>2966.6408436301526</v>
      </c>
      <c r="F34" s="129">
        <f t="shared" si="19"/>
        <v>32850.554597000038</v>
      </c>
      <c r="G34" s="307">
        <f t="shared" si="13"/>
        <v>3.4060012020049402E-3</v>
      </c>
      <c r="H34" s="307">
        <f t="shared" ref="H34" si="22">(E34-I34)/I34</f>
        <v>-0.2804830953214047</v>
      </c>
      <c r="I34" s="313">
        <f t="shared" ref="I34:J34" si="23">I13+I20+I27</f>
        <v>4123.1009644663409</v>
      </c>
      <c r="J34" s="129">
        <f t="shared" si="23"/>
        <v>45435.789843999897</v>
      </c>
      <c r="K34" s="307">
        <f t="shared" si="16"/>
        <v>4.1942833687310345E-3</v>
      </c>
      <c r="M34" s="412"/>
      <c r="N34" s="412"/>
      <c r="O34" s="412"/>
      <c r="P34" s="412"/>
      <c r="Q34" s="412"/>
      <c r="R34" s="412"/>
      <c r="S34" s="412"/>
      <c r="T34" s="412"/>
      <c r="U34" s="412"/>
    </row>
    <row r="35" spans="1:21" ht="12.95" customHeight="1">
      <c r="A35" s="495"/>
      <c r="B35" s="495"/>
      <c r="C35" s="318" t="s">
        <v>0</v>
      </c>
      <c r="D35" s="321">
        <f>SUM(D29:D34)</f>
        <v>2756504.9390000002</v>
      </c>
      <c r="E35" s="319">
        <f>SUM(E29:E34)</f>
        <v>871004.05069846765</v>
      </c>
      <c r="F35" s="319">
        <f>SUM(F29:F34)</f>
        <v>9556521.2413046695</v>
      </c>
      <c r="G35" s="320">
        <f>SUM(G29:G34)</f>
        <v>1</v>
      </c>
      <c r="H35" s="320">
        <f>(E35-I35)/I35</f>
        <v>-0.11395868414908213</v>
      </c>
      <c r="I35" s="321">
        <f>SUM(I29:I34)</f>
        <v>983028.70883847098</v>
      </c>
      <c r="J35" s="319">
        <f>SUM(J29:J34)</f>
        <v>10711842.964020951</v>
      </c>
      <c r="K35" s="320">
        <f>SUM(K29:K34)</f>
        <v>1</v>
      </c>
      <c r="M35" s="412"/>
      <c r="N35" s="412"/>
      <c r="O35" s="412"/>
      <c r="P35" s="412"/>
      <c r="Q35" s="412"/>
      <c r="R35" s="412"/>
      <c r="S35" s="412"/>
      <c r="T35" s="412"/>
      <c r="U35" s="412"/>
    </row>
    <row r="36" spans="1:21" ht="20.100000000000001" customHeight="1">
      <c r="A36" s="126"/>
      <c r="B36" s="303"/>
      <c r="C36" s="101"/>
      <c r="D36" s="88"/>
      <c r="E36" s="88"/>
      <c r="F36" s="88"/>
      <c r="G36" s="497" t="s">
        <v>272</v>
      </c>
      <c r="H36" s="497"/>
      <c r="I36" s="497"/>
      <c r="J36" s="497"/>
      <c r="K36" s="497"/>
    </row>
    <row r="37" spans="1:21" ht="15" customHeight="1">
      <c r="A37" s="489" t="s">
        <v>271</v>
      </c>
      <c r="B37" s="489"/>
      <c r="C37" s="489"/>
      <c r="D37" s="489"/>
      <c r="E37" s="489"/>
      <c r="F37" s="119"/>
      <c r="G37" s="497"/>
      <c r="H37" s="497"/>
      <c r="I37" s="497"/>
      <c r="J37" s="497"/>
      <c r="K37" s="497"/>
      <c r="M37" s="93"/>
      <c r="N37" s="93"/>
      <c r="O37" s="93"/>
      <c r="P37" s="93"/>
      <c r="Q37" s="93"/>
      <c r="R37" s="93"/>
      <c r="S37" s="93"/>
    </row>
    <row r="38" spans="1:21" ht="15" customHeight="1">
      <c r="A38" s="490" t="str">
        <f>A29</f>
        <v>III. čtvrtletí</v>
      </c>
      <c r="B38" s="491"/>
      <c r="C38" s="491"/>
      <c r="D38" s="491"/>
      <c r="E38" s="491"/>
      <c r="F38" s="125"/>
      <c r="G38" s="492" t="str">
        <f>A29</f>
        <v>III. čtvrtletí</v>
      </c>
      <c r="H38" s="492"/>
      <c r="I38" s="492"/>
      <c r="J38" s="492"/>
      <c r="K38" s="492"/>
      <c r="M38" s="93"/>
      <c r="N38" s="93"/>
      <c r="O38" s="93"/>
      <c r="P38" s="93"/>
      <c r="Q38" s="93"/>
      <c r="R38" s="93"/>
      <c r="S38" s="93"/>
    </row>
    <row r="39" spans="1:21" ht="15" customHeight="1">
      <c r="A39" s="126"/>
      <c r="B39" s="126"/>
      <c r="C39" s="126"/>
      <c r="D39" s="76"/>
      <c r="E39" s="76"/>
      <c r="F39" s="76"/>
      <c r="G39" s="126"/>
      <c r="H39" s="126"/>
      <c r="I39" s="126"/>
      <c r="J39" s="126"/>
      <c r="K39" s="126"/>
      <c r="M39" s="93"/>
      <c r="N39" s="93"/>
      <c r="O39" s="93"/>
      <c r="P39" s="93"/>
      <c r="Q39" s="93"/>
      <c r="R39" s="93"/>
      <c r="S39" s="93"/>
      <c r="T39" s="93"/>
    </row>
    <row r="40" spans="1:21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1" ht="15" customHeight="1">
      <c r="A41" s="94"/>
      <c r="B41" s="94"/>
      <c r="C41" s="94"/>
      <c r="D41" s="76"/>
      <c r="E41" s="76"/>
      <c r="F41" s="76"/>
      <c r="G41" s="94"/>
      <c r="H41" s="94"/>
      <c r="I41" s="94"/>
      <c r="J41" s="94"/>
      <c r="K41" s="94"/>
    </row>
    <row r="42" spans="1:21" ht="15" customHeight="1">
      <c r="A42" s="94"/>
      <c r="B42" s="94"/>
      <c r="C42" s="94">
        <f>D4</f>
        <v>2023</v>
      </c>
      <c r="D42" s="94">
        <f>I4</f>
        <v>2022</v>
      </c>
      <c r="E42" s="76"/>
      <c r="F42" s="76"/>
      <c r="G42" s="76"/>
      <c r="H42" s="94"/>
      <c r="I42" s="94">
        <f>D4</f>
        <v>2023</v>
      </c>
      <c r="J42" s="94">
        <f>I4</f>
        <v>2022</v>
      </c>
      <c r="K42" s="94"/>
    </row>
    <row r="43" spans="1:21" ht="15" customHeight="1">
      <c r="A43" s="94"/>
      <c r="B43" s="94" t="str">
        <f>A8</f>
        <v>Červenec</v>
      </c>
      <c r="C43" s="78">
        <f>E14</f>
        <v>281136.87955480901</v>
      </c>
      <c r="D43" s="78">
        <f>I14</f>
        <v>288565.59520753234</v>
      </c>
      <c r="E43" s="76"/>
      <c r="F43" s="76"/>
      <c r="G43" s="76"/>
      <c r="H43" s="94" t="str">
        <f>A8</f>
        <v>Červenec</v>
      </c>
      <c r="I43" s="95">
        <f>E14/E35</f>
        <v>0.32277333191431462</v>
      </c>
      <c r="J43" s="95">
        <f>I14/I35</f>
        <v>0.29354747487333943</v>
      </c>
      <c r="K43" s="94"/>
    </row>
    <row r="44" spans="1:21" ht="15" customHeight="1">
      <c r="A44" s="94"/>
      <c r="B44" s="94" t="str">
        <f>A15</f>
        <v>Srpen</v>
      </c>
      <c r="C44" s="78">
        <f>E21</f>
        <v>287613.29697751073</v>
      </c>
      <c r="D44" s="78">
        <f>I21</f>
        <v>311105.15298840177</v>
      </c>
      <c r="E44" s="76"/>
      <c r="F44" s="76"/>
      <c r="G44" s="76"/>
      <c r="H44" s="94" t="str">
        <f>A15</f>
        <v>Srpen</v>
      </c>
      <c r="I44" s="95">
        <f>E21/E35</f>
        <v>0.33020890861169988</v>
      </c>
      <c r="J44" s="95">
        <f>I21/I35</f>
        <v>0.31647616208075757</v>
      </c>
      <c r="K44" s="94"/>
    </row>
    <row r="45" spans="1:21" ht="15" customHeight="1">
      <c r="A45" s="94"/>
      <c r="B45" s="94" t="str">
        <f>A22</f>
        <v>Září</v>
      </c>
      <c r="C45" s="78">
        <f>E28</f>
        <v>302253.87416614796</v>
      </c>
      <c r="D45" s="78">
        <f>I28</f>
        <v>383357.96064253687</v>
      </c>
      <c r="E45" s="76"/>
      <c r="F45" s="76"/>
      <c r="G45" s="76"/>
      <c r="H45" s="94" t="str">
        <f>A22</f>
        <v>Září</v>
      </c>
      <c r="I45" s="95">
        <f>E28/E35</f>
        <v>0.34701775947398555</v>
      </c>
      <c r="J45" s="95">
        <f>I28/I35</f>
        <v>0.38997636304590305</v>
      </c>
      <c r="K45" s="94"/>
    </row>
    <row r="46" spans="1:21" ht="15" customHeight="1">
      <c r="A46" s="94"/>
      <c r="B46" s="94"/>
      <c r="C46" s="78">
        <f>SUM(C43:C45)</f>
        <v>871004.05069846776</v>
      </c>
      <c r="D46" s="78">
        <f>SUM(D43:D45)</f>
        <v>983028.70883847098</v>
      </c>
      <c r="E46" s="94"/>
      <c r="F46" s="94"/>
      <c r="G46" s="94"/>
      <c r="H46" s="94"/>
      <c r="I46" s="96">
        <f>SUM(I43:I45)</f>
        <v>1</v>
      </c>
      <c r="J46" s="96">
        <f>SUM(J43:J45)</f>
        <v>1</v>
      </c>
      <c r="K46" s="94"/>
    </row>
    <row r="47" spans="1:21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1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21">
    <mergeCell ref="A37:E37"/>
    <mergeCell ref="A38:E38"/>
    <mergeCell ref="G38:K38"/>
    <mergeCell ref="A8:B14"/>
    <mergeCell ref="A15:B21"/>
    <mergeCell ref="A22:B28"/>
    <mergeCell ref="A29:B35"/>
    <mergeCell ref="G36:K37"/>
    <mergeCell ref="A2:K2"/>
    <mergeCell ref="A3:C3"/>
    <mergeCell ref="I6:J6"/>
    <mergeCell ref="E6:F6"/>
    <mergeCell ref="G6:G7"/>
    <mergeCell ref="H6:H7"/>
    <mergeCell ref="K6:K7"/>
    <mergeCell ref="I4:K5"/>
    <mergeCell ref="D6:D7"/>
    <mergeCell ref="C6:C7"/>
    <mergeCell ref="A6:B7"/>
    <mergeCell ref="A4:C4"/>
    <mergeCell ref="D4:G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2"/>
  <sheetViews>
    <sheetView showGridLines="0" zoomScaleNormal="100" zoomScaleSheetLayoutView="100" workbookViewId="0">
      <selection activeCell="G1" sqref="G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71" t="s">
        <v>298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21" ht="6" customHeight="1">
      <c r="A2" s="477"/>
      <c r="B2" s="477"/>
      <c r="C2" s="477"/>
      <c r="D2" s="315"/>
      <c r="E2" s="315"/>
      <c r="F2" s="316"/>
      <c r="G2" s="317"/>
      <c r="H2" s="317"/>
      <c r="I2" s="317"/>
      <c r="J2" s="279"/>
      <c r="K2" s="279"/>
    </row>
    <row r="3" spans="1:21" ht="15" customHeight="1">
      <c r="A3" s="487" t="s">
        <v>256</v>
      </c>
      <c r="B3" s="487"/>
      <c r="C3" s="487"/>
      <c r="D3" s="341">
        <f>'3.1'!A4</f>
        <v>2023</v>
      </c>
      <c r="E3" s="482"/>
      <c r="F3" s="482"/>
      <c r="G3" s="482"/>
      <c r="H3" s="340"/>
      <c r="I3" s="481">
        <f>D3-1</f>
        <v>2022</v>
      </c>
      <c r="J3" s="482"/>
      <c r="K3" s="482"/>
    </row>
    <row r="4" spans="1:21" ht="50.1" customHeight="1">
      <c r="A4" s="488"/>
      <c r="B4" s="488"/>
      <c r="C4" s="488"/>
      <c r="D4" s="343"/>
      <c r="E4" s="484"/>
      <c r="F4" s="484"/>
      <c r="G4" s="484"/>
      <c r="H4" s="174"/>
      <c r="I4" s="483"/>
      <c r="J4" s="484"/>
      <c r="K4" s="484"/>
    </row>
    <row r="5" spans="1:21" ht="24.95" customHeight="1">
      <c r="A5" s="487" t="s">
        <v>158</v>
      </c>
      <c r="B5" s="487"/>
      <c r="C5" s="498" t="s">
        <v>184</v>
      </c>
      <c r="D5" s="485" t="s">
        <v>159</v>
      </c>
      <c r="E5" s="479" t="s">
        <v>60</v>
      </c>
      <c r="F5" s="479"/>
      <c r="G5" s="480" t="s">
        <v>33</v>
      </c>
      <c r="H5" s="480" t="s">
        <v>270</v>
      </c>
      <c r="I5" s="478" t="s">
        <v>60</v>
      </c>
      <c r="J5" s="479"/>
      <c r="K5" s="480" t="s">
        <v>33</v>
      </c>
    </row>
    <row r="6" spans="1:21" ht="22.5" customHeight="1">
      <c r="A6" s="488"/>
      <c r="B6" s="488"/>
      <c r="C6" s="499"/>
      <c r="D6" s="486"/>
      <c r="E6" s="219" t="s">
        <v>261</v>
      </c>
      <c r="F6" s="219" t="s">
        <v>262</v>
      </c>
      <c r="G6" s="476"/>
      <c r="H6" s="476"/>
      <c r="I6" s="221" t="s">
        <v>261</v>
      </c>
      <c r="J6" s="219" t="s">
        <v>262</v>
      </c>
      <c r="K6" s="476"/>
    </row>
    <row r="7" spans="1:21" ht="12.95" customHeight="1">
      <c r="A7" s="443" t="str">
        <f>'3.1'!D5</f>
        <v>Červenec</v>
      </c>
      <c r="B7" s="443"/>
      <c r="C7" s="164" t="s">
        <v>4</v>
      </c>
      <c r="D7" s="312">
        <v>134</v>
      </c>
      <c r="E7" s="308">
        <v>7223.0621532150644</v>
      </c>
      <c r="F7" s="308">
        <v>79282.371977671952</v>
      </c>
      <c r="G7" s="309">
        <f t="shared" ref="G7:G12" si="0">E7/$E$13</f>
        <v>0.39339200866940249</v>
      </c>
      <c r="H7" s="309">
        <f>(E7-I7)/I7</f>
        <v>7.4697212116922969E-3</v>
      </c>
      <c r="I7" s="312">
        <v>7169.5079277696077</v>
      </c>
      <c r="J7" s="308">
        <v>78492.360530000005</v>
      </c>
      <c r="K7" s="309">
        <f>I7/$I$13</f>
        <v>0.38047164787593896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2.95" customHeight="1">
      <c r="A8" s="437"/>
      <c r="B8" s="437"/>
      <c r="C8" s="154" t="s">
        <v>5</v>
      </c>
      <c r="D8" s="313">
        <v>1445</v>
      </c>
      <c r="E8" s="129">
        <v>2715.4840291618102</v>
      </c>
      <c r="F8" s="129">
        <v>29805.929950000002</v>
      </c>
      <c r="G8" s="307">
        <f t="shared" si="0"/>
        <v>0.14789429940958726</v>
      </c>
      <c r="H8" s="307">
        <f t="shared" ref="H8:H11" si="1">(E8-I8)/I8</f>
        <v>-0.10520411289264921</v>
      </c>
      <c r="I8" s="313">
        <v>3034.7524706894715</v>
      </c>
      <c r="J8" s="129">
        <v>33224.724369999996</v>
      </c>
      <c r="K8" s="307">
        <f t="shared" ref="K8:K12" si="2">I8/$I$13</f>
        <v>0.16104832926490695</v>
      </c>
      <c r="L8" s="93"/>
      <c r="M8" s="89"/>
      <c r="N8" s="89"/>
      <c r="O8" s="89"/>
      <c r="P8" s="89"/>
      <c r="Q8" s="89"/>
      <c r="R8" s="89"/>
      <c r="S8" s="89"/>
    </row>
    <row r="9" spans="1:21" ht="12.95" customHeight="1">
      <c r="A9" s="437"/>
      <c r="B9" s="437"/>
      <c r="C9" s="154" t="s">
        <v>6</v>
      </c>
      <c r="D9" s="313">
        <v>37541</v>
      </c>
      <c r="E9" s="129">
        <v>2433.5364468185157</v>
      </c>
      <c r="F9" s="129">
        <v>26711.192585077966</v>
      </c>
      <c r="G9" s="307">
        <f t="shared" si="0"/>
        <v>0.1325384955407059</v>
      </c>
      <c r="H9" s="307">
        <f t="shared" si="1"/>
        <v>-4.5398782004696804E-2</v>
      </c>
      <c r="I9" s="313">
        <v>2549.2702093226212</v>
      </c>
      <c r="J9" s="129">
        <v>27909.623887760899</v>
      </c>
      <c r="K9" s="307">
        <f t="shared" si="2"/>
        <v>0.13528474299682594</v>
      </c>
      <c r="L9" s="93"/>
      <c r="M9" s="89"/>
      <c r="N9" s="89"/>
      <c r="O9" s="89"/>
      <c r="P9" s="89"/>
      <c r="Q9" s="89"/>
      <c r="R9" s="89"/>
      <c r="S9" s="89"/>
    </row>
    <row r="10" spans="1:21" ht="12.95" customHeight="1">
      <c r="A10" s="437"/>
      <c r="B10" s="437"/>
      <c r="C10" s="154" t="s">
        <v>7</v>
      </c>
      <c r="D10" s="313">
        <v>364605</v>
      </c>
      <c r="E10" s="129">
        <v>4140.5986174531554</v>
      </c>
      <c r="F10" s="129">
        <v>45448.395577922063</v>
      </c>
      <c r="G10" s="307">
        <f t="shared" si="0"/>
        <v>0.22551078374545289</v>
      </c>
      <c r="H10" s="307">
        <f t="shared" si="1"/>
        <v>-3.4207196675537656E-2</v>
      </c>
      <c r="I10" s="313">
        <v>4287.2535425821588</v>
      </c>
      <c r="J10" s="129">
        <v>46937.211068234639</v>
      </c>
      <c r="K10" s="307">
        <f t="shared" si="2"/>
        <v>0.22751609129130865</v>
      </c>
      <c r="L10" s="93"/>
      <c r="M10" s="89"/>
      <c r="N10" s="89"/>
      <c r="O10" s="89"/>
      <c r="P10" s="89"/>
      <c r="Q10" s="89"/>
      <c r="R10" s="89"/>
      <c r="S10" s="89"/>
    </row>
    <row r="11" spans="1:21" ht="12.95" customHeight="1">
      <c r="A11" s="437"/>
      <c r="B11" s="437"/>
      <c r="C11" s="154" t="s">
        <v>93</v>
      </c>
      <c r="D11" s="313">
        <v>39</v>
      </c>
      <c r="E11" s="129">
        <v>1076.5818160341869</v>
      </c>
      <c r="F11" s="129">
        <v>11816.87016</v>
      </c>
      <c r="G11" s="307">
        <f t="shared" si="0"/>
        <v>5.8634229378481686E-2</v>
      </c>
      <c r="H11" s="307">
        <f t="shared" si="1"/>
        <v>0.16818858143044715</v>
      </c>
      <c r="I11" s="313">
        <v>921.58221125215266</v>
      </c>
      <c r="J11" s="129">
        <v>10089.559279999999</v>
      </c>
      <c r="K11" s="307">
        <f t="shared" si="2"/>
        <v>4.8906550644869574E-2</v>
      </c>
      <c r="L11" s="93"/>
      <c r="M11" s="89"/>
      <c r="N11" s="89"/>
      <c r="O11" s="89"/>
      <c r="P11" s="89"/>
      <c r="Q11" s="89"/>
      <c r="R11" s="89"/>
      <c r="S11" s="89"/>
    </row>
    <row r="12" spans="1:21" ht="12.95" customHeight="1">
      <c r="A12" s="437"/>
      <c r="B12" s="437"/>
      <c r="C12" s="154" t="s">
        <v>94</v>
      </c>
      <c r="D12" s="313"/>
      <c r="E12" s="129">
        <v>771.71528470702776</v>
      </c>
      <c r="F12" s="129">
        <v>8470.5678510000016</v>
      </c>
      <c r="G12" s="307">
        <f t="shared" si="0"/>
        <v>4.2030183256369695E-2</v>
      </c>
      <c r="H12" s="307">
        <f>(E12-I12)/I12</f>
        <v>-0.12441525221207793</v>
      </c>
      <c r="I12" s="313">
        <v>881.37131974567831</v>
      </c>
      <c r="J12" s="129">
        <v>9649.3270700000012</v>
      </c>
      <c r="K12" s="307">
        <f t="shared" si="2"/>
        <v>4.6772637926149926E-2</v>
      </c>
      <c r="L12" s="93"/>
      <c r="M12" s="89"/>
      <c r="N12" s="89"/>
      <c r="O12" s="89"/>
      <c r="P12" s="89"/>
      <c r="Q12" s="89"/>
      <c r="R12" s="89"/>
      <c r="S12" s="89"/>
    </row>
    <row r="13" spans="1:21" ht="12.95" customHeight="1">
      <c r="A13" s="442"/>
      <c r="B13" s="442"/>
      <c r="C13" s="318" t="s">
        <v>0</v>
      </c>
      <c r="D13" s="321">
        <v>403764</v>
      </c>
      <c r="E13" s="319">
        <v>18360.978347389762</v>
      </c>
      <c r="F13" s="319">
        <v>201535.32810167197</v>
      </c>
      <c r="G13" s="320">
        <f>SUM(G7:G12)</f>
        <v>0.99999999999999989</v>
      </c>
      <c r="H13" s="320">
        <f>(E13-I13)/I13</f>
        <v>-2.5619085880686204E-2</v>
      </c>
      <c r="I13" s="321">
        <v>18843.73768136169</v>
      </c>
      <c r="J13" s="319">
        <v>206302.80620599553</v>
      </c>
      <c r="K13" s="320">
        <f>SUM(K7:K12)</f>
        <v>1</v>
      </c>
      <c r="L13" s="93"/>
      <c r="M13" s="89"/>
      <c r="N13" s="89"/>
      <c r="O13" s="89"/>
      <c r="P13" s="89"/>
      <c r="Q13" s="89"/>
      <c r="R13" s="89"/>
      <c r="S13" s="89"/>
    </row>
    <row r="14" spans="1:21" ht="12.95" customHeight="1">
      <c r="A14" s="443" t="str">
        <f>'3.1'!E5</f>
        <v>Srpen</v>
      </c>
      <c r="B14" s="443"/>
      <c r="C14" s="164" t="s">
        <v>4</v>
      </c>
      <c r="D14" s="312">
        <v>134</v>
      </c>
      <c r="E14" s="308">
        <v>5644.4997052344379</v>
      </c>
      <c r="F14" s="308">
        <v>61986.21041</v>
      </c>
      <c r="G14" s="309">
        <f>E14/$E$20</f>
        <v>0.3245078580258457</v>
      </c>
      <c r="H14" s="309">
        <f>(E14-I14)/I14</f>
        <v>-0.19974347863511108</v>
      </c>
      <c r="I14" s="312">
        <v>7053.3629586765264</v>
      </c>
      <c r="J14" s="308">
        <v>76904.776819999999</v>
      </c>
      <c r="K14" s="309">
        <f>I14/$I$20</f>
        <v>0.38241017178354209</v>
      </c>
      <c r="L14" s="93"/>
      <c r="M14" s="89"/>
      <c r="N14" s="89"/>
      <c r="O14" s="89"/>
      <c r="P14" s="89"/>
      <c r="Q14" s="89"/>
      <c r="R14" s="89"/>
      <c r="S14" s="89"/>
    </row>
    <row r="15" spans="1:21" ht="12.95" customHeight="1">
      <c r="A15" s="437"/>
      <c r="B15" s="437"/>
      <c r="C15" s="154" t="s">
        <v>5</v>
      </c>
      <c r="D15" s="313">
        <v>1443</v>
      </c>
      <c r="E15" s="129">
        <v>2902.9407657720799</v>
      </c>
      <c r="F15" s="129">
        <v>31879.222030000001</v>
      </c>
      <c r="G15" s="307">
        <f t="shared" ref="G15:G19" si="3">E15/$E$20</f>
        <v>0.1668929292356974</v>
      </c>
      <c r="H15" s="307">
        <f t="shared" ref="H15:H17" si="4">(E15-I15)/I15</f>
        <v>-6.4302676878944282E-2</v>
      </c>
      <c r="I15" s="313">
        <v>3102.4356851734974</v>
      </c>
      <c r="J15" s="129">
        <v>33826.704290000001</v>
      </c>
      <c r="K15" s="307">
        <f t="shared" ref="K15:K19" si="5">I15/$I$20</f>
        <v>0.16820387243154172</v>
      </c>
      <c r="L15" s="97"/>
      <c r="M15" s="89"/>
      <c r="N15" s="89"/>
      <c r="O15" s="89"/>
      <c r="P15" s="89"/>
      <c r="Q15" s="89"/>
      <c r="R15" s="89"/>
      <c r="S15" s="89"/>
    </row>
    <row r="16" spans="1:21" ht="12.95" customHeight="1">
      <c r="A16" s="437"/>
      <c r="B16" s="437"/>
      <c r="C16" s="154" t="s">
        <v>6</v>
      </c>
      <c r="D16" s="313">
        <v>37496</v>
      </c>
      <c r="E16" s="129">
        <v>2848.5261228844329</v>
      </c>
      <c r="F16" s="129">
        <v>31281.656794514685</v>
      </c>
      <c r="G16" s="307">
        <f t="shared" si="3"/>
        <v>0.16376457771991354</v>
      </c>
      <c r="H16" s="307">
        <f t="shared" si="4"/>
        <v>0.13456340616076704</v>
      </c>
      <c r="I16" s="313">
        <v>2510.6804145248434</v>
      </c>
      <c r="J16" s="129">
        <v>27374.634824727102</v>
      </c>
      <c r="K16" s="307">
        <f>I16/$I$20</f>
        <v>0.13612084536653027</v>
      </c>
      <c r="L16" s="93"/>
      <c r="M16" s="89"/>
      <c r="N16" s="89"/>
      <c r="O16" s="89"/>
      <c r="P16" s="89"/>
      <c r="Q16" s="89"/>
      <c r="R16" s="89"/>
      <c r="S16" s="89"/>
    </row>
    <row r="17" spans="1:20" ht="12.95" customHeight="1">
      <c r="A17" s="437"/>
      <c r="B17" s="437"/>
      <c r="C17" s="154" t="s">
        <v>7</v>
      </c>
      <c r="D17" s="313">
        <v>364397</v>
      </c>
      <c r="E17" s="129">
        <v>4054.8040131028697</v>
      </c>
      <c r="F17" s="129">
        <v>44528.637630489764</v>
      </c>
      <c r="G17" s="307">
        <f t="shared" si="3"/>
        <v>0.23311468397923577</v>
      </c>
      <c r="H17" s="307">
        <f t="shared" si="4"/>
        <v>7.5163685421208376E-3</v>
      </c>
      <c r="I17" s="313">
        <v>4024.5539821553302</v>
      </c>
      <c r="J17" s="129">
        <v>43880.812132257655</v>
      </c>
      <c r="K17" s="307">
        <f>I17/$I$20</f>
        <v>0.21819809765708378</v>
      </c>
      <c r="L17" s="93"/>
      <c r="M17" s="89"/>
      <c r="N17" s="89"/>
      <c r="O17" s="89"/>
      <c r="P17" s="89"/>
      <c r="Q17" s="89"/>
      <c r="R17" s="89"/>
      <c r="S17" s="89"/>
    </row>
    <row r="18" spans="1:20" ht="12.95" customHeight="1">
      <c r="A18" s="437"/>
      <c r="B18" s="437"/>
      <c r="C18" s="154" t="s">
        <v>93</v>
      </c>
      <c r="D18" s="313">
        <v>39</v>
      </c>
      <c r="E18" s="129">
        <v>1142.5701616754759</v>
      </c>
      <c r="F18" s="129">
        <v>12547.361730000001</v>
      </c>
      <c r="G18" s="307">
        <f t="shared" si="3"/>
        <v>6.5687486078831014E-2</v>
      </c>
      <c r="H18" s="307">
        <f>(E18-I18)/I18</f>
        <v>0.34320727143045399</v>
      </c>
      <c r="I18" s="313">
        <v>850.62833263156119</v>
      </c>
      <c r="J18" s="129">
        <v>9274.6332199999997</v>
      </c>
      <c r="K18" s="307">
        <f>I18/$I$20</f>
        <v>4.6118274178055287E-2</v>
      </c>
      <c r="L18" s="93"/>
      <c r="M18" s="89"/>
      <c r="N18" s="89"/>
      <c r="O18" s="89"/>
      <c r="P18" s="89"/>
      <c r="Q18" s="89"/>
      <c r="R18" s="89"/>
      <c r="S18" s="89"/>
    </row>
    <row r="19" spans="1:20" ht="12.95" customHeight="1">
      <c r="A19" s="437"/>
      <c r="B19" s="437"/>
      <c r="C19" s="154" t="s">
        <v>94</v>
      </c>
      <c r="D19" s="313"/>
      <c r="E19" s="129">
        <v>800.69011727885561</v>
      </c>
      <c r="F19" s="129">
        <v>8792.9379499999995</v>
      </c>
      <c r="G19" s="307">
        <f t="shared" si="3"/>
        <v>4.6032464960476575E-2</v>
      </c>
      <c r="H19" s="307">
        <f t="shared" ref="H19" si="6">(E19-I19)/I19</f>
        <v>-0.11313775538028804</v>
      </c>
      <c r="I19" s="313">
        <v>902.83482258531922</v>
      </c>
      <c r="J19" s="129">
        <v>9843.8548500000015</v>
      </c>
      <c r="K19" s="307">
        <f t="shared" si="5"/>
        <v>4.8948738583247102E-2</v>
      </c>
      <c r="L19" s="93"/>
      <c r="M19" s="89"/>
      <c r="N19" s="89"/>
      <c r="O19" s="89"/>
      <c r="P19" s="89"/>
      <c r="Q19" s="89"/>
      <c r="R19" s="89"/>
      <c r="S19" s="89"/>
    </row>
    <row r="20" spans="1:20" ht="12.95" customHeight="1">
      <c r="A20" s="442"/>
      <c r="B20" s="442"/>
      <c r="C20" s="318" t="s">
        <v>0</v>
      </c>
      <c r="D20" s="321">
        <v>403509</v>
      </c>
      <c r="E20" s="319">
        <v>17394.030885948152</v>
      </c>
      <c r="F20" s="319">
        <v>191016.02654500445</v>
      </c>
      <c r="G20" s="320">
        <f>SUM(G14:G19)</f>
        <v>0.99999999999999989</v>
      </c>
      <c r="H20" s="320">
        <f>(E20-I20)/I20</f>
        <v>-5.6952778685336887E-2</v>
      </c>
      <c r="I20" s="321">
        <v>18444.496195747073</v>
      </c>
      <c r="J20" s="319">
        <v>201105.41613698474</v>
      </c>
      <c r="K20" s="320">
        <f>SUM(K14:K19)</f>
        <v>1</v>
      </c>
      <c r="L20" s="93"/>
      <c r="M20" s="89"/>
      <c r="N20" s="89"/>
      <c r="O20" s="89"/>
      <c r="P20" s="89"/>
      <c r="Q20" s="89"/>
      <c r="R20" s="89"/>
      <c r="S20" s="89"/>
    </row>
    <row r="21" spans="1:20" ht="12.95" customHeight="1">
      <c r="A21" s="443" t="str">
        <f>'3.1'!F5</f>
        <v>Září</v>
      </c>
      <c r="B21" s="443"/>
      <c r="C21" s="164" t="s">
        <v>4</v>
      </c>
      <c r="D21" s="312">
        <v>134</v>
      </c>
      <c r="E21" s="308">
        <v>5728.0695472709267</v>
      </c>
      <c r="F21" s="308">
        <v>63109.368269999999</v>
      </c>
      <c r="G21" s="309">
        <f>E21/$E$27</f>
        <v>0.31347038355493373</v>
      </c>
      <c r="H21" s="309">
        <f>(E21-I21)/I21</f>
        <v>-0.31620693779073217</v>
      </c>
      <c r="I21" s="312">
        <v>8376.9050372697548</v>
      </c>
      <c r="J21" s="308">
        <v>92172.441930000001</v>
      </c>
      <c r="K21" s="309">
        <f>I21/$I$27</f>
        <v>0.28010340502863212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2.95" customHeight="1">
      <c r="A22" s="437"/>
      <c r="B22" s="437"/>
      <c r="C22" s="154" t="s">
        <v>5</v>
      </c>
      <c r="D22" s="313">
        <v>1443</v>
      </c>
      <c r="E22" s="129">
        <v>3207.6351825892934</v>
      </c>
      <c r="F22" s="129">
        <v>35340.354980000004</v>
      </c>
      <c r="G22" s="307">
        <f t="shared" ref="G22:G26" si="7">E22/$E$27</f>
        <v>0.17553883078630286</v>
      </c>
      <c r="H22" s="307">
        <f t="shared" ref="H22:H26" si="8">(E22-I22)/I22</f>
        <v>-0.44254082597043948</v>
      </c>
      <c r="I22" s="313">
        <v>5754.0270786165256</v>
      </c>
      <c r="J22" s="129">
        <v>63312.514560000003</v>
      </c>
      <c r="K22" s="307">
        <f t="shared" ref="K22:K26" si="9">I22/$I$27</f>
        <v>0.19240072200612443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37"/>
      <c r="B23" s="437"/>
      <c r="C23" s="154" t="s">
        <v>6</v>
      </c>
      <c r="D23" s="313">
        <v>37471</v>
      </c>
      <c r="E23" s="129">
        <v>2993.3882385412085</v>
      </c>
      <c r="F23" s="129">
        <v>32979.873620668004</v>
      </c>
      <c r="G23" s="307">
        <f t="shared" si="7"/>
        <v>0.16381410028643956</v>
      </c>
      <c r="H23" s="307">
        <f t="shared" si="8"/>
        <v>-0.48356272671358841</v>
      </c>
      <c r="I23" s="313">
        <v>5796.228106256578</v>
      </c>
      <c r="J23" s="129">
        <v>63776.859468427196</v>
      </c>
      <c r="K23" s="307">
        <f t="shared" si="9"/>
        <v>0.19381182210635176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37"/>
      <c r="B24" s="437"/>
      <c r="C24" s="154" t="s">
        <v>7</v>
      </c>
      <c r="D24" s="313">
        <v>363962</v>
      </c>
      <c r="E24" s="129">
        <v>4453.0639010802097</v>
      </c>
      <c r="F24" s="129">
        <v>49061.956879323923</v>
      </c>
      <c r="G24" s="307">
        <f t="shared" si="7"/>
        <v>0.24369530389715766</v>
      </c>
      <c r="H24" s="307">
        <f t="shared" si="8"/>
        <v>-0.45777388265151264</v>
      </c>
      <c r="I24" s="313">
        <v>8212.5588543316826</v>
      </c>
      <c r="J24" s="129">
        <v>90364.147567541178</v>
      </c>
      <c r="K24" s="307">
        <f t="shared" si="9"/>
        <v>0.27460806692469009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37"/>
      <c r="B25" s="437"/>
      <c r="C25" s="154" t="s">
        <v>93</v>
      </c>
      <c r="D25" s="313">
        <v>39</v>
      </c>
      <c r="E25" s="129">
        <v>1080.8091440039559</v>
      </c>
      <c r="F25" s="129">
        <v>11907.89371</v>
      </c>
      <c r="G25" s="307">
        <f t="shared" si="7"/>
        <v>5.9147615810987812E-2</v>
      </c>
      <c r="H25" s="307">
        <f t="shared" si="8"/>
        <v>0.44547293691185325</v>
      </c>
      <c r="I25" s="313">
        <v>747.7200827523103</v>
      </c>
      <c r="J25" s="129">
        <v>8227.2881200000011</v>
      </c>
      <c r="K25" s="307">
        <f t="shared" si="9"/>
        <v>2.5001947647179508E-2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37"/>
      <c r="B26" s="437"/>
      <c r="C26" s="154" t="s">
        <v>94</v>
      </c>
      <c r="D26" s="313"/>
      <c r="E26" s="129">
        <v>810.11446803019021</v>
      </c>
      <c r="F26" s="129">
        <v>8925.4953399999995</v>
      </c>
      <c r="G26" s="307">
        <f t="shared" si="7"/>
        <v>4.4333765664178244E-2</v>
      </c>
      <c r="H26" s="307">
        <f t="shared" si="8"/>
        <v>-0.20501743718045864</v>
      </c>
      <c r="I26" s="313">
        <v>1019.0342605213641</v>
      </c>
      <c r="J26" s="129">
        <v>11212.60303</v>
      </c>
      <c r="K26" s="307">
        <f t="shared" si="9"/>
        <v>3.4074036287022151E-2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42"/>
      <c r="B27" s="442"/>
      <c r="C27" s="318" t="s">
        <v>0</v>
      </c>
      <c r="D27" s="321">
        <v>403049</v>
      </c>
      <c r="E27" s="319">
        <v>18273.080481515786</v>
      </c>
      <c r="F27" s="319">
        <v>201324.94279999193</v>
      </c>
      <c r="G27" s="320">
        <f>SUM(G21:G26)</f>
        <v>0.99999999999999978</v>
      </c>
      <c r="H27" s="320">
        <f>(E27-I27)/I27</f>
        <v>-0.38899246912043201</v>
      </c>
      <c r="I27" s="321">
        <v>29906.473419748214</v>
      </c>
      <c r="J27" s="319">
        <v>329065.85467596835</v>
      </c>
      <c r="K27" s="320">
        <f>SUM(K21:K26)</f>
        <v>1</v>
      </c>
      <c r="M27" s="89"/>
      <c r="N27" s="89"/>
      <c r="O27" s="89"/>
      <c r="P27" s="89"/>
      <c r="Q27" s="89"/>
      <c r="R27" s="89"/>
      <c r="S27" s="89"/>
    </row>
    <row r="28" spans="1:20" ht="12.95" customHeight="1">
      <c r="A28" s="500" t="str">
        <f>'3.1'!G5</f>
        <v>III. čtvrtletí</v>
      </c>
      <c r="B28" s="500"/>
      <c r="C28" s="164" t="s">
        <v>4</v>
      </c>
      <c r="D28" s="312">
        <f>D21</f>
        <v>134</v>
      </c>
      <c r="E28" s="308">
        <f>E7+E14+E21</f>
        <v>18595.631405720429</v>
      </c>
      <c r="F28" s="308">
        <f>F7+F14+F21</f>
        <v>204377.95065767196</v>
      </c>
      <c r="G28" s="309">
        <f>E28/$E$34</f>
        <v>0.34418450668649153</v>
      </c>
      <c r="H28" s="309">
        <f>(E28-I28)/I28</f>
        <v>-0.17717629287614164</v>
      </c>
      <c r="I28" s="312">
        <f>I7+I14+I21</f>
        <v>22599.77592371589</v>
      </c>
      <c r="J28" s="308">
        <f>J7+J14+J21</f>
        <v>247569.57928000001</v>
      </c>
      <c r="K28" s="309">
        <f>I28/$I$34</f>
        <v>0.33633267905868219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501"/>
      <c r="B29" s="501"/>
      <c r="C29" s="154" t="s">
        <v>5</v>
      </c>
      <c r="D29" s="313">
        <f t="shared" ref="D29:D32" si="10">D22</f>
        <v>1443</v>
      </c>
      <c r="E29" s="129">
        <f>E8+E15+E22</f>
        <v>8826.0599775231822</v>
      </c>
      <c r="F29" s="129">
        <f t="shared" ref="F29" si="11">F8+F15+F22</f>
        <v>97025.506959999999</v>
      </c>
      <c r="G29" s="307">
        <f t="shared" ref="G29:G33" si="12">E29/$E$34</f>
        <v>0.16336057824929304</v>
      </c>
      <c r="H29" s="307">
        <f t="shared" ref="H29:H31" si="13">(E29-I29)/I29</f>
        <v>-0.25776635915803275</v>
      </c>
      <c r="I29" s="313">
        <f>I8+I15+I22</f>
        <v>11891.215234479494</v>
      </c>
      <c r="J29" s="129">
        <f t="shared" ref="J29" si="14">J8+J15+J22</f>
        <v>130363.94322000002</v>
      </c>
      <c r="K29" s="307">
        <f t="shared" ref="K29:K33" si="15">I29/$I$34</f>
        <v>0.17696654562309111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501"/>
      <c r="B30" s="501"/>
      <c r="C30" s="154" t="s">
        <v>6</v>
      </c>
      <c r="D30" s="313">
        <f t="shared" si="10"/>
        <v>37471</v>
      </c>
      <c r="E30" s="129">
        <f t="shared" ref="E30:F33" si="16">E9+E16+E23</f>
        <v>8275.4508082441571</v>
      </c>
      <c r="F30" s="129">
        <f t="shared" si="16"/>
        <v>90972.723000260652</v>
      </c>
      <c r="G30" s="307">
        <f t="shared" si="12"/>
        <v>0.1531694133906982</v>
      </c>
      <c r="H30" s="307">
        <f t="shared" si="13"/>
        <v>-0.23771973417345832</v>
      </c>
      <c r="I30" s="313">
        <f t="shared" ref="I30:J32" si="17">I9+I16+I23</f>
        <v>10856.178730104042</v>
      </c>
      <c r="J30" s="129">
        <f t="shared" si="17"/>
        <v>119061.11818091519</v>
      </c>
      <c r="K30" s="307">
        <f t="shared" si="15"/>
        <v>0.1615630034988163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501"/>
      <c r="B31" s="501"/>
      <c r="C31" s="154" t="s">
        <v>7</v>
      </c>
      <c r="D31" s="313">
        <f t="shared" si="10"/>
        <v>363962</v>
      </c>
      <c r="E31" s="129">
        <f>E10+E17+E24</f>
        <v>12648.466531636235</v>
      </c>
      <c r="F31" s="129">
        <f t="shared" si="16"/>
        <v>139038.99008773576</v>
      </c>
      <c r="G31" s="307">
        <f t="shared" si="12"/>
        <v>0.23410908285655802</v>
      </c>
      <c r="H31" s="307">
        <f t="shared" si="13"/>
        <v>-0.23455663948134201</v>
      </c>
      <c r="I31" s="313">
        <f>I10+I17+I24</f>
        <v>16524.366379069172</v>
      </c>
      <c r="J31" s="129">
        <f t="shared" si="17"/>
        <v>181182.17076803348</v>
      </c>
      <c r="K31" s="307">
        <f t="shared" si="15"/>
        <v>0.24591767780261012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501"/>
      <c r="B32" s="501"/>
      <c r="C32" s="154" t="s">
        <v>93</v>
      </c>
      <c r="D32" s="313">
        <f t="shared" si="10"/>
        <v>39</v>
      </c>
      <c r="E32" s="129">
        <f>E11+E18+E25</f>
        <v>3299.9611217136189</v>
      </c>
      <c r="F32" s="129">
        <f t="shared" si="16"/>
        <v>36272.125599999999</v>
      </c>
      <c r="G32" s="307">
        <f t="shared" si="12"/>
        <v>6.1078619272492529E-2</v>
      </c>
      <c r="H32" s="307">
        <f>(E32-I32)/I32</f>
        <v>0.30954443222863437</v>
      </c>
      <c r="I32" s="313">
        <f>I11+I18+I25</f>
        <v>2519.930626636024</v>
      </c>
      <c r="J32" s="129">
        <f t="shared" si="17"/>
        <v>27591.480619999998</v>
      </c>
      <c r="K32" s="307">
        <f t="shared" si="15"/>
        <v>3.7501921326977689E-2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501"/>
      <c r="B33" s="501"/>
      <c r="C33" s="154" t="s">
        <v>94</v>
      </c>
      <c r="D33" s="313"/>
      <c r="E33" s="129">
        <f t="shared" si="16"/>
        <v>2382.5198700160736</v>
      </c>
      <c r="F33" s="129">
        <f t="shared" si="16"/>
        <v>26189.001141000001</v>
      </c>
      <c r="G33" s="307">
        <f t="shared" si="12"/>
        <v>4.4097799544466548E-2</v>
      </c>
      <c r="H33" s="307">
        <f t="shared" ref="H33" si="18">(E33-I33)/I33</f>
        <v>-0.15008364334653393</v>
      </c>
      <c r="I33" s="313">
        <f t="shared" ref="I33:J33" si="19">I12+I19+I26</f>
        <v>2803.2404028523615</v>
      </c>
      <c r="J33" s="129">
        <f t="shared" si="19"/>
        <v>30705.784950000001</v>
      </c>
      <c r="K33" s="307">
        <f t="shared" si="15"/>
        <v>4.1718172689822586E-2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502"/>
      <c r="B34" s="502"/>
      <c r="C34" s="318" t="s">
        <v>0</v>
      </c>
      <c r="D34" s="321">
        <f>SUM(D28:D33)</f>
        <v>403049</v>
      </c>
      <c r="E34" s="319">
        <f>SUM(E28:E33)</f>
        <v>54028.089714853704</v>
      </c>
      <c r="F34" s="319">
        <f>SUM(F28:F33)</f>
        <v>593876.29744666838</v>
      </c>
      <c r="G34" s="320">
        <f>SUM(G28:G33)</f>
        <v>0.99999999999999989</v>
      </c>
      <c r="H34" s="320">
        <f>(E34-I34)/I34</f>
        <v>-0.19594724215160239</v>
      </c>
      <c r="I34" s="321">
        <f>SUM(I28:I33)</f>
        <v>67194.707296856985</v>
      </c>
      <c r="J34" s="319">
        <f>SUM(J28:J33)</f>
        <v>736474.07701894874</v>
      </c>
      <c r="K34" s="320">
        <f>SUM(K28:K33)</f>
        <v>1</v>
      </c>
      <c r="M34" s="89"/>
      <c r="N34" s="89"/>
      <c r="O34" s="89"/>
      <c r="P34" s="89"/>
      <c r="Q34" s="89"/>
      <c r="R34" s="89"/>
      <c r="S34" s="89"/>
    </row>
    <row r="35" spans="1:20" ht="20.100000000000001" customHeight="1">
      <c r="A35" s="126"/>
      <c r="B35" s="303"/>
      <c r="C35" s="101"/>
      <c r="D35" s="88"/>
      <c r="E35" s="88"/>
      <c r="F35" s="88"/>
      <c r="G35" s="497" t="s">
        <v>272</v>
      </c>
      <c r="H35" s="497"/>
      <c r="I35" s="497"/>
      <c r="J35" s="497"/>
      <c r="K35" s="497"/>
    </row>
    <row r="36" spans="1:20" ht="15" customHeight="1">
      <c r="A36" s="489" t="s">
        <v>271</v>
      </c>
      <c r="B36" s="489"/>
      <c r="C36" s="489"/>
      <c r="D36" s="489"/>
      <c r="E36" s="489"/>
      <c r="F36" s="119"/>
      <c r="G36" s="497"/>
      <c r="H36" s="497"/>
      <c r="I36" s="497"/>
      <c r="J36" s="497"/>
      <c r="K36" s="497"/>
      <c r="M36" s="93"/>
      <c r="N36" s="93"/>
      <c r="O36" s="93"/>
      <c r="P36" s="93"/>
      <c r="Q36" s="93"/>
      <c r="R36" s="93"/>
      <c r="S36" s="93"/>
    </row>
    <row r="37" spans="1:20" ht="15" customHeight="1">
      <c r="A37" s="490" t="str">
        <f>A28</f>
        <v>III. čtvrtletí</v>
      </c>
      <c r="B37" s="491"/>
      <c r="C37" s="491"/>
      <c r="D37" s="491"/>
      <c r="E37" s="491"/>
      <c r="F37" s="125"/>
      <c r="G37" s="492" t="str">
        <f>A28</f>
        <v>III. čtvrtletí</v>
      </c>
      <c r="H37" s="492"/>
      <c r="I37" s="492"/>
      <c r="J37" s="492"/>
      <c r="K37" s="492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2023</v>
      </c>
      <c r="D41" s="94">
        <f>I3</f>
        <v>2022</v>
      </c>
      <c r="E41" s="76"/>
      <c r="F41" s="76"/>
      <c r="G41" s="76"/>
      <c r="H41" s="94"/>
      <c r="I41" s="94">
        <f>D3</f>
        <v>2023</v>
      </c>
      <c r="J41" s="94">
        <f>I3</f>
        <v>2022</v>
      </c>
      <c r="K41" s="94"/>
    </row>
    <row r="42" spans="1:20" ht="15" customHeight="1">
      <c r="A42" s="94"/>
      <c r="B42" s="94" t="str">
        <f>A7</f>
        <v>Červenec</v>
      </c>
      <c r="C42" s="78">
        <f>E13</f>
        <v>18360.978347389762</v>
      </c>
      <c r="D42" s="78">
        <f>I13</f>
        <v>18843.73768136169</v>
      </c>
      <c r="E42" s="76"/>
      <c r="F42" s="76"/>
      <c r="G42" s="76"/>
      <c r="H42" s="94" t="str">
        <f>A7</f>
        <v>Červenec</v>
      </c>
      <c r="I42" s="95">
        <f>E13/E34</f>
        <v>0.33984133890896867</v>
      </c>
      <c r="J42" s="95">
        <f>I13/I34</f>
        <v>0.28043485029427462</v>
      </c>
      <c r="K42" s="94"/>
    </row>
    <row r="43" spans="1:20" ht="15" customHeight="1">
      <c r="A43" s="94"/>
      <c r="B43" s="94" t="str">
        <f>A14</f>
        <v>Srpen</v>
      </c>
      <c r="C43" s="78">
        <f>E20</f>
        <v>17394.030885948152</v>
      </c>
      <c r="D43" s="78">
        <f>I20</f>
        <v>18444.496195747073</v>
      </c>
      <c r="E43" s="76"/>
      <c r="F43" s="76"/>
      <c r="G43" s="76"/>
      <c r="H43" s="94" t="str">
        <f>A14</f>
        <v>Srpen</v>
      </c>
      <c r="I43" s="95">
        <f>E20/E34</f>
        <v>0.32194421416247276</v>
      </c>
      <c r="J43" s="95">
        <f>I20/I34</f>
        <v>0.27449328879820584</v>
      </c>
      <c r="K43" s="94"/>
    </row>
    <row r="44" spans="1:20" ht="15" customHeight="1">
      <c r="A44" s="94"/>
      <c r="B44" s="94" t="str">
        <f>A21</f>
        <v>Září</v>
      </c>
      <c r="C44" s="78">
        <f>E27</f>
        <v>18273.080481515786</v>
      </c>
      <c r="D44" s="78">
        <f>I27</f>
        <v>29906.473419748214</v>
      </c>
      <c r="E44" s="76"/>
      <c r="F44" s="76"/>
      <c r="G44" s="76"/>
      <c r="H44" s="94" t="str">
        <f>A21</f>
        <v>Září</v>
      </c>
      <c r="I44" s="95">
        <f>E27/E34</f>
        <v>0.33821444692855851</v>
      </c>
      <c r="J44" s="95">
        <f>I27/I34</f>
        <v>0.44507186090751943</v>
      </c>
      <c r="K44" s="94"/>
    </row>
    <row r="45" spans="1:20" ht="15" customHeight="1">
      <c r="A45" s="94"/>
      <c r="B45" s="94"/>
      <c r="C45" s="78">
        <f>SUM(C42:C44)</f>
        <v>54028.089714853704</v>
      </c>
      <c r="D45" s="78">
        <f>SUM(D42:D44)</f>
        <v>67194.707296856985</v>
      </c>
      <c r="E45" s="94"/>
      <c r="F45" s="94"/>
      <c r="G45" s="94"/>
      <c r="H45" s="94"/>
      <c r="I45" s="96">
        <f>SUM(I42:I44)</f>
        <v>0.99999999999999989</v>
      </c>
      <c r="J45" s="96">
        <f>SUM(J42:J44)</f>
        <v>1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1:K1"/>
    <mergeCell ref="A2:C2"/>
    <mergeCell ref="E3:G4"/>
    <mergeCell ref="I3:K4"/>
    <mergeCell ref="A3:C4"/>
    <mergeCell ref="D5:D6"/>
    <mergeCell ref="C5:C6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2"/>
  <sheetViews>
    <sheetView showGridLines="0" zoomScaleNormal="100" zoomScaleSheetLayoutView="100" workbookViewId="0">
      <selection activeCell="G1" sqref="G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71" t="s">
        <v>299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21" ht="6" customHeight="1">
      <c r="A2" s="477"/>
      <c r="B2" s="477"/>
      <c r="C2" s="477"/>
      <c r="D2" s="315"/>
      <c r="E2" s="315"/>
      <c r="F2" s="316"/>
      <c r="G2" s="317"/>
      <c r="H2" s="317"/>
      <c r="I2" s="317"/>
      <c r="J2" s="279"/>
      <c r="K2" s="279"/>
    </row>
    <row r="3" spans="1:21" ht="15" customHeight="1">
      <c r="A3" s="487" t="s">
        <v>88</v>
      </c>
      <c r="B3" s="487"/>
      <c r="C3" s="487"/>
      <c r="D3" s="341">
        <f>'3.1'!A4</f>
        <v>2023</v>
      </c>
      <c r="E3" s="482"/>
      <c r="F3" s="482"/>
      <c r="G3" s="482"/>
      <c r="H3" s="340"/>
      <c r="I3" s="481">
        <f>D3-1</f>
        <v>2022</v>
      </c>
      <c r="J3" s="482"/>
      <c r="K3" s="482"/>
    </row>
    <row r="4" spans="1:21" ht="50.1" customHeight="1">
      <c r="A4" s="488"/>
      <c r="B4" s="488"/>
      <c r="C4" s="488"/>
      <c r="D4" s="343"/>
      <c r="E4" s="484"/>
      <c r="F4" s="484"/>
      <c r="G4" s="484"/>
      <c r="H4" s="174"/>
      <c r="I4" s="483"/>
      <c r="J4" s="484"/>
      <c r="K4" s="484"/>
    </row>
    <row r="5" spans="1:21" ht="24.95" customHeight="1">
      <c r="A5" s="487" t="s">
        <v>158</v>
      </c>
      <c r="B5" s="487"/>
      <c r="C5" s="498" t="s">
        <v>184</v>
      </c>
      <c r="D5" s="485" t="s">
        <v>159</v>
      </c>
      <c r="E5" s="479" t="s">
        <v>60</v>
      </c>
      <c r="F5" s="479"/>
      <c r="G5" s="480" t="s">
        <v>33</v>
      </c>
      <c r="H5" s="480" t="s">
        <v>270</v>
      </c>
      <c r="I5" s="478" t="s">
        <v>60</v>
      </c>
      <c r="J5" s="479"/>
      <c r="K5" s="480" t="s">
        <v>33</v>
      </c>
    </row>
    <row r="6" spans="1:21" ht="22.5" customHeight="1">
      <c r="A6" s="488"/>
      <c r="B6" s="488"/>
      <c r="C6" s="499"/>
      <c r="D6" s="486"/>
      <c r="E6" s="219" t="s">
        <v>261</v>
      </c>
      <c r="F6" s="219" t="s">
        <v>262</v>
      </c>
      <c r="G6" s="476"/>
      <c r="H6" s="476"/>
      <c r="I6" s="221" t="s">
        <v>261</v>
      </c>
      <c r="J6" s="219" t="s">
        <v>262</v>
      </c>
      <c r="K6" s="476"/>
    </row>
    <row r="7" spans="1:21" ht="12.95" customHeight="1">
      <c r="A7" s="443" t="str">
        <f>'3.1'!D5</f>
        <v>Červenec</v>
      </c>
      <c r="B7" s="443"/>
      <c r="C7" s="164" t="s">
        <v>4</v>
      </c>
      <c r="D7" s="312">
        <v>1235</v>
      </c>
      <c r="E7" s="308">
        <v>157945.50599999999</v>
      </c>
      <c r="F7" s="308">
        <v>1730887.2356500002</v>
      </c>
      <c r="G7" s="309">
        <f t="shared" ref="G7:G12" si="0">E7/$E$13</f>
        <v>0.74818463724541673</v>
      </c>
      <c r="H7" s="309">
        <f>(E7-I7)/I7</f>
        <v>-9.6682999373436315E-2</v>
      </c>
      <c r="I7" s="312">
        <v>174850.58499999996</v>
      </c>
      <c r="J7" s="308">
        <v>1900590.9626999998</v>
      </c>
      <c r="K7" s="309">
        <f>I7/$I$13</f>
        <v>0.74311239401111173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2.95" customHeight="1">
      <c r="A8" s="437"/>
      <c r="B8" s="437"/>
      <c r="C8" s="154" t="s">
        <v>5</v>
      </c>
      <c r="D8" s="313">
        <v>4228</v>
      </c>
      <c r="E8" s="129">
        <v>15360.807999999999</v>
      </c>
      <c r="F8" s="129">
        <v>168335.34138</v>
      </c>
      <c r="G8" s="307">
        <f t="shared" si="0"/>
        <v>7.2763833883798465E-2</v>
      </c>
      <c r="H8" s="307">
        <f t="shared" ref="H8:H11" si="1">(E8-I8)/I8</f>
        <v>-0.11773636845159031</v>
      </c>
      <c r="I8" s="313">
        <v>17410.677999999996</v>
      </c>
      <c r="J8" s="129">
        <v>189251.28524000006</v>
      </c>
      <c r="K8" s="307">
        <f t="shared" ref="K8:K12" si="2">I8/$I$13</f>
        <v>7.3995123378835667E-2</v>
      </c>
      <c r="L8" s="93"/>
      <c r="M8" s="89"/>
      <c r="N8" s="89"/>
      <c r="O8" s="89"/>
      <c r="P8" s="89"/>
      <c r="Q8" s="89"/>
      <c r="R8" s="89"/>
      <c r="S8" s="89"/>
    </row>
    <row r="9" spans="1:21" ht="12.95" customHeight="1">
      <c r="A9" s="437"/>
      <c r="B9" s="437"/>
      <c r="C9" s="154" t="s">
        <v>6</v>
      </c>
      <c r="D9" s="313">
        <v>153348</v>
      </c>
      <c r="E9" s="129">
        <v>10507.578000000001</v>
      </c>
      <c r="F9" s="129">
        <v>115150.16735</v>
      </c>
      <c r="G9" s="307">
        <f t="shared" si="0"/>
        <v>4.9774182459220606E-2</v>
      </c>
      <c r="H9" s="307">
        <f t="shared" si="1"/>
        <v>-0.28757570405405891</v>
      </c>
      <c r="I9" s="313">
        <v>14749.044999999998</v>
      </c>
      <c r="J9" s="129">
        <v>160318.36799999999</v>
      </c>
      <c r="K9" s="307">
        <f t="shared" si="2"/>
        <v>6.2683222588746951E-2</v>
      </c>
      <c r="L9" s="93"/>
      <c r="M9" s="89"/>
      <c r="N9" s="89"/>
      <c r="O9" s="89"/>
      <c r="P9" s="89"/>
      <c r="Q9" s="89"/>
      <c r="R9" s="89"/>
      <c r="S9" s="89"/>
    </row>
    <row r="10" spans="1:21" ht="12.95" customHeight="1">
      <c r="A10" s="437"/>
      <c r="B10" s="437"/>
      <c r="C10" s="154" t="s">
        <v>7</v>
      </c>
      <c r="D10" s="313">
        <v>2076801</v>
      </c>
      <c r="E10" s="129">
        <v>21424.5</v>
      </c>
      <c r="F10" s="129">
        <v>234788.4</v>
      </c>
      <c r="G10" s="307">
        <f t="shared" si="0"/>
        <v>0.10148741908911565</v>
      </c>
      <c r="H10" s="307">
        <f t="shared" si="1"/>
        <v>-8.0963769566652119E-2</v>
      </c>
      <c r="I10" s="313">
        <v>23311.920999999998</v>
      </c>
      <c r="J10" s="129">
        <v>253398.492</v>
      </c>
      <c r="K10" s="307">
        <f t="shared" si="2"/>
        <v>9.9075318640243104E-2</v>
      </c>
      <c r="L10" s="93"/>
      <c r="M10" s="89"/>
      <c r="N10" s="89"/>
      <c r="O10" s="89"/>
      <c r="P10" s="89"/>
      <c r="Q10" s="89"/>
      <c r="R10" s="89"/>
      <c r="S10" s="89"/>
    </row>
    <row r="11" spans="1:21" ht="12.95" customHeight="1">
      <c r="A11" s="437"/>
      <c r="B11" s="437"/>
      <c r="C11" s="154" t="s">
        <v>93</v>
      </c>
      <c r="D11" s="313">
        <v>212</v>
      </c>
      <c r="E11" s="129">
        <v>5524.4640000000009</v>
      </c>
      <c r="F11" s="129">
        <v>60541.346250000017</v>
      </c>
      <c r="G11" s="307">
        <f t="shared" si="0"/>
        <v>2.6169273178404739E-2</v>
      </c>
      <c r="H11" s="307">
        <f t="shared" si="1"/>
        <v>-5.297478765720403E-2</v>
      </c>
      <c r="I11" s="313">
        <v>5833.4919999999993</v>
      </c>
      <c r="J11" s="129">
        <v>63408.976989999988</v>
      </c>
      <c r="K11" s="307">
        <f t="shared" si="2"/>
        <v>2.4792254515846591E-2</v>
      </c>
      <c r="L11" s="93"/>
      <c r="M11" s="89"/>
      <c r="N11" s="89"/>
      <c r="O11" s="89"/>
      <c r="P11" s="89"/>
      <c r="Q11" s="89"/>
      <c r="R11" s="89"/>
      <c r="S11" s="89"/>
    </row>
    <row r="12" spans="1:21" ht="12.95" customHeight="1">
      <c r="A12" s="437"/>
      <c r="B12" s="437"/>
      <c r="C12" s="154" t="s">
        <v>94</v>
      </c>
      <c r="D12" s="313"/>
      <c r="E12" s="129">
        <v>342.12816741923535</v>
      </c>
      <c r="F12" s="129">
        <v>3749.3052400000115</v>
      </c>
      <c r="G12" s="307">
        <f t="shared" si="0"/>
        <v>1.6206541440438311E-3</v>
      </c>
      <c r="H12" s="307">
        <f>(E12-I12)/I12</f>
        <v>-1.3974617769872775</v>
      </c>
      <c r="I12" s="313">
        <v>-860.78256382924224</v>
      </c>
      <c r="J12" s="129">
        <v>-9356.5439100000604</v>
      </c>
      <c r="K12" s="307">
        <f t="shared" si="2"/>
        <v>-3.6583131347840267E-3</v>
      </c>
      <c r="L12" s="93"/>
      <c r="M12" s="89"/>
      <c r="N12" s="89"/>
      <c r="O12" s="89"/>
      <c r="P12" s="89"/>
      <c r="Q12" s="89"/>
      <c r="R12" s="89"/>
      <c r="S12" s="89"/>
    </row>
    <row r="13" spans="1:21" ht="12.95" customHeight="1">
      <c r="A13" s="442"/>
      <c r="B13" s="442"/>
      <c r="C13" s="318" t="s">
        <v>0</v>
      </c>
      <c r="D13" s="321">
        <v>2235824</v>
      </c>
      <c r="E13" s="319">
        <v>211104.98416741923</v>
      </c>
      <c r="F13" s="319">
        <v>2313451.7958700005</v>
      </c>
      <c r="G13" s="320">
        <f>SUM(G7:G12)</f>
        <v>1</v>
      </c>
      <c r="H13" s="320">
        <f>(E13-I13)/I13</f>
        <v>-0.1028069470151972</v>
      </c>
      <c r="I13" s="321">
        <v>235294.93843617072</v>
      </c>
      <c r="J13" s="319">
        <v>2557611.5410199999</v>
      </c>
      <c r="K13" s="320">
        <f>SUM(K7:K12)</f>
        <v>1</v>
      </c>
      <c r="L13" s="93"/>
      <c r="M13" s="89"/>
      <c r="N13" s="89"/>
      <c r="O13" s="89"/>
      <c r="P13" s="89"/>
      <c r="Q13" s="89"/>
      <c r="R13" s="89"/>
      <c r="S13" s="89"/>
    </row>
    <row r="14" spans="1:21" ht="12.95" customHeight="1">
      <c r="A14" s="443" t="str">
        <f>'3.1'!E5</f>
        <v>Srpen</v>
      </c>
      <c r="B14" s="443"/>
      <c r="C14" s="164" t="s">
        <v>4</v>
      </c>
      <c r="D14" s="312">
        <v>1233</v>
      </c>
      <c r="E14" s="308">
        <v>166101.375</v>
      </c>
      <c r="F14" s="308">
        <v>1821841.6823100001</v>
      </c>
      <c r="G14" s="309">
        <f>E14/$E$20</f>
        <v>0.73600013971484401</v>
      </c>
      <c r="H14" s="309">
        <f>(E14-I14)/I14</f>
        <v>-5.5896940812543365E-2</v>
      </c>
      <c r="I14" s="312">
        <v>175935.639</v>
      </c>
      <c r="J14" s="308">
        <v>1908996.3302000002</v>
      </c>
      <c r="K14" s="309">
        <f>I14/$I$20</f>
        <v>0.74136515375674539</v>
      </c>
      <c r="L14" s="93"/>
      <c r="M14" s="89"/>
      <c r="N14" s="89"/>
      <c r="O14" s="89"/>
      <c r="P14" s="89"/>
      <c r="Q14" s="89"/>
      <c r="R14" s="89"/>
      <c r="S14" s="89"/>
    </row>
    <row r="15" spans="1:21" ht="12.95" customHeight="1">
      <c r="A15" s="437"/>
      <c r="B15" s="437"/>
      <c r="C15" s="154" t="s">
        <v>5</v>
      </c>
      <c r="D15" s="313">
        <v>4231</v>
      </c>
      <c r="E15" s="129">
        <v>17906.196</v>
      </c>
      <c r="F15" s="129">
        <v>196401.05857999992</v>
      </c>
      <c r="G15" s="307">
        <f t="shared" ref="G15:G19" si="3">E15/$E$20</f>
        <v>7.9342887786217189E-2</v>
      </c>
      <c r="H15" s="307">
        <f t="shared" ref="H15:H17" si="4">(E15-I15)/I15</f>
        <v>-6.128903955024987E-2</v>
      </c>
      <c r="I15" s="313">
        <v>19075.303</v>
      </c>
      <c r="J15" s="129">
        <v>206976.99931999997</v>
      </c>
      <c r="K15" s="307">
        <f t="shared" ref="K15:K19" si="5">I15/$I$20</f>
        <v>8.0380331250290371E-2</v>
      </c>
      <c r="L15" s="97"/>
      <c r="M15" s="89"/>
      <c r="N15" s="89"/>
      <c r="O15" s="89"/>
      <c r="P15" s="89"/>
      <c r="Q15" s="89"/>
      <c r="R15" s="89"/>
      <c r="S15" s="89"/>
    </row>
    <row r="16" spans="1:21" ht="12.95" customHeight="1">
      <c r="A16" s="437"/>
      <c r="B16" s="437"/>
      <c r="C16" s="154" t="s">
        <v>6</v>
      </c>
      <c r="D16" s="313">
        <v>153148</v>
      </c>
      <c r="E16" s="129">
        <v>13088.599</v>
      </c>
      <c r="F16" s="129">
        <v>143556.25771000001</v>
      </c>
      <c r="G16" s="307">
        <f t="shared" si="3"/>
        <v>5.7995971994040198E-2</v>
      </c>
      <c r="H16" s="307">
        <f t="shared" si="4"/>
        <v>-9.5520307708042262E-2</v>
      </c>
      <c r="I16" s="313">
        <v>14470.86</v>
      </c>
      <c r="J16" s="129">
        <v>157021.97571999999</v>
      </c>
      <c r="K16" s="307">
        <f>I16/$I$20</f>
        <v>6.0977931531497928E-2</v>
      </c>
      <c r="L16" s="93"/>
      <c r="M16" s="89"/>
      <c r="N16" s="89"/>
      <c r="O16" s="89"/>
      <c r="P16" s="89"/>
      <c r="Q16" s="89"/>
      <c r="R16" s="89"/>
      <c r="S16" s="89"/>
    </row>
    <row r="17" spans="1:20" ht="12.95" customHeight="1">
      <c r="A17" s="437"/>
      <c r="B17" s="437"/>
      <c r="C17" s="154" t="s">
        <v>7</v>
      </c>
      <c r="D17" s="313">
        <v>2075045</v>
      </c>
      <c r="E17" s="129">
        <v>23456</v>
      </c>
      <c r="F17" s="129">
        <v>257272.80000000002</v>
      </c>
      <c r="G17" s="307">
        <f t="shared" si="3"/>
        <v>0.10393423460312344</v>
      </c>
      <c r="H17" s="307">
        <f t="shared" si="4"/>
        <v>4.2614002569197229E-2</v>
      </c>
      <c r="I17" s="313">
        <v>22497.3</v>
      </c>
      <c r="J17" s="129">
        <v>244105.8</v>
      </c>
      <c r="K17" s="307">
        <f>I17/$I$20</f>
        <v>9.4800089216782443E-2</v>
      </c>
      <c r="L17" s="93"/>
      <c r="M17" s="89"/>
      <c r="N17" s="89"/>
      <c r="O17" s="89"/>
      <c r="P17" s="89"/>
      <c r="Q17" s="89"/>
      <c r="R17" s="89"/>
      <c r="S17" s="89"/>
    </row>
    <row r="18" spans="1:20" ht="12.95" customHeight="1">
      <c r="A18" s="437"/>
      <c r="B18" s="437"/>
      <c r="C18" s="154" t="s">
        <v>93</v>
      </c>
      <c r="D18" s="313">
        <v>212</v>
      </c>
      <c r="E18" s="129">
        <v>5986.4710000000005</v>
      </c>
      <c r="F18" s="129">
        <v>65661.153680000003</v>
      </c>
      <c r="G18" s="307">
        <f t="shared" si="3"/>
        <v>2.6526231299402923E-2</v>
      </c>
      <c r="H18" s="307">
        <f>(E18-I18)/I18</f>
        <v>1.3309430636335695E-2</v>
      </c>
      <c r="I18" s="313">
        <v>5907.8410000000003</v>
      </c>
      <c r="J18" s="129">
        <v>64103.33423</v>
      </c>
      <c r="K18" s="307">
        <f>I18/$I$20</f>
        <v>2.4894714204751912E-2</v>
      </c>
      <c r="L18" s="93"/>
      <c r="M18" s="89"/>
      <c r="N18" s="89"/>
      <c r="O18" s="89"/>
      <c r="P18" s="89"/>
      <c r="Q18" s="89"/>
      <c r="R18" s="89"/>
      <c r="S18" s="89"/>
    </row>
    <row r="19" spans="1:20" ht="12.95" customHeight="1">
      <c r="A19" s="437"/>
      <c r="B19" s="437"/>
      <c r="C19" s="154" t="s">
        <v>94</v>
      </c>
      <c r="D19" s="313"/>
      <c r="E19" s="129">
        <v>-857.46780843736531</v>
      </c>
      <c r="F19" s="129">
        <v>-9404.9232000000011</v>
      </c>
      <c r="G19" s="307">
        <f t="shared" si="3"/>
        <v>-3.7994653976276957E-3</v>
      </c>
      <c r="H19" s="307">
        <f t="shared" ref="H19" si="6">(E19-I19)/I19</f>
        <v>0.49417122817621506</v>
      </c>
      <c r="I19" s="313">
        <v>-573.87519734534726</v>
      </c>
      <c r="J19" s="129">
        <v>-6226.8621700000867</v>
      </c>
      <c r="K19" s="307">
        <f t="shared" si="5"/>
        <v>-2.4182199600679883E-3</v>
      </c>
      <c r="L19" s="93"/>
      <c r="M19" s="89"/>
      <c r="N19" s="89"/>
      <c r="O19" s="89"/>
      <c r="P19" s="89"/>
      <c r="Q19" s="89"/>
      <c r="R19" s="89"/>
      <c r="S19" s="89"/>
    </row>
    <row r="20" spans="1:20" ht="12.95" customHeight="1">
      <c r="A20" s="442"/>
      <c r="B20" s="442"/>
      <c r="C20" s="318" t="s">
        <v>0</v>
      </c>
      <c r="D20" s="321">
        <v>2233869</v>
      </c>
      <c r="E20" s="319">
        <v>225681.17319156262</v>
      </c>
      <c r="F20" s="319">
        <v>2475328.0290799998</v>
      </c>
      <c r="G20" s="320">
        <f>SUM(G14:G19)</f>
        <v>1.0000000000000002</v>
      </c>
      <c r="H20" s="320">
        <f>(E20-I20)/I20</f>
        <v>-4.9014977214676188E-2</v>
      </c>
      <c r="I20" s="321">
        <v>237313.06780265464</v>
      </c>
      <c r="J20" s="319">
        <v>2574977.5773</v>
      </c>
      <c r="K20" s="320">
        <f>SUM(K14:K19)</f>
        <v>1</v>
      </c>
      <c r="L20" s="93"/>
      <c r="M20" s="89"/>
      <c r="N20" s="89"/>
      <c r="O20" s="89"/>
      <c r="P20" s="89"/>
      <c r="Q20" s="89"/>
      <c r="R20" s="89"/>
      <c r="S20" s="89"/>
    </row>
    <row r="21" spans="1:20" ht="12.95" customHeight="1">
      <c r="A21" s="443" t="str">
        <f>'3.1'!F5</f>
        <v>Září</v>
      </c>
      <c r="B21" s="443"/>
      <c r="C21" s="164" t="s">
        <v>4</v>
      </c>
      <c r="D21" s="312">
        <v>1233</v>
      </c>
      <c r="E21" s="308">
        <v>175926.64199999999</v>
      </c>
      <c r="F21" s="308">
        <v>1931800.4042999998</v>
      </c>
      <c r="G21" s="309">
        <f>E21/$E$27</f>
        <v>0.74366470264307227</v>
      </c>
      <c r="H21" s="309">
        <f>(E21-I21)/I21</f>
        <v>-8.4186592248288228E-2</v>
      </c>
      <c r="I21" s="312">
        <v>192098.78399999999</v>
      </c>
      <c r="J21" s="308">
        <v>2100894.0633999999</v>
      </c>
      <c r="K21" s="309">
        <f>I21/$I$27</f>
        <v>0.63279733537719729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2.95" customHeight="1">
      <c r="A22" s="437"/>
      <c r="B22" s="437"/>
      <c r="C22" s="154" t="s">
        <v>5</v>
      </c>
      <c r="D22" s="313">
        <v>4227</v>
      </c>
      <c r="E22" s="129">
        <v>17588.446</v>
      </c>
      <c r="F22" s="129">
        <v>193134.86671999999</v>
      </c>
      <c r="G22" s="307">
        <f t="shared" ref="G22:G26" si="7">E22/$E$27</f>
        <v>7.434863938654461E-2</v>
      </c>
      <c r="H22" s="307">
        <f t="shared" ref="H22:H26" si="8">(E22-I22)/I22</f>
        <v>-0.30193255159805288</v>
      </c>
      <c r="I22" s="313">
        <v>25195.912</v>
      </c>
      <c r="J22" s="129">
        <v>275554.45793999993</v>
      </c>
      <c r="K22" s="307">
        <f t="shared" ref="K22:K26" si="9">I22/$I$27</f>
        <v>8.2998474243326542E-2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37"/>
      <c r="B23" s="437"/>
      <c r="C23" s="154" t="s">
        <v>6</v>
      </c>
      <c r="D23" s="313">
        <v>152947</v>
      </c>
      <c r="E23" s="129">
        <v>13677.941000000001</v>
      </c>
      <c r="F23" s="129">
        <v>150192.88334</v>
      </c>
      <c r="G23" s="307">
        <f t="shared" si="7"/>
        <v>5.7818428243145162E-2</v>
      </c>
      <c r="H23" s="307">
        <f t="shared" si="8"/>
        <v>-0.54299532739273704</v>
      </c>
      <c r="I23" s="313">
        <v>29929.543000000001</v>
      </c>
      <c r="J23" s="129">
        <v>327326.19208999997</v>
      </c>
      <c r="K23" s="307">
        <f t="shared" si="9"/>
        <v>9.8591644700141617E-2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37"/>
      <c r="B24" s="437"/>
      <c r="C24" s="154" t="s">
        <v>7</v>
      </c>
      <c r="D24" s="313">
        <v>2073440</v>
      </c>
      <c r="E24" s="129">
        <v>23341.199999999997</v>
      </c>
      <c r="F24" s="129">
        <v>256303.90000000002</v>
      </c>
      <c r="G24" s="307">
        <f t="shared" si="7"/>
        <v>9.8666275670358544E-2</v>
      </c>
      <c r="H24" s="307">
        <f t="shared" si="8"/>
        <v>-0.53420819464067637</v>
      </c>
      <c r="I24" s="313">
        <v>50110.80000000001</v>
      </c>
      <c r="J24" s="129">
        <v>548038.9</v>
      </c>
      <c r="K24" s="307">
        <f t="shared" si="9"/>
        <v>0.1650712204072029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37"/>
      <c r="B25" s="437"/>
      <c r="C25" s="154" t="s">
        <v>93</v>
      </c>
      <c r="D25" s="313">
        <v>212</v>
      </c>
      <c r="E25" s="129">
        <v>5922.7310000000007</v>
      </c>
      <c r="F25" s="129">
        <v>65035.839249999997</v>
      </c>
      <c r="G25" s="307">
        <f t="shared" si="7"/>
        <v>2.5036151079095268E-2</v>
      </c>
      <c r="H25" s="307">
        <f t="shared" si="8"/>
        <v>8.0548388161993806E-2</v>
      </c>
      <c r="I25" s="313">
        <v>5481.2269999999999</v>
      </c>
      <c r="J25" s="129">
        <v>59945.62934</v>
      </c>
      <c r="K25" s="307">
        <f t="shared" si="9"/>
        <v>1.8055844852185785E-2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37"/>
      <c r="B26" s="437"/>
      <c r="C26" s="154" t="s">
        <v>94</v>
      </c>
      <c r="D26" s="313"/>
      <c r="E26" s="129">
        <v>110.19368463220989</v>
      </c>
      <c r="F26" s="129">
        <v>1210.0061000000073</v>
      </c>
      <c r="G26" s="307">
        <f t="shared" si="7"/>
        <v>4.6580297778409742E-4</v>
      </c>
      <c r="H26" s="307">
        <f t="shared" si="8"/>
        <v>-0.85395510361677018</v>
      </c>
      <c r="I26" s="313">
        <v>754.51924278857109</v>
      </c>
      <c r="J26" s="129">
        <v>8251.8225000000311</v>
      </c>
      <c r="K26" s="307">
        <f t="shared" si="9"/>
        <v>2.4854804199459604E-3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42"/>
      <c r="B27" s="442"/>
      <c r="C27" s="318" t="s">
        <v>0</v>
      </c>
      <c r="D27" s="321">
        <v>2232059</v>
      </c>
      <c r="E27" s="319">
        <v>236567.15368463221</v>
      </c>
      <c r="F27" s="319">
        <v>2597677.89971</v>
      </c>
      <c r="G27" s="320">
        <f>SUM(G21:G26)</f>
        <v>1</v>
      </c>
      <c r="H27" s="320">
        <f>(E27-I27)/I27</f>
        <v>-0.22071831287904881</v>
      </c>
      <c r="I27" s="321">
        <v>303570.78524278855</v>
      </c>
      <c r="J27" s="319">
        <v>3320011.0652700001</v>
      </c>
      <c r="K27" s="320">
        <f>SUM(K21:K26)</f>
        <v>1</v>
      </c>
      <c r="M27" s="89"/>
      <c r="N27" s="89"/>
      <c r="O27" s="89"/>
      <c r="P27" s="89"/>
      <c r="Q27" s="89"/>
      <c r="R27" s="89"/>
      <c r="S27" s="89"/>
    </row>
    <row r="28" spans="1:20" ht="12.95" customHeight="1">
      <c r="A28" s="500" t="str">
        <f>'3.1'!G5</f>
        <v>III. čtvrtletí</v>
      </c>
      <c r="B28" s="443"/>
      <c r="C28" s="164" t="s">
        <v>4</v>
      </c>
      <c r="D28" s="312">
        <f>D21</f>
        <v>1233</v>
      </c>
      <c r="E28" s="308">
        <f>E7+E14+E21</f>
        <v>499973.52299999999</v>
      </c>
      <c r="F28" s="308">
        <f>F7+F14+F21</f>
        <v>5484529.3222599998</v>
      </c>
      <c r="G28" s="309">
        <f>E28/$E$34</f>
        <v>0.74251290488956401</v>
      </c>
      <c r="H28" s="309">
        <f>(E28-I28)/I28</f>
        <v>-7.9043415028325736E-2</v>
      </c>
      <c r="I28" s="312">
        <f>I7+I14+I21</f>
        <v>542885.00799999991</v>
      </c>
      <c r="J28" s="308">
        <f>J7+J14+J21</f>
        <v>5910481.3563000001</v>
      </c>
      <c r="K28" s="309">
        <f>I28/$I$34</f>
        <v>0.69943293215176672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37"/>
      <c r="B29" s="437"/>
      <c r="C29" s="154" t="s">
        <v>5</v>
      </c>
      <c r="D29" s="313">
        <f t="shared" ref="D29:D32" si="10">D22</f>
        <v>4227</v>
      </c>
      <c r="E29" s="129">
        <f>E8+E15+E22</f>
        <v>50855.45</v>
      </c>
      <c r="F29" s="129">
        <f t="shared" ref="F29" si="11">F8+F15+F22</f>
        <v>557871.26667999988</v>
      </c>
      <c r="G29" s="307">
        <f t="shared" ref="G29:G33" si="12">E29/$E$34</f>
        <v>7.5525655203477593E-2</v>
      </c>
      <c r="H29" s="307">
        <f t="shared" ref="H29:H31" si="13">(E29-I29)/I29</f>
        <v>-0.17552060213197412</v>
      </c>
      <c r="I29" s="313">
        <f>I8+I15+I22</f>
        <v>61681.892999999996</v>
      </c>
      <c r="J29" s="129">
        <f t="shared" ref="J29" si="14">J8+J15+J22</f>
        <v>671782.74249999993</v>
      </c>
      <c r="K29" s="307">
        <f t="shared" ref="K29:K33" si="15">I29/$I$34</f>
        <v>7.9468665824092052E-2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37"/>
      <c r="B30" s="437"/>
      <c r="C30" s="154" t="s">
        <v>6</v>
      </c>
      <c r="D30" s="313">
        <f t="shared" si="10"/>
        <v>152947</v>
      </c>
      <c r="E30" s="129">
        <f t="shared" ref="E30:F33" si="16">E9+E16+E23</f>
        <v>37274.118000000002</v>
      </c>
      <c r="F30" s="129">
        <f t="shared" si="16"/>
        <v>408899.30839999998</v>
      </c>
      <c r="G30" s="307">
        <f t="shared" si="12"/>
        <v>5.5355958586183744E-2</v>
      </c>
      <c r="H30" s="307">
        <f t="shared" si="13"/>
        <v>-0.36983151558743205</v>
      </c>
      <c r="I30" s="313">
        <f t="shared" ref="I30:J32" si="17">I9+I16+I23</f>
        <v>59149.448000000004</v>
      </c>
      <c r="J30" s="129">
        <f t="shared" si="17"/>
        <v>644666.53581000003</v>
      </c>
      <c r="K30" s="307">
        <f t="shared" si="15"/>
        <v>7.620595750509003E-2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37"/>
      <c r="B31" s="437"/>
      <c r="C31" s="154" t="s">
        <v>7</v>
      </c>
      <c r="D31" s="313">
        <f t="shared" si="10"/>
        <v>2073440</v>
      </c>
      <c r="E31" s="129">
        <f>E10+E17+E24</f>
        <v>68221.7</v>
      </c>
      <c r="F31" s="129">
        <f t="shared" si="16"/>
        <v>748365.10000000009</v>
      </c>
      <c r="G31" s="307">
        <f t="shared" si="12"/>
        <v>0.10131635039302744</v>
      </c>
      <c r="H31" s="307">
        <f t="shared" si="13"/>
        <v>-0.28876475120871803</v>
      </c>
      <c r="I31" s="313">
        <f>I10+I17+I24</f>
        <v>95920.021000000008</v>
      </c>
      <c r="J31" s="129">
        <f t="shared" si="17"/>
        <v>1045543.192</v>
      </c>
      <c r="K31" s="307">
        <f t="shared" si="15"/>
        <v>0.12357980152601497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37"/>
      <c r="B32" s="437"/>
      <c r="C32" s="154" t="s">
        <v>93</v>
      </c>
      <c r="D32" s="313">
        <f t="shared" si="10"/>
        <v>212</v>
      </c>
      <c r="E32" s="129">
        <f>E11+E18+E25</f>
        <v>17433.666000000001</v>
      </c>
      <c r="F32" s="129">
        <f t="shared" si="16"/>
        <v>191238.33918000001</v>
      </c>
      <c r="G32" s="307">
        <f t="shared" si="12"/>
        <v>2.5890814991285902E-2</v>
      </c>
      <c r="H32" s="307">
        <f>(E32-I32)/I32</f>
        <v>1.225752733623825E-2</v>
      </c>
      <c r="I32" s="313">
        <f>I11+I18+I25</f>
        <v>17222.559999999998</v>
      </c>
      <c r="J32" s="129">
        <f t="shared" si="17"/>
        <v>187457.94055999999</v>
      </c>
      <c r="K32" s="307">
        <f t="shared" si="15"/>
        <v>2.2188908263165247E-2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37"/>
      <c r="B33" s="437"/>
      <c r="C33" s="154" t="s">
        <v>94</v>
      </c>
      <c r="D33" s="313"/>
      <c r="E33" s="129">
        <f t="shared" si="16"/>
        <v>-405.14595638591999</v>
      </c>
      <c r="F33" s="129">
        <f t="shared" si="16"/>
        <v>-4445.6118599999827</v>
      </c>
      <c r="G33" s="307">
        <f t="shared" si="12"/>
        <v>-6.0168406353864072E-4</v>
      </c>
      <c r="H33" s="307">
        <f t="shared" ref="H33" si="18">(E33-I33)/I33</f>
        <v>-0.40431846538064187</v>
      </c>
      <c r="I33" s="313">
        <f t="shared" ref="I33:J33" si="19">I12+I19+I26</f>
        <v>-680.1385183860184</v>
      </c>
      <c r="J33" s="129">
        <f t="shared" si="19"/>
        <v>-7331.583580000115</v>
      </c>
      <c r="K33" s="307">
        <f t="shared" si="15"/>
        <v>-8.7626527012897582E-4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42"/>
      <c r="B34" s="442"/>
      <c r="C34" s="318" t="s">
        <v>0</v>
      </c>
      <c r="D34" s="321">
        <f>SUM(D28:D33)</f>
        <v>2232059</v>
      </c>
      <c r="E34" s="319">
        <f>SUM(E28:E33)</f>
        <v>673353.31104361406</v>
      </c>
      <c r="F34" s="319">
        <f>SUM(F28:F33)</f>
        <v>7386457.7246599998</v>
      </c>
      <c r="G34" s="320">
        <f>SUM(G28:G33)</f>
        <v>0.99999999999999989</v>
      </c>
      <c r="H34" s="320">
        <f>(E34-I34)/I34</f>
        <v>-0.13247653964071957</v>
      </c>
      <c r="I34" s="321">
        <f>SUM(I28:I33)</f>
        <v>776178.79148161388</v>
      </c>
      <c r="J34" s="319">
        <f>SUM(J28:J33)</f>
        <v>8452600.1835899986</v>
      </c>
      <c r="K34" s="320">
        <f>SUM(K28:K33)</f>
        <v>1</v>
      </c>
      <c r="M34" s="89"/>
      <c r="N34" s="89"/>
      <c r="O34" s="89"/>
      <c r="P34" s="89"/>
      <c r="Q34" s="89"/>
      <c r="R34" s="89"/>
      <c r="S34" s="89"/>
    </row>
    <row r="35" spans="1:20" ht="20.100000000000001" customHeight="1">
      <c r="A35" s="126"/>
      <c r="B35" s="303"/>
      <c r="C35" s="101"/>
      <c r="D35" s="88"/>
      <c r="E35" s="88"/>
      <c r="F35" s="88"/>
      <c r="G35" s="497" t="s">
        <v>272</v>
      </c>
      <c r="H35" s="497"/>
      <c r="I35" s="497"/>
      <c r="J35" s="497"/>
      <c r="K35" s="497"/>
    </row>
    <row r="36" spans="1:20" ht="15" customHeight="1">
      <c r="A36" s="489" t="s">
        <v>271</v>
      </c>
      <c r="B36" s="489"/>
      <c r="C36" s="489"/>
      <c r="D36" s="489"/>
      <c r="E36" s="489"/>
      <c r="F36" s="119"/>
      <c r="G36" s="497"/>
      <c r="H36" s="497"/>
      <c r="I36" s="497"/>
      <c r="J36" s="497"/>
      <c r="K36" s="497"/>
      <c r="M36" s="93"/>
      <c r="N36" s="93"/>
      <c r="O36" s="93"/>
      <c r="P36" s="93"/>
      <c r="Q36" s="93"/>
      <c r="R36" s="93"/>
      <c r="S36" s="93"/>
    </row>
    <row r="37" spans="1:20" ht="15" customHeight="1">
      <c r="A37" s="490" t="str">
        <f>A28</f>
        <v>III. čtvrtletí</v>
      </c>
      <c r="B37" s="491"/>
      <c r="C37" s="491"/>
      <c r="D37" s="491"/>
      <c r="E37" s="491"/>
      <c r="F37" s="125"/>
      <c r="G37" s="492" t="str">
        <f>A28</f>
        <v>III. čtvrtletí</v>
      </c>
      <c r="H37" s="492"/>
      <c r="I37" s="492"/>
      <c r="J37" s="492"/>
      <c r="K37" s="492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2023</v>
      </c>
      <c r="D41" s="94">
        <f>I3</f>
        <v>2022</v>
      </c>
      <c r="E41" s="76"/>
      <c r="F41" s="76"/>
      <c r="G41" s="76"/>
      <c r="H41" s="94"/>
      <c r="I41" s="94">
        <f>D3</f>
        <v>2023</v>
      </c>
      <c r="J41" s="94">
        <f>I3</f>
        <v>2022</v>
      </c>
      <c r="K41" s="94"/>
    </row>
    <row r="42" spans="1:20" ht="15" customHeight="1">
      <c r="A42" s="94"/>
      <c r="B42" s="94" t="str">
        <f>A7</f>
        <v>Červenec</v>
      </c>
      <c r="C42" s="78">
        <f>E13</f>
        <v>211104.98416741923</v>
      </c>
      <c r="D42" s="78">
        <f>I13</f>
        <v>235294.93843617072</v>
      </c>
      <c r="E42" s="76"/>
      <c r="F42" s="76"/>
      <c r="G42" s="76"/>
      <c r="H42" s="94" t="str">
        <f>A7</f>
        <v>Červenec</v>
      </c>
      <c r="I42" s="95">
        <f>E13/E34</f>
        <v>0.31351295182648276</v>
      </c>
      <c r="J42" s="95">
        <f>I13/I34</f>
        <v>0.30314528175528538</v>
      </c>
      <c r="K42" s="94"/>
    </row>
    <row r="43" spans="1:20" ht="15" customHeight="1">
      <c r="A43" s="94"/>
      <c r="B43" s="94" t="str">
        <f>A14</f>
        <v>Srpen</v>
      </c>
      <c r="C43" s="78">
        <f>E20</f>
        <v>225681.17319156262</v>
      </c>
      <c r="D43" s="78">
        <f>I20</f>
        <v>237313.06780265464</v>
      </c>
      <c r="E43" s="76"/>
      <c r="F43" s="76"/>
      <c r="G43" s="76"/>
      <c r="H43" s="94" t="str">
        <f>A14</f>
        <v>Srpen</v>
      </c>
      <c r="I43" s="95">
        <f>E20/E34</f>
        <v>0.33516011503943571</v>
      </c>
      <c r="J43" s="95">
        <f>I20/I34</f>
        <v>0.3057453648658166</v>
      </c>
      <c r="K43" s="94"/>
    </row>
    <row r="44" spans="1:20" ht="15" customHeight="1">
      <c r="A44" s="94"/>
      <c r="B44" s="94" t="str">
        <f>A21</f>
        <v>Září</v>
      </c>
      <c r="C44" s="78">
        <f>E27</f>
        <v>236567.15368463221</v>
      </c>
      <c r="D44" s="78">
        <f>I27</f>
        <v>303570.78524278855</v>
      </c>
      <c r="E44" s="76"/>
      <c r="F44" s="76"/>
      <c r="G44" s="76"/>
      <c r="H44" s="94" t="str">
        <f>A21</f>
        <v>Září</v>
      </c>
      <c r="I44" s="95">
        <f>E27/E34</f>
        <v>0.35132693313408153</v>
      </c>
      <c r="J44" s="95">
        <f>I27/I34</f>
        <v>0.39110935337889807</v>
      </c>
      <c r="K44" s="94"/>
    </row>
    <row r="45" spans="1:20" ht="15" customHeight="1">
      <c r="A45" s="94"/>
      <c r="B45" s="94"/>
      <c r="C45" s="78">
        <f>SUM(C42:C44)</f>
        <v>673353.31104361406</v>
      </c>
      <c r="D45" s="78">
        <f>SUM(D42:D44)</f>
        <v>776178.79148161388</v>
      </c>
      <c r="E45" s="94"/>
      <c r="F45" s="94"/>
      <c r="G45" s="94"/>
      <c r="H45" s="94"/>
      <c r="I45" s="96">
        <f>SUM(I42:I44)</f>
        <v>1</v>
      </c>
      <c r="J45" s="96">
        <f>SUM(J42:J44)</f>
        <v>1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1:K1"/>
    <mergeCell ref="A2:C2"/>
    <mergeCell ref="E3:G4"/>
    <mergeCell ref="I3:K4"/>
    <mergeCell ref="A3:C4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2"/>
  <sheetViews>
    <sheetView showGridLines="0" zoomScaleNormal="100" zoomScaleSheetLayoutView="100" workbookViewId="0">
      <selection activeCell="G1" sqref="G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71" t="s">
        <v>300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21" ht="6" customHeight="1">
      <c r="A2" s="477"/>
      <c r="B2" s="477"/>
      <c r="C2" s="477"/>
      <c r="D2" s="315"/>
      <c r="E2" s="315"/>
      <c r="F2" s="316"/>
      <c r="G2" s="317"/>
      <c r="H2" s="317"/>
      <c r="I2" s="317"/>
      <c r="J2" s="279"/>
      <c r="K2" s="279"/>
    </row>
    <row r="3" spans="1:21" ht="15" customHeight="1">
      <c r="A3" s="487" t="s">
        <v>209</v>
      </c>
      <c r="B3" s="487"/>
      <c r="C3" s="487"/>
      <c r="D3" s="341">
        <f>'3.1'!A4</f>
        <v>2023</v>
      </c>
      <c r="E3" s="482"/>
      <c r="F3" s="482"/>
      <c r="G3" s="482"/>
      <c r="H3" s="340"/>
      <c r="I3" s="481">
        <f>D3-1</f>
        <v>2022</v>
      </c>
      <c r="J3" s="482"/>
      <c r="K3" s="482"/>
    </row>
    <row r="4" spans="1:21" ht="50.1" customHeight="1">
      <c r="A4" s="488"/>
      <c r="B4" s="488"/>
      <c r="C4" s="488"/>
      <c r="D4" s="343"/>
      <c r="E4" s="484"/>
      <c r="F4" s="484"/>
      <c r="G4" s="484"/>
      <c r="H4" s="174"/>
      <c r="I4" s="483"/>
      <c r="J4" s="484"/>
      <c r="K4" s="484"/>
    </row>
    <row r="5" spans="1:21" ht="24.95" customHeight="1">
      <c r="A5" s="487" t="s">
        <v>158</v>
      </c>
      <c r="B5" s="487"/>
      <c r="C5" s="498" t="s">
        <v>184</v>
      </c>
      <c r="D5" s="485" t="s">
        <v>159</v>
      </c>
      <c r="E5" s="479" t="s">
        <v>60</v>
      </c>
      <c r="F5" s="479"/>
      <c r="G5" s="480" t="s">
        <v>33</v>
      </c>
      <c r="H5" s="480" t="s">
        <v>270</v>
      </c>
      <c r="I5" s="478" t="s">
        <v>60</v>
      </c>
      <c r="J5" s="479"/>
      <c r="K5" s="480" t="s">
        <v>33</v>
      </c>
    </row>
    <row r="6" spans="1:21" ht="22.5" customHeight="1">
      <c r="A6" s="488"/>
      <c r="B6" s="488"/>
      <c r="C6" s="499"/>
      <c r="D6" s="486"/>
      <c r="E6" s="219" t="s">
        <v>261</v>
      </c>
      <c r="F6" s="219" t="s">
        <v>262</v>
      </c>
      <c r="G6" s="476"/>
      <c r="H6" s="476"/>
      <c r="I6" s="221" t="s">
        <v>261</v>
      </c>
      <c r="J6" s="219" t="s">
        <v>262</v>
      </c>
      <c r="K6" s="476"/>
    </row>
    <row r="7" spans="1:21" ht="12.95" customHeight="1">
      <c r="A7" s="443" t="str">
        <f>'3.1'!D5</f>
        <v>Červenec</v>
      </c>
      <c r="B7" s="443"/>
      <c r="C7" s="164" t="s">
        <v>4</v>
      </c>
      <c r="D7" s="312">
        <v>96</v>
      </c>
      <c r="E7" s="308">
        <v>5121.7653900000005</v>
      </c>
      <c r="F7" s="308">
        <v>56121.744230000004</v>
      </c>
      <c r="G7" s="309">
        <f t="shared" ref="G7:G12" si="0">E7/$E$13</f>
        <v>0.58508670977832977</v>
      </c>
      <c r="H7" s="309">
        <f>(E7-I7)/I7</f>
        <v>-0.21696016755190367</v>
      </c>
      <c r="I7" s="312">
        <v>6540.8746499999997</v>
      </c>
      <c r="J7" s="308">
        <v>70757.878189999989</v>
      </c>
      <c r="K7" s="309">
        <f>I7/$I$13</f>
        <v>0.64469255445636631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2.95" customHeight="1">
      <c r="A8" s="437"/>
      <c r="B8" s="437"/>
      <c r="C8" s="154" t="s">
        <v>5</v>
      </c>
      <c r="D8" s="313">
        <v>329</v>
      </c>
      <c r="E8" s="129">
        <v>1490.1406900000002</v>
      </c>
      <c r="F8" s="129">
        <v>16328.216560000001</v>
      </c>
      <c r="G8" s="307">
        <f t="shared" si="0"/>
        <v>0.17022675718828856</v>
      </c>
      <c r="H8" s="307">
        <f t="shared" ref="H8:H11" si="1">(E8-I8)/I8</f>
        <v>4.3462700525230234E-2</v>
      </c>
      <c r="I8" s="313">
        <v>1428.0727900000002</v>
      </c>
      <c r="J8" s="129">
        <v>15448.60584</v>
      </c>
      <c r="K8" s="307">
        <f t="shared" ref="K8:K12" si="2">I8/$I$13</f>
        <v>0.14075608297045258</v>
      </c>
      <c r="L8" s="93"/>
      <c r="M8" s="89"/>
      <c r="N8" s="89"/>
      <c r="O8" s="89"/>
      <c r="P8" s="89"/>
      <c r="Q8" s="89"/>
      <c r="R8" s="89"/>
      <c r="S8" s="89"/>
    </row>
    <row r="9" spans="1:21" ht="12.95" customHeight="1">
      <c r="A9" s="437"/>
      <c r="B9" s="437"/>
      <c r="C9" s="154" t="s">
        <v>6</v>
      </c>
      <c r="D9" s="313">
        <v>10625</v>
      </c>
      <c r="E9" s="129">
        <v>635.62510999999995</v>
      </c>
      <c r="F9" s="129">
        <v>6964.8621800000001</v>
      </c>
      <c r="G9" s="307">
        <f t="shared" si="0"/>
        <v>7.2610862845943216E-2</v>
      </c>
      <c r="H9" s="307">
        <f t="shared" si="1"/>
        <v>-3.2737925581162834E-2</v>
      </c>
      <c r="I9" s="313">
        <v>657.1384599999999</v>
      </c>
      <c r="J9" s="129">
        <v>7108.7924299999995</v>
      </c>
      <c r="K9" s="307">
        <f t="shared" si="2"/>
        <v>6.4769972683840174E-2</v>
      </c>
      <c r="L9" s="93"/>
      <c r="M9" s="89"/>
      <c r="N9" s="89"/>
      <c r="O9" s="89"/>
      <c r="P9" s="89"/>
      <c r="Q9" s="89"/>
      <c r="R9" s="89"/>
      <c r="S9" s="89"/>
    </row>
    <row r="10" spans="1:21" ht="12.95" customHeight="1">
      <c r="A10" s="437"/>
      <c r="B10" s="437"/>
      <c r="C10" s="154" t="s">
        <v>7</v>
      </c>
      <c r="D10" s="313">
        <v>101040</v>
      </c>
      <c r="E10" s="129">
        <v>969.48880999999994</v>
      </c>
      <c r="F10" s="129">
        <v>10623.073640000001</v>
      </c>
      <c r="G10" s="307">
        <f t="shared" si="0"/>
        <v>0.11074990258579731</v>
      </c>
      <c r="H10" s="307">
        <f t="shared" si="1"/>
        <v>-3.2737914374697231E-2</v>
      </c>
      <c r="I10" s="313">
        <v>1002.30209</v>
      </c>
      <c r="J10" s="129">
        <v>10844.239609999999</v>
      </c>
      <c r="K10" s="307">
        <f t="shared" si="2"/>
        <v>9.8790563848988419E-2</v>
      </c>
      <c r="L10" s="93"/>
      <c r="M10" s="89"/>
      <c r="N10" s="89"/>
      <c r="O10" s="89"/>
      <c r="P10" s="89"/>
      <c r="Q10" s="89"/>
      <c r="R10" s="89"/>
      <c r="S10" s="89"/>
    </row>
    <row r="11" spans="1:21" ht="12.95" customHeight="1">
      <c r="A11" s="437"/>
      <c r="B11" s="437"/>
      <c r="C11" s="154" t="s">
        <v>93</v>
      </c>
      <c r="D11" s="313">
        <v>17</v>
      </c>
      <c r="E11" s="129">
        <v>343.56200000000001</v>
      </c>
      <c r="F11" s="129">
        <v>3764.7559999999999</v>
      </c>
      <c r="G11" s="307">
        <f t="shared" si="0"/>
        <v>3.9246928525334603E-2</v>
      </c>
      <c r="H11" s="307">
        <f t="shared" si="1"/>
        <v>-0.1117769786218611</v>
      </c>
      <c r="I11" s="313">
        <v>386.79700000000003</v>
      </c>
      <c r="J11" s="129">
        <v>4183.8059999999996</v>
      </c>
      <c r="K11" s="307">
        <f t="shared" si="2"/>
        <v>3.8124128550003501E-2</v>
      </c>
      <c r="L11" s="93"/>
      <c r="M11" s="89"/>
      <c r="N11" s="89"/>
      <c r="O11" s="89"/>
      <c r="P11" s="89"/>
      <c r="Q11" s="89"/>
      <c r="R11" s="89"/>
      <c r="S11" s="89"/>
    </row>
    <row r="12" spans="1:21" ht="12.95" customHeight="1">
      <c r="A12" s="437"/>
      <c r="B12" s="437"/>
      <c r="C12" s="154" t="s">
        <v>94</v>
      </c>
      <c r="D12" s="313"/>
      <c r="E12" s="129">
        <v>193.27500000000001</v>
      </c>
      <c r="F12" s="129">
        <v>2117.7860000000001</v>
      </c>
      <c r="G12" s="307">
        <f t="shared" si="0"/>
        <v>2.2078839076306592E-2</v>
      </c>
      <c r="H12" s="307">
        <f>(E12-I12)/I12</f>
        <v>0.48055798133933908</v>
      </c>
      <c r="I12" s="313">
        <v>130.542</v>
      </c>
      <c r="J12" s="129">
        <v>1410.681</v>
      </c>
      <c r="K12" s="307">
        <f t="shared" si="2"/>
        <v>1.2866697490349089E-2</v>
      </c>
      <c r="L12" s="93"/>
      <c r="M12" s="89"/>
      <c r="N12" s="89"/>
      <c r="O12" s="89"/>
      <c r="P12" s="89"/>
      <c r="Q12" s="89"/>
      <c r="R12" s="89"/>
      <c r="S12" s="89"/>
    </row>
    <row r="13" spans="1:21" ht="12.95" customHeight="1">
      <c r="A13" s="442"/>
      <c r="B13" s="442"/>
      <c r="C13" s="318" t="s">
        <v>0</v>
      </c>
      <c r="D13" s="321">
        <v>112107</v>
      </c>
      <c r="E13" s="319">
        <v>8753.857</v>
      </c>
      <c r="F13" s="319">
        <v>95920.438610000012</v>
      </c>
      <c r="G13" s="320">
        <f>SUM(G7:G12)</f>
        <v>1.0000000000000002</v>
      </c>
      <c r="H13" s="320">
        <f>(E13-I13)/I13</f>
        <v>-0.13718780244844725</v>
      </c>
      <c r="I13" s="321">
        <v>10145.726989999999</v>
      </c>
      <c r="J13" s="319">
        <v>109754.00306999999</v>
      </c>
      <c r="K13" s="320">
        <f>SUM(K7:K12)</f>
        <v>1.0000000000000002</v>
      </c>
      <c r="L13" s="93"/>
      <c r="M13" s="89"/>
      <c r="N13" s="89"/>
      <c r="O13" s="89"/>
      <c r="P13" s="89"/>
      <c r="Q13" s="89"/>
      <c r="R13" s="89"/>
      <c r="S13" s="89"/>
    </row>
    <row r="14" spans="1:21" ht="12.95" customHeight="1">
      <c r="A14" s="443" t="str">
        <f>'3.1'!E5</f>
        <v>Srpen</v>
      </c>
      <c r="B14" s="443"/>
      <c r="C14" s="164" t="s">
        <v>4</v>
      </c>
      <c r="D14" s="312">
        <v>97</v>
      </c>
      <c r="E14" s="308">
        <v>6031.535679999999</v>
      </c>
      <c r="F14" s="308">
        <v>66147.248720000003</v>
      </c>
      <c r="G14" s="309">
        <f>E14/$E$20</f>
        <v>0.60371895019313682</v>
      </c>
      <c r="H14" s="309">
        <f>(E14-I14)/I14</f>
        <v>-0.12886178259348716</v>
      </c>
      <c r="I14" s="312">
        <v>6923.7413300000007</v>
      </c>
      <c r="J14" s="308">
        <v>75246.526889999994</v>
      </c>
      <c r="K14" s="309">
        <f>I14/$I$20</f>
        <v>0.64954873533089863</v>
      </c>
      <c r="L14" s="93"/>
      <c r="M14" s="89"/>
      <c r="N14" s="89"/>
      <c r="O14" s="89"/>
      <c r="P14" s="89"/>
      <c r="Q14" s="89"/>
      <c r="R14" s="89"/>
      <c r="S14" s="89"/>
    </row>
    <row r="15" spans="1:21" ht="12.95" customHeight="1">
      <c r="A15" s="437"/>
      <c r="B15" s="437"/>
      <c r="C15" s="154" t="s">
        <v>5</v>
      </c>
      <c r="D15" s="313">
        <v>327</v>
      </c>
      <c r="E15" s="129">
        <v>1582.0417400000001</v>
      </c>
      <c r="F15" s="129">
        <v>17350.093530000002</v>
      </c>
      <c r="G15" s="307">
        <f t="shared" ref="G15:G19" si="3">E15/$E$20</f>
        <v>0.15835247093067412</v>
      </c>
      <c r="H15" s="307">
        <f t="shared" ref="H15:H17" si="4">(E15-I15)/I15</f>
        <v>-3.0847470406495277E-2</v>
      </c>
      <c r="I15" s="313">
        <v>1632.39706</v>
      </c>
      <c r="J15" s="129">
        <v>17740.727910000001</v>
      </c>
      <c r="K15" s="307">
        <f t="shared" ref="K15:K19" si="5">I15/$I$20</f>
        <v>0.15314284508096679</v>
      </c>
      <c r="L15" s="97"/>
      <c r="M15" s="89"/>
      <c r="N15" s="89"/>
      <c r="O15" s="89"/>
      <c r="P15" s="89"/>
      <c r="Q15" s="89"/>
      <c r="R15" s="89"/>
      <c r="S15" s="89"/>
    </row>
    <row r="16" spans="1:21" ht="12.95" customHeight="1">
      <c r="A16" s="437"/>
      <c r="B16" s="437"/>
      <c r="C16" s="154" t="s">
        <v>6</v>
      </c>
      <c r="D16" s="313">
        <v>10612</v>
      </c>
      <c r="E16" s="129">
        <v>721.68290999999999</v>
      </c>
      <c r="F16" s="129">
        <v>7914.6242899999997</v>
      </c>
      <c r="G16" s="307">
        <f t="shared" si="3"/>
        <v>7.2235939885466796E-2</v>
      </c>
      <c r="H16" s="307">
        <f t="shared" si="4"/>
        <v>0.18829258909713337</v>
      </c>
      <c r="I16" s="313">
        <v>607.32762000000002</v>
      </c>
      <c r="J16" s="129">
        <v>6600.3758699999998</v>
      </c>
      <c r="K16" s="307">
        <f>I16/$I$20</f>
        <v>5.6976260189449415E-2</v>
      </c>
      <c r="L16" s="93"/>
      <c r="M16" s="89"/>
      <c r="N16" s="89"/>
      <c r="O16" s="89"/>
      <c r="P16" s="89"/>
      <c r="Q16" s="89"/>
      <c r="R16" s="89"/>
      <c r="S16" s="89"/>
    </row>
    <row r="17" spans="1:20" ht="12.95" customHeight="1">
      <c r="A17" s="437"/>
      <c r="B17" s="437"/>
      <c r="C17" s="154" t="s">
        <v>7</v>
      </c>
      <c r="D17" s="313">
        <v>100969</v>
      </c>
      <c r="E17" s="129">
        <v>1100.7486800000001</v>
      </c>
      <c r="F17" s="129">
        <v>12072.044670000001</v>
      </c>
      <c r="G17" s="307">
        <f t="shared" si="3"/>
        <v>0.11017804963330355</v>
      </c>
      <c r="H17" s="307">
        <f t="shared" si="4"/>
        <v>0.1882925830622911</v>
      </c>
      <c r="I17" s="313">
        <v>926.32799</v>
      </c>
      <c r="J17" s="129">
        <v>10068.614969999999</v>
      </c>
      <c r="K17" s="307">
        <f>I17/$I$20</f>
        <v>8.6903185102975719E-2</v>
      </c>
      <c r="L17" s="93"/>
      <c r="M17" s="89"/>
      <c r="N17" s="89"/>
      <c r="O17" s="89"/>
      <c r="P17" s="89"/>
      <c r="Q17" s="89"/>
      <c r="R17" s="89"/>
      <c r="S17" s="89"/>
    </row>
    <row r="18" spans="1:20" ht="12.95" customHeight="1">
      <c r="A18" s="437"/>
      <c r="B18" s="437"/>
      <c r="C18" s="154" t="s">
        <v>93</v>
      </c>
      <c r="D18" s="313">
        <v>17</v>
      </c>
      <c r="E18" s="129">
        <v>360.39600000000002</v>
      </c>
      <c r="F18" s="129">
        <v>3952.5049999999997</v>
      </c>
      <c r="G18" s="307">
        <f t="shared" si="3"/>
        <v>3.6073382686812816E-2</v>
      </c>
      <c r="H18" s="307">
        <f>(E18-I18)/I18</f>
        <v>-3.7735395656945073E-2</v>
      </c>
      <c r="I18" s="313">
        <v>374.529</v>
      </c>
      <c r="J18" s="129">
        <v>4069.0679999999998</v>
      </c>
      <c r="K18" s="307">
        <f>I18/$I$20</f>
        <v>3.5136326835414303E-2</v>
      </c>
      <c r="L18" s="93"/>
      <c r="M18" s="89"/>
      <c r="N18" s="89"/>
      <c r="O18" s="89"/>
      <c r="P18" s="89"/>
      <c r="Q18" s="89"/>
      <c r="R18" s="89"/>
      <c r="S18" s="89"/>
    </row>
    <row r="19" spans="1:20" ht="12.95" customHeight="1">
      <c r="A19" s="437"/>
      <c r="B19" s="437"/>
      <c r="C19" s="154" t="s">
        <v>94</v>
      </c>
      <c r="D19" s="313"/>
      <c r="E19" s="129">
        <v>194.23</v>
      </c>
      <c r="F19" s="129">
        <v>2130.1120000000001</v>
      </c>
      <c r="G19" s="307">
        <f t="shared" si="3"/>
        <v>1.9441206670605813E-2</v>
      </c>
      <c r="H19" s="307">
        <f t="shared" ref="H19" si="6">(E19-I19)/I19</f>
        <v>-3.8823101027249678E-3</v>
      </c>
      <c r="I19" s="313">
        <v>194.98700000000002</v>
      </c>
      <c r="J19" s="129">
        <v>2119.0910000000003</v>
      </c>
      <c r="K19" s="307">
        <f t="shared" si="5"/>
        <v>1.8292647460295276E-2</v>
      </c>
      <c r="L19" s="93"/>
      <c r="M19" s="89"/>
      <c r="N19" s="89"/>
      <c r="O19" s="89"/>
      <c r="P19" s="89"/>
      <c r="Q19" s="89"/>
      <c r="R19" s="89"/>
      <c r="S19" s="89"/>
    </row>
    <row r="20" spans="1:20" ht="12.95" customHeight="1">
      <c r="A20" s="442"/>
      <c r="B20" s="442"/>
      <c r="C20" s="318" t="s">
        <v>0</v>
      </c>
      <c r="D20" s="321">
        <v>112022</v>
      </c>
      <c r="E20" s="319">
        <v>9990.63501</v>
      </c>
      <c r="F20" s="319">
        <v>109566.62821</v>
      </c>
      <c r="G20" s="320">
        <f>SUM(G14:G19)</f>
        <v>0.99999999999999989</v>
      </c>
      <c r="H20" s="320">
        <f>(E20-I20)/I20</f>
        <v>-6.2731545475269934E-2</v>
      </c>
      <c r="I20" s="321">
        <v>10659.31</v>
      </c>
      <c r="J20" s="319">
        <v>115844.40463999999</v>
      </c>
      <c r="K20" s="320">
        <f>SUM(K14:K19)</f>
        <v>1.0000000000000002</v>
      </c>
      <c r="L20" s="93"/>
      <c r="M20" s="89"/>
      <c r="N20" s="89"/>
      <c r="O20" s="89"/>
      <c r="P20" s="89"/>
      <c r="Q20" s="89"/>
      <c r="R20" s="89"/>
      <c r="S20" s="89"/>
    </row>
    <row r="21" spans="1:20" ht="12.95" customHeight="1">
      <c r="A21" s="443" t="str">
        <f>'3.1'!F5</f>
        <v>Září</v>
      </c>
      <c r="B21" s="443"/>
      <c r="C21" s="164" t="s">
        <v>4</v>
      </c>
      <c r="D21" s="312">
        <v>97</v>
      </c>
      <c r="E21" s="308">
        <v>6217.0106999999998</v>
      </c>
      <c r="F21" s="308">
        <v>68170.144050000003</v>
      </c>
      <c r="G21" s="309">
        <f>E21/$E$27</f>
        <v>0.60153543663637665</v>
      </c>
      <c r="H21" s="309">
        <f>(E21-I21)/I21</f>
        <v>-0.23165878566461809</v>
      </c>
      <c r="I21" s="312">
        <v>8091.4710599999999</v>
      </c>
      <c r="J21" s="308">
        <v>88009.312780000007</v>
      </c>
      <c r="K21" s="309">
        <f>I21/$I$27</f>
        <v>0.53125154719810941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2.95" customHeight="1">
      <c r="A22" s="437"/>
      <c r="B22" s="437"/>
      <c r="C22" s="154" t="s">
        <v>5</v>
      </c>
      <c r="D22" s="313">
        <v>326</v>
      </c>
      <c r="E22" s="129">
        <v>1637.2917</v>
      </c>
      <c r="F22" s="129">
        <v>17953.067210000001</v>
      </c>
      <c r="G22" s="307">
        <f t="shared" ref="G22:G26" si="7">E22/$E$27</f>
        <v>0.15841841444162474</v>
      </c>
      <c r="H22" s="307">
        <f t="shared" ref="H22:H26" si="8">(E22-I22)/I22</f>
        <v>-0.19097274381608734</v>
      </c>
      <c r="I22" s="313">
        <v>2023.77817</v>
      </c>
      <c r="J22" s="129">
        <v>22012.230500000001</v>
      </c>
      <c r="K22" s="307">
        <f t="shared" ref="K22:K26" si="9">I22/$I$27</f>
        <v>0.13287266011654728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37"/>
      <c r="B23" s="437"/>
      <c r="C23" s="154" t="s">
        <v>6</v>
      </c>
      <c r="D23" s="313">
        <v>10607</v>
      </c>
      <c r="E23" s="129">
        <v>739.99831000000006</v>
      </c>
      <c r="F23" s="129">
        <v>8114.1554599999999</v>
      </c>
      <c r="G23" s="307">
        <f t="shared" si="7"/>
        <v>7.1599556120440791E-2</v>
      </c>
      <c r="H23" s="307">
        <f t="shared" si="8"/>
        <v>-0.57880915130277044</v>
      </c>
      <c r="I23" s="313">
        <v>1756.9192500000001</v>
      </c>
      <c r="J23" s="129">
        <v>19109.659240000001</v>
      </c>
      <c r="K23" s="307">
        <f t="shared" si="9"/>
        <v>0.11535183935572797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37"/>
      <c r="B24" s="437"/>
      <c r="C24" s="154" t="s">
        <v>7</v>
      </c>
      <c r="D24" s="313">
        <v>100912</v>
      </c>
      <c r="E24" s="129">
        <v>1128.6842900000001</v>
      </c>
      <c r="F24" s="129">
        <v>12376.304100000001</v>
      </c>
      <c r="G24" s="307">
        <f t="shared" si="7"/>
        <v>0.10920740368192851</v>
      </c>
      <c r="H24" s="307">
        <f t="shared" si="8"/>
        <v>-0.57880914967929165</v>
      </c>
      <c r="I24" s="313">
        <v>2679.7455099999997</v>
      </c>
      <c r="J24" s="129">
        <v>29145.780009999999</v>
      </c>
      <c r="K24" s="307">
        <f t="shared" si="9"/>
        <v>0.17594068343422914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37"/>
      <c r="B25" s="437"/>
      <c r="C25" s="154" t="s">
        <v>93</v>
      </c>
      <c r="D25" s="313">
        <v>17</v>
      </c>
      <c r="E25" s="129">
        <v>359.58</v>
      </c>
      <c r="F25" s="129">
        <v>3942.3690000000001</v>
      </c>
      <c r="G25" s="307">
        <f t="shared" si="7"/>
        <v>3.4791658361744228E-2</v>
      </c>
      <c r="H25" s="307">
        <f t="shared" si="8"/>
        <v>4.8047916757749179E-2</v>
      </c>
      <c r="I25" s="313">
        <v>343.09500000000003</v>
      </c>
      <c r="J25" s="129">
        <v>3726.616</v>
      </c>
      <c r="K25" s="307">
        <f t="shared" si="9"/>
        <v>2.2526157262921155E-2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37"/>
      <c r="B26" s="437"/>
      <c r="C26" s="154" t="s">
        <v>94</v>
      </c>
      <c r="D26" s="313"/>
      <c r="E26" s="129">
        <v>252.67099999999999</v>
      </c>
      <c r="F26" s="129">
        <v>2770.567</v>
      </c>
      <c r="G26" s="307">
        <f t="shared" si="7"/>
        <v>2.4447530757884965E-2</v>
      </c>
      <c r="H26" s="307">
        <f t="shared" si="8"/>
        <v>-0.24789329396251233</v>
      </c>
      <c r="I26" s="313">
        <v>335.95099999999996</v>
      </c>
      <c r="J26" s="129">
        <v>3660.6553999999996</v>
      </c>
      <c r="K26" s="307">
        <f t="shared" si="9"/>
        <v>2.2057112632465129E-2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42"/>
      <c r="B27" s="442"/>
      <c r="C27" s="318" t="s">
        <v>0</v>
      </c>
      <c r="D27" s="321">
        <v>111959</v>
      </c>
      <c r="E27" s="319">
        <v>10335.236000000001</v>
      </c>
      <c r="F27" s="319">
        <v>113326.60682</v>
      </c>
      <c r="G27" s="320">
        <f>SUM(G21:G26)</f>
        <v>0.99999999999999989</v>
      </c>
      <c r="H27" s="320">
        <f>(E27-I27)/I27</f>
        <v>-0.32143239777494803</v>
      </c>
      <c r="I27" s="321">
        <v>15230.959989999999</v>
      </c>
      <c r="J27" s="319">
        <v>165664.25393000001</v>
      </c>
      <c r="K27" s="320">
        <f>SUM(K21:K26)</f>
        <v>1.0000000000000002</v>
      </c>
      <c r="M27" s="89"/>
      <c r="N27" s="89"/>
      <c r="O27" s="89"/>
      <c r="P27" s="89"/>
      <c r="Q27" s="89"/>
      <c r="R27" s="89"/>
      <c r="S27" s="89"/>
    </row>
    <row r="28" spans="1:20" ht="12.95" customHeight="1">
      <c r="A28" s="500" t="str">
        <f>'3.1'!G5</f>
        <v>III. čtvrtletí</v>
      </c>
      <c r="B28" s="443"/>
      <c r="C28" s="164" t="s">
        <v>4</v>
      </c>
      <c r="D28" s="312">
        <f>D21</f>
        <v>97</v>
      </c>
      <c r="E28" s="308">
        <f>E7+E14+E21</f>
        <v>17370.31177</v>
      </c>
      <c r="F28" s="308">
        <f>F7+F14+F21</f>
        <v>190439.13700000002</v>
      </c>
      <c r="G28" s="309">
        <f>E28/$E$34</f>
        <v>0.59733405223139147</v>
      </c>
      <c r="H28" s="309">
        <f>(E28-I28)/I28</f>
        <v>-0.19418066285559027</v>
      </c>
      <c r="I28" s="312">
        <f>I7+I14+I21</f>
        <v>21556.087039999999</v>
      </c>
      <c r="J28" s="308">
        <f>J7+J14+J21</f>
        <v>234013.71786</v>
      </c>
      <c r="K28" s="309">
        <f>I28/$I$34</f>
        <v>0.59818206367271143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37"/>
      <c r="B29" s="437"/>
      <c r="C29" s="154" t="s">
        <v>5</v>
      </c>
      <c r="D29" s="313">
        <f t="shared" ref="D29:D32" si="10">D22</f>
        <v>326</v>
      </c>
      <c r="E29" s="129">
        <f>E8+E15+E22</f>
        <v>4709.4741300000005</v>
      </c>
      <c r="F29" s="129">
        <f t="shared" ref="F29" si="11">F8+F15+F22</f>
        <v>51631.3773</v>
      </c>
      <c r="G29" s="307">
        <f t="shared" ref="G29:G33" si="12">E29/$E$34</f>
        <v>0.16195041880654784</v>
      </c>
      <c r="H29" s="307">
        <f t="shared" ref="H29:H31" si="13">(E29-I29)/I29</f>
        <v>-7.3712747396615069E-2</v>
      </c>
      <c r="I29" s="313">
        <f>I8+I15+I22</f>
        <v>5084.2480200000009</v>
      </c>
      <c r="J29" s="129">
        <f t="shared" ref="J29" si="14">J8+J15+J22</f>
        <v>55201.56425000001</v>
      </c>
      <c r="K29" s="307">
        <f t="shared" ref="K29:K33" si="15">I29/$I$34</f>
        <v>0.14108803546691828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37"/>
      <c r="B30" s="437"/>
      <c r="C30" s="154" t="s">
        <v>6</v>
      </c>
      <c r="D30" s="313">
        <f t="shared" si="10"/>
        <v>10607</v>
      </c>
      <c r="E30" s="129">
        <f t="shared" ref="E30:F33" si="16">E9+E16+E23</f>
        <v>2097.3063299999999</v>
      </c>
      <c r="F30" s="129">
        <f t="shared" si="16"/>
        <v>22993.641929999998</v>
      </c>
      <c r="G30" s="307">
        <f t="shared" si="12"/>
        <v>7.2122625400030338E-2</v>
      </c>
      <c r="H30" s="307">
        <f t="shared" si="13"/>
        <v>-0.30584612655149157</v>
      </c>
      <c r="I30" s="313">
        <f t="shared" ref="I30:J32" si="17">I9+I16+I23</f>
        <v>3021.3853300000001</v>
      </c>
      <c r="J30" s="129">
        <f t="shared" si="17"/>
        <v>32818.827539999998</v>
      </c>
      <c r="K30" s="307">
        <f t="shared" si="15"/>
        <v>8.3843533777541113E-2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37"/>
      <c r="B31" s="437"/>
      <c r="C31" s="154" t="s">
        <v>7</v>
      </c>
      <c r="D31" s="313">
        <f t="shared" si="10"/>
        <v>100912</v>
      </c>
      <c r="E31" s="129">
        <f>E10+E17+E24</f>
        <v>3198.9217800000001</v>
      </c>
      <c r="F31" s="129">
        <f t="shared" si="16"/>
        <v>35071.422409999999</v>
      </c>
      <c r="G31" s="307">
        <f t="shared" si="12"/>
        <v>0.11000521665470694</v>
      </c>
      <c r="H31" s="307">
        <f t="shared" si="13"/>
        <v>-0.30584612353612428</v>
      </c>
      <c r="I31" s="313">
        <f>I10+I17+I24</f>
        <v>4608.3755899999996</v>
      </c>
      <c r="J31" s="129">
        <f t="shared" si="17"/>
        <v>50058.634590000001</v>
      </c>
      <c r="K31" s="307">
        <f t="shared" si="15"/>
        <v>0.12788256122225924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37"/>
      <c r="B32" s="437"/>
      <c r="C32" s="154" t="s">
        <v>93</v>
      </c>
      <c r="D32" s="313">
        <f t="shared" si="10"/>
        <v>17</v>
      </c>
      <c r="E32" s="129">
        <f>E11+E18+E25</f>
        <v>1063.538</v>
      </c>
      <c r="F32" s="129">
        <f t="shared" si="16"/>
        <v>11659.63</v>
      </c>
      <c r="G32" s="307">
        <f t="shared" si="12"/>
        <v>3.6573175637484238E-2</v>
      </c>
      <c r="H32" s="307">
        <f>(E32-I32)/I32</f>
        <v>-3.7017586590620821E-2</v>
      </c>
      <c r="I32" s="313">
        <f>I11+I18+I25</f>
        <v>1104.421</v>
      </c>
      <c r="J32" s="129">
        <f t="shared" si="17"/>
        <v>11979.49</v>
      </c>
      <c r="K32" s="307">
        <f t="shared" si="15"/>
        <v>3.06477159661478E-2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37"/>
      <c r="B33" s="437"/>
      <c r="C33" s="154" t="s">
        <v>94</v>
      </c>
      <c r="D33" s="313"/>
      <c r="E33" s="129">
        <f t="shared" si="16"/>
        <v>640.17599999999993</v>
      </c>
      <c r="F33" s="129">
        <f t="shared" si="16"/>
        <v>7018.4650000000001</v>
      </c>
      <c r="G33" s="307">
        <f t="shared" si="12"/>
        <v>2.2014511269839072E-2</v>
      </c>
      <c r="H33" s="307">
        <f t="shared" ref="H33" si="18">(E33-I33)/I33</f>
        <v>-3.2206567091975703E-2</v>
      </c>
      <c r="I33" s="313">
        <f t="shared" ref="I33:J33" si="19">I12+I19+I26</f>
        <v>661.48</v>
      </c>
      <c r="J33" s="129">
        <f t="shared" si="19"/>
        <v>7190.4274000000005</v>
      </c>
      <c r="K33" s="307">
        <f t="shared" si="15"/>
        <v>1.8356089894422008E-2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42"/>
      <c r="B34" s="442"/>
      <c r="C34" s="318" t="s">
        <v>0</v>
      </c>
      <c r="D34" s="321">
        <f>SUM(D28:D33)</f>
        <v>111959</v>
      </c>
      <c r="E34" s="319">
        <f>SUM(E28:E33)</f>
        <v>29079.728010000003</v>
      </c>
      <c r="F34" s="319">
        <f>SUM(F28:F33)</f>
        <v>318813.67364000005</v>
      </c>
      <c r="G34" s="320">
        <f>SUM(G28:G33)</f>
        <v>0.99999999999999989</v>
      </c>
      <c r="H34" s="320">
        <f>(E34-I34)/I34</f>
        <v>-0.19303667313161152</v>
      </c>
      <c r="I34" s="321">
        <f>SUM(I28:I33)</f>
        <v>36035.996980000004</v>
      </c>
      <c r="J34" s="319">
        <f>SUM(J28:J33)</f>
        <v>391262.66164000001</v>
      </c>
      <c r="K34" s="320">
        <f>SUM(K28:K33)</f>
        <v>1</v>
      </c>
      <c r="M34" s="89"/>
      <c r="N34" s="89"/>
      <c r="O34" s="89"/>
      <c r="P34" s="89"/>
      <c r="Q34" s="89"/>
      <c r="R34" s="89"/>
      <c r="S34" s="89"/>
    </row>
    <row r="35" spans="1:20" ht="20.100000000000001" customHeight="1">
      <c r="A35" s="126"/>
      <c r="B35" s="303"/>
      <c r="C35" s="101"/>
      <c r="D35" s="88"/>
      <c r="E35" s="88"/>
      <c r="F35" s="88"/>
      <c r="G35" s="497" t="s">
        <v>272</v>
      </c>
      <c r="H35" s="497"/>
      <c r="I35" s="497"/>
      <c r="J35" s="497"/>
      <c r="K35" s="497"/>
    </row>
    <row r="36" spans="1:20" ht="15" customHeight="1">
      <c r="A36" s="489" t="s">
        <v>271</v>
      </c>
      <c r="B36" s="489"/>
      <c r="C36" s="489"/>
      <c r="D36" s="489"/>
      <c r="E36" s="489"/>
      <c r="F36" s="119"/>
      <c r="G36" s="497"/>
      <c r="H36" s="497"/>
      <c r="I36" s="497"/>
      <c r="J36" s="497"/>
      <c r="K36" s="497"/>
      <c r="M36" s="93"/>
      <c r="N36" s="93"/>
      <c r="O36" s="93"/>
      <c r="P36" s="93"/>
      <c r="Q36" s="93"/>
      <c r="R36" s="93"/>
      <c r="S36" s="93"/>
    </row>
    <row r="37" spans="1:20" ht="15" customHeight="1">
      <c r="A37" s="490" t="str">
        <f>A28</f>
        <v>III. čtvrtletí</v>
      </c>
      <c r="B37" s="491"/>
      <c r="C37" s="491"/>
      <c r="D37" s="491"/>
      <c r="E37" s="491"/>
      <c r="F37" s="125"/>
      <c r="G37" s="492" t="str">
        <f>A28</f>
        <v>III. čtvrtletí</v>
      </c>
      <c r="H37" s="492"/>
      <c r="I37" s="492"/>
      <c r="J37" s="492"/>
      <c r="K37" s="492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2023</v>
      </c>
      <c r="D41" s="94">
        <f>I3</f>
        <v>2022</v>
      </c>
      <c r="E41" s="76"/>
      <c r="F41" s="76"/>
      <c r="G41" s="76"/>
      <c r="H41" s="94"/>
      <c r="I41" s="94">
        <f>D3</f>
        <v>2023</v>
      </c>
      <c r="J41" s="94">
        <f>I3</f>
        <v>2022</v>
      </c>
      <c r="K41" s="94"/>
    </row>
    <row r="42" spans="1:20" ht="15" customHeight="1">
      <c r="A42" s="94"/>
      <c r="B42" s="94" t="str">
        <f>A7</f>
        <v>Červenec</v>
      </c>
      <c r="C42" s="78">
        <f>E13</f>
        <v>8753.857</v>
      </c>
      <c r="D42" s="78">
        <f>I13</f>
        <v>10145.726989999999</v>
      </c>
      <c r="E42" s="76"/>
      <c r="F42" s="76"/>
      <c r="G42" s="76"/>
      <c r="H42" s="94" t="str">
        <f>A7</f>
        <v>Červenec</v>
      </c>
      <c r="I42" s="95">
        <f>E13/E34</f>
        <v>0.30102953497328805</v>
      </c>
      <c r="J42" s="95">
        <f>I13/I34</f>
        <v>0.2815442291115432</v>
      </c>
      <c r="K42" s="94"/>
    </row>
    <row r="43" spans="1:20" ht="15" customHeight="1">
      <c r="A43" s="94"/>
      <c r="B43" s="94" t="str">
        <f>A14</f>
        <v>Srpen</v>
      </c>
      <c r="C43" s="78">
        <f>E20</f>
        <v>9990.63501</v>
      </c>
      <c r="D43" s="78">
        <f>I20</f>
        <v>10659.31</v>
      </c>
      <c r="E43" s="76"/>
      <c r="F43" s="76"/>
      <c r="G43" s="76"/>
      <c r="H43" s="94" t="str">
        <f>A14</f>
        <v>Srpen</v>
      </c>
      <c r="I43" s="95">
        <f>E20/E34</f>
        <v>0.3435601256849582</v>
      </c>
      <c r="J43" s="95">
        <f>I20/I34</f>
        <v>0.29579617308537132</v>
      </c>
      <c r="K43" s="94"/>
    </row>
    <row r="44" spans="1:20" ht="15" customHeight="1">
      <c r="A44" s="94"/>
      <c r="B44" s="94" t="str">
        <f>A21</f>
        <v>Září</v>
      </c>
      <c r="C44" s="78">
        <f>E27</f>
        <v>10335.236000000001</v>
      </c>
      <c r="D44" s="78">
        <f>I27</f>
        <v>15230.959989999999</v>
      </c>
      <c r="E44" s="76"/>
      <c r="F44" s="76"/>
      <c r="G44" s="76"/>
      <c r="H44" s="94" t="str">
        <f>A21</f>
        <v>Září</v>
      </c>
      <c r="I44" s="95">
        <f>E27/E34</f>
        <v>0.3554103393417537</v>
      </c>
      <c r="J44" s="95">
        <f>I27/I34</f>
        <v>0.42265959780308532</v>
      </c>
      <c r="K44" s="94"/>
    </row>
    <row r="45" spans="1:20" ht="15" customHeight="1">
      <c r="A45" s="94"/>
      <c r="B45" s="94"/>
      <c r="C45" s="78">
        <f>SUM(C42:C44)</f>
        <v>29079.728010000003</v>
      </c>
      <c r="D45" s="78">
        <f>SUM(D42:D44)</f>
        <v>36035.996979999996</v>
      </c>
      <c r="E45" s="94"/>
      <c r="F45" s="94"/>
      <c r="G45" s="94"/>
      <c r="H45" s="94"/>
      <c r="I45" s="96">
        <f>SUM(I42:I44)</f>
        <v>0.99999999999999989</v>
      </c>
      <c r="J45" s="96">
        <f>SUM(J42:J44)</f>
        <v>0.99999999999999978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1:K1"/>
    <mergeCell ref="A2:C2"/>
    <mergeCell ref="I3:K4"/>
    <mergeCell ref="E3:G4"/>
    <mergeCell ref="A3:C4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0"/>
  <sheetViews>
    <sheetView showGridLines="0" zoomScaleNormal="100" zoomScaleSheetLayoutView="100" workbookViewId="0">
      <selection activeCell="G1" sqref="G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71" t="s">
        <v>301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21" ht="6" customHeight="1">
      <c r="A2" s="477"/>
      <c r="B2" s="477"/>
      <c r="C2" s="477"/>
      <c r="D2" s="315"/>
      <c r="E2" s="315"/>
      <c r="F2" s="316"/>
      <c r="G2" s="317"/>
      <c r="H2" s="317"/>
      <c r="I2" s="317"/>
      <c r="J2" s="279"/>
      <c r="K2" s="279"/>
    </row>
    <row r="3" spans="1:21" ht="15" customHeight="1">
      <c r="A3" s="487" t="s">
        <v>34</v>
      </c>
      <c r="B3" s="487"/>
      <c r="C3" s="487"/>
      <c r="D3" s="341">
        <f>'3.1'!A4</f>
        <v>2023</v>
      </c>
      <c r="E3" s="482"/>
      <c r="F3" s="482"/>
      <c r="G3" s="482"/>
      <c r="H3" s="340"/>
      <c r="I3" s="481">
        <f>D3-1</f>
        <v>2022</v>
      </c>
      <c r="J3" s="482"/>
      <c r="K3" s="482"/>
    </row>
    <row r="4" spans="1:21" ht="50.1" customHeight="1">
      <c r="A4" s="488"/>
      <c r="B4" s="488"/>
      <c r="C4" s="488"/>
      <c r="D4" s="343"/>
      <c r="E4" s="484"/>
      <c r="F4" s="484"/>
      <c r="G4" s="484"/>
      <c r="H4" s="174"/>
      <c r="I4" s="483"/>
      <c r="J4" s="484"/>
      <c r="K4" s="484"/>
    </row>
    <row r="5" spans="1:21" ht="24.95" customHeight="1">
      <c r="A5" s="487" t="s">
        <v>158</v>
      </c>
      <c r="B5" s="487"/>
      <c r="C5" s="498" t="s">
        <v>184</v>
      </c>
      <c r="D5" s="485" t="s">
        <v>159</v>
      </c>
      <c r="E5" s="479" t="s">
        <v>60</v>
      </c>
      <c r="F5" s="479"/>
      <c r="G5" s="480" t="s">
        <v>33</v>
      </c>
      <c r="H5" s="480" t="s">
        <v>270</v>
      </c>
      <c r="I5" s="478" t="s">
        <v>60</v>
      </c>
      <c r="J5" s="479"/>
      <c r="K5" s="480" t="s">
        <v>33</v>
      </c>
    </row>
    <row r="6" spans="1:21" ht="22.5" customHeight="1">
      <c r="A6" s="488"/>
      <c r="B6" s="488"/>
      <c r="C6" s="499"/>
      <c r="D6" s="486"/>
      <c r="E6" s="219" t="s">
        <v>261</v>
      </c>
      <c r="F6" s="219" t="s">
        <v>262</v>
      </c>
      <c r="G6" s="476"/>
      <c r="H6" s="476"/>
      <c r="I6" s="221" t="s">
        <v>261</v>
      </c>
      <c r="J6" s="219" t="s">
        <v>262</v>
      </c>
      <c r="K6" s="476"/>
    </row>
    <row r="7" spans="1:21" ht="12.95" customHeight="1">
      <c r="A7" s="443" t="str">
        <f>'3.1'!D5</f>
        <v>Červenec</v>
      </c>
      <c r="B7" s="443"/>
      <c r="C7" s="164" t="s">
        <v>4</v>
      </c>
      <c r="D7" s="312">
        <v>95</v>
      </c>
      <c r="E7" s="308">
        <v>42679.443999999996</v>
      </c>
      <c r="F7" s="308">
        <v>467947.71768899995</v>
      </c>
      <c r="G7" s="309">
        <f t="shared" ref="G7:G12" si="0">E7/$E$13</f>
        <v>0.99446336632149235</v>
      </c>
      <c r="H7" s="309">
        <f>(E7-I7)/I7</f>
        <v>0.80580314331464353</v>
      </c>
      <c r="I7" s="312">
        <v>23634.605000000003</v>
      </c>
      <c r="J7" s="308">
        <v>258048.95730100005</v>
      </c>
      <c r="K7" s="309">
        <f>I7/$I$13</f>
        <v>0.97337086674587125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2.95" customHeight="1">
      <c r="A8" s="437"/>
      <c r="B8" s="437"/>
      <c r="C8" s="154" t="s">
        <v>5</v>
      </c>
      <c r="D8" s="313">
        <v>118</v>
      </c>
      <c r="E8" s="129">
        <v>17.661000000000001</v>
      </c>
      <c r="F8" s="129">
        <v>186.64400000000001</v>
      </c>
      <c r="G8" s="307">
        <f t="shared" si="0"/>
        <v>4.1151467466642438E-4</v>
      </c>
      <c r="H8" s="307">
        <f t="shared" ref="H8:H11" si="1">(E8-I8)/I8</f>
        <v>0.37611033193080895</v>
      </c>
      <c r="I8" s="313">
        <v>12.834</v>
      </c>
      <c r="J8" s="129">
        <v>134.762</v>
      </c>
      <c r="K8" s="307">
        <f t="shared" ref="K8:K12" si="2">I8/$I$13</f>
        <v>5.2855724493032616E-4</v>
      </c>
      <c r="L8" s="93"/>
      <c r="M8" s="89"/>
      <c r="N8" s="89"/>
      <c r="O8" s="89"/>
      <c r="P8" s="89"/>
      <c r="Q8" s="89"/>
      <c r="R8" s="89"/>
      <c r="S8" s="89"/>
    </row>
    <row r="9" spans="1:21" ht="12.95" customHeight="1">
      <c r="A9" s="437"/>
      <c r="B9" s="437"/>
      <c r="C9" s="154" t="s">
        <v>6</v>
      </c>
      <c r="D9" s="313">
        <v>1163</v>
      </c>
      <c r="E9" s="129">
        <v>100.86600000000001</v>
      </c>
      <c r="F9" s="129">
        <v>1059.2585000000001</v>
      </c>
      <c r="G9" s="307">
        <f t="shared" si="0"/>
        <v>2.3502541857711094E-3</v>
      </c>
      <c r="H9" s="307">
        <f t="shared" si="1"/>
        <v>0.36880674184749451</v>
      </c>
      <c r="I9" s="313">
        <v>73.688999999999993</v>
      </c>
      <c r="J9" s="129">
        <v>784.73700000000053</v>
      </c>
      <c r="K9" s="307">
        <f t="shared" si="2"/>
        <v>3.0348180475043476E-3</v>
      </c>
      <c r="L9" s="93"/>
      <c r="M9" s="89"/>
      <c r="N9" s="89"/>
      <c r="O9" s="89"/>
      <c r="P9" s="89"/>
      <c r="Q9" s="89"/>
      <c r="R9" s="89"/>
      <c r="S9" s="89"/>
    </row>
    <row r="10" spans="1:21" ht="12.95" customHeight="1">
      <c r="A10" s="437"/>
      <c r="B10" s="437"/>
      <c r="C10" s="154" t="s">
        <v>7</v>
      </c>
      <c r="D10" s="313">
        <v>8062</v>
      </c>
      <c r="E10" s="129">
        <v>0</v>
      </c>
      <c r="F10" s="129">
        <v>0</v>
      </c>
      <c r="G10" s="307">
        <f t="shared" si="0"/>
        <v>0</v>
      </c>
      <c r="H10" s="344" t="e">
        <f t="shared" si="1"/>
        <v>#DIV/0!</v>
      </c>
      <c r="I10" s="313">
        <v>0</v>
      </c>
      <c r="J10" s="129">
        <v>0</v>
      </c>
      <c r="K10" s="307">
        <f t="shared" si="2"/>
        <v>0</v>
      </c>
      <c r="L10" s="93"/>
      <c r="M10" s="89"/>
      <c r="N10" s="89"/>
      <c r="O10" s="89"/>
      <c r="P10" s="89"/>
      <c r="Q10" s="89"/>
      <c r="R10" s="89"/>
      <c r="S10" s="89"/>
    </row>
    <row r="11" spans="1:21" ht="12.95" customHeight="1">
      <c r="A11" s="437"/>
      <c r="B11" s="437"/>
      <c r="C11" s="154" t="s">
        <v>93</v>
      </c>
      <c r="D11" s="313">
        <v>6</v>
      </c>
      <c r="E11" s="129">
        <v>5.9619999999999997</v>
      </c>
      <c r="F11" s="129">
        <v>61.76</v>
      </c>
      <c r="G11" s="307">
        <f t="shared" si="0"/>
        <v>1.3891911501960375E-4</v>
      </c>
      <c r="H11" s="307">
        <f t="shared" si="1"/>
        <v>-0.86300866248477737</v>
      </c>
      <c r="I11" s="313">
        <v>43.521000000000001</v>
      </c>
      <c r="J11" s="129">
        <v>452.27</v>
      </c>
      <c r="K11" s="307">
        <f t="shared" si="2"/>
        <v>1.7923749303890232E-3</v>
      </c>
      <c r="L11" s="93"/>
      <c r="M11" s="89"/>
      <c r="N11" s="89"/>
      <c r="O11" s="89"/>
      <c r="P11" s="89"/>
      <c r="Q11" s="89"/>
      <c r="R11" s="89"/>
      <c r="S11" s="89"/>
    </row>
    <row r="12" spans="1:21" ht="12.95" customHeight="1">
      <c r="A12" s="437"/>
      <c r="B12" s="437"/>
      <c r="C12" s="154" t="s">
        <v>96</v>
      </c>
      <c r="D12" s="313">
        <v>0</v>
      </c>
      <c r="E12" s="129">
        <v>113.12703999999943</v>
      </c>
      <c r="F12" s="129">
        <v>1288.7004850000073</v>
      </c>
      <c r="G12" s="307">
        <f t="shared" si="0"/>
        <v>2.635945703050526E-3</v>
      </c>
      <c r="H12" s="307">
        <f>(E12-I12)/I12</f>
        <v>-0.78099206048827385</v>
      </c>
      <c r="I12" s="313">
        <v>516.54309999999941</v>
      </c>
      <c r="J12" s="129">
        <v>5837.0647320000035</v>
      </c>
      <c r="K12" s="307">
        <f t="shared" si="2"/>
        <v>2.1273383031305097E-2</v>
      </c>
      <c r="L12" s="93"/>
      <c r="M12" s="89"/>
      <c r="N12" s="89"/>
      <c r="O12" s="89"/>
      <c r="P12" s="89"/>
      <c r="Q12" s="89"/>
      <c r="R12" s="89"/>
      <c r="S12" s="89"/>
    </row>
    <row r="13" spans="1:21" ht="12.95" customHeight="1">
      <c r="A13" s="442"/>
      <c r="B13" s="442"/>
      <c r="C13" s="318" t="s">
        <v>0</v>
      </c>
      <c r="D13" s="321">
        <v>9444</v>
      </c>
      <c r="E13" s="319">
        <v>42917.060039999997</v>
      </c>
      <c r="F13" s="319">
        <v>470544.08067399991</v>
      </c>
      <c r="G13" s="320">
        <f>SUM(G7:G12)</f>
        <v>0.99999999999999989</v>
      </c>
      <c r="H13" s="320">
        <f>(E13-I13)/I13</f>
        <v>0.76750218289323602</v>
      </c>
      <c r="I13" s="321">
        <v>24281.1921</v>
      </c>
      <c r="J13" s="319">
        <v>265257.79103300004</v>
      </c>
      <c r="K13" s="320">
        <f>SUM(K7:K12)</f>
        <v>1</v>
      </c>
      <c r="L13" s="93"/>
      <c r="M13" s="89"/>
      <c r="N13" s="89"/>
      <c r="O13" s="89"/>
      <c r="P13" s="89"/>
      <c r="Q13" s="89"/>
      <c r="R13" s="89"/>
      <c r="S13" s="89"/>
    </row>
    <row r="14" spans="1:21" ht="12.95" customHeight="1">
      <c r="A14" s="443" t="str">
        <f>'3.1'!E5</f>
        <v>Srpen</v>
      </c>
      <c r="B14" s="443"/>
      <c r="C14" s="164" t="s">
        <v>4</v>
      </c>
      <c r="D14" s="312">
        <v>95</v>
      </c>
      <c r="E14" s="308">
        <v>34231.464999999997</v>
      </c>
      <c r="F14" s="308">
        <v>375445.343223</v>
      </c>
      <c r="G14" s="309">
        <f>E14/$E$20</f>
        <v>0.99085336782213795</v>
      </c>
      <c r="H14" s="309">
        <f>(E14-I14)/I14</f>
        <v>-0.2283892414248028</v>
      </c>
      <c r="I14" s="312">
        <v>44363.644</v>
      </c>
      <c r="J14" s="308">
        <v>482169.09312100004</v>
      </c>
      <c r="K14" s="309">
        <f>I14/$I$20</f>
        <v>0.99273556741639957</v>
      </c>
      <c r="L14" s="93"/>
      <c r="M14" s="89"/>
      <c r="N14" s="89"/>
      <c r="O14" s="89"/>
      <c r="P14" s="89"/>
      <c r="Q14" s="89"/>
      <c r="R14" s="89"/>
      <c r="S14" s="89"/>
    </row>
    <row r="15" spans="1:21" ht="12.95" customHeight="1">
      <c r="A15" s="437"/>
      <c r="B15" s="437"/>
      <c r="C15" s="154" t="s">
        <v>5</v>
      </c>
      <c r="D15" s="313">
        <v>118</v>
      </c>
      <c r="E15" s="129">
        <v>18.856999999999999</v>
      </c>
      <c r="F15" s="129">
        <v>199.60599999999999</v>
      </c>
      <c r="G15" s="307">
        <f t="shared" ref="G15:G19" si="3">E15/$E$20</f>
        <v>5.4582887285198149E-4</v>
      </c>
      <c r="H15" s="307">
        <f t="shared" ref="H15:H17" si="4">(E15-I15)/I15</f>
        <v>-7.309280377506891E-2</v>
      </c>
      <c r="I15" s="313">
        <v>20.344000000000001</v>
      </c>
      <c r="J15" s="129">
        <v>215.00399999999999</v>
      </c>
      <c r="K15" s="307">
        <f t="shared" ref="K15:K19" si="5">I15/$I$20</f>
        <v>4.5524241389005902E-4</v>
      </c>
      <c r="L15" s="97"/>
      <c r="M15" s="89"/>
      <c r="N15" s="89"/>
      <c r="O15" s="89"/>
      <c r="P15" s="89"/>
      <c r="Q15" s="89"/>
      <c r="R15" s="89"/>
      <c r="S15" s="89"/>
    </row>
    <row r="16" spans="1:21" ht="12.95" customHeight="1">
      <c r="A16" s="437"/>
      <c r="B16" s="437"/>
      <c r="C16" s="154" t="s">
        <v>6</v>
      </c>
      <c r="D16" s="313">
        <v>1164</v>
      </c>
      <c r="E16" s="129">
        <v>115.773</v>
      </c>
      <c r="F16" s="129">
        <v>1215.8595</v>
      </c>
      <c r="G16" s="307">
        <f t="shared" si="3"/>
        <v>3.3511293470166229E-3</v>
      </c>
      <c r="H16" s="307">
        <f t="shared" si="4"/>
        <v>0.94982821341956325</v>
      </c>
      <c r="I16" s="313">
        <v>59.376000000000005</v>
      </c>
      <c r="J16" s="129">
        <v>632.40300000000002</v>
      </c>
      <c r="K16" s="307">
        <f>I16/$I$20</f>
        <v>1.328670544983098E-3</v>
      </c>
      <c r="L16" s="93"/>
      <c r="M16" s="89"/>
      <c r="N16" s="89"/>
      <c r="O16" s="89"/>
      <c r="P16" s="89"/>
      <c r="Q16" s="89"/>
      <c r="R16" s="89"/>
      <c r="S16" s="89"/>
    </row>
    <row r="17" spans="1:20" ht="12.95" customHeight="1">
      <c r="A17" s="437"/>
      <c r="B17" s="437"/>
      <c r="C17" s="154" t="s">
        <v>7</v>
      </c>
      <c r="D17" s="313">
        <v>8059</v>
      </c>
      <c r="E17" s="129">
        <v>0</v>
      </c>
      <c r="F17" s="129">
        <v>0</v>
      </c>
      <c r="G17" s="307">
        <f t="shared" si="3"/>
        <v>0</v>
      </c>
      <c r="H17" s="344">
        <f t="shared" si="4"/>
        <v>-1</v>
      </c>
      <c r="I17" s="313">
        <v>1.1679999999999999</v>
      </c>
      <c r="J17" s="129">
        <v>12.113</v>
      </c>
      <c r="K17" s="307">
        <f>I17/$I$20</f>
        <v>2.613660732518624E-5</v>
      </c>
      <c r="L17" s="93"/>
      <c r="M17" s="89"/>
      <c r="N17" s="89"/>
      <c r="O17" s="89"/>
      <c r="P17" s="89"/>
      <c r="Q17" s="89"/>
      <c r="R17" s="89"/>
      <c r="S17" s="89"/>
    </row>
    <row r="18" spans="1:20" ht="12.95" customHeight="1">
      <c r="A18" s="437"/>
      <c r="B18" s="437"/>
      <c r="C18" s="154" t="s">
        <v>93</v>
      </c>
      <c r="D18" s="313">
        <v>6</v>
      </c>
      <c r="E18" s="129">
        <v>9.9420000000000002</v>
      </c>
      <c r="F18" s="129">
        <v>103.28700000000001</v>
      </c>
      <c r="G18" s="307">
        <f t="shared" si="3"/>
        <v>2.8777804814627991E-4</v>
      </c>
      <c r="H18" s="307">
        <f>(E18-I18)/I18</f>
        <v>-0.80293359762140737</v>
      </c>
      <c r="I18" s="313">
        <v>50.45</v>
      </c>
      <c r="J18" s="129">
        <v>523.06600000000003</v>
      </c>
      <c r="K18" s="307">
        <f>I18/$I$20</f>
        <v>1.1289313694825736E-3</v>
      </c>
      <c r="L18" s="93"/>
      <c r="M18" s="89"/>
      <c r="N18" s="89"/>
      <c r="O18" s="89"/>
      <c r="P18" s="89"/>
      <c r="Q18" s="89"/>
      <c r="R18" s="89"/>
      <c r="S18" s="89"/>
    </row>
    <row r="19" spans="1:20" ht="12.95" customHeight="1">
      <c r="A19" s="437"/>
      <c r="B19" s="437"/>
      <c r="C19" s="154" t="s">
        <v>96</v>
      </c>
      <c r="D19" s="313">
        <v>0</v>
      </c>
      <c r="E19" s="129">
        <v>171.42088999999922</v>
      </c>
      <c r="F19" s="129">
        <v>2007.3495680000028</v>
      </c>
      <c r="G19" s="307">
        <f t="shared" si="3"/>
        <v>4.9618959098469053E-3</v>
      </c>
      <c r="H19" s="307">
        <f t="shared" ref="H19" si="6">(E19-I19)/I19</f>
        <v>-0.11317351604905664</v>
      </c>
      <c r="I19" s="313">
        <v>193.29698999999837</v>
      </c>
      <c r="J19" s="129">
        <v>2148.072336000032</v>
      </c>
      <c r="K19" s="307">
        <f t="shared" si="5"/>
        <v>4.3254516479198707E-3</v>
      </c>
      <c r="L19" s="93"/>
      <c r="M19" s="89"/>
      <c r="N19" s="89"/>
      <c r="O19" s="89"/>
      <c r="P19" s="89"/>
      <c r="Q19" s="89"/>
      <c r="R19" s="89"/>
      <c r="S19" s="89"/>
    </row>
    <row r="20" spans="1:20" ht="12.95" customHeight="1">
      <c r="A20" s="442"/>
      <c r="B20" s="442"/>
      <c r="C20" s="318" t="s">
        <v>0</v>
      </c>
      <c r="D20" s="321">
        <v>9442</v>
      </c>
      <c r="E20" s="319">
        <v>34547.457890000005</v>
      </c>
      <c r="F20" s="319">
        <v>378971.44529100007</v>
      </c>
      <c r="G20" s="320">
        <f>SUM(G14:G19)</f>
        <v>0.99999999999999967</v>
      </c>
      <c r="H20" s="320">
        <f>(E20-I20)/I20</f>
        <v>-0.22692350945690296</v>
      </c>
      <c r="I20" s="321">
        <v>44688.278989999984</v>
      </c>
      <c r="J20" s="319">
        <v>485699.75145700009</v>
      </c>
      <c r="K20" s="320">
        <f>SUM(K14:K19)</f>
        <v>1.0000000000000004</v>
      </c>
      <c r="L20" s="93"/>
      <c r="M20" s="89"/>
      <c r="N20" s="89"/>
      <c r="O20" s="89"/>
      <c r="P20" s="89"/>
      <c r="Q20" s="89"/>
      <c r="R20" s="89"/>
      <c r="S20" s="89"/>
    </row>
    <row r="21" spans="1:20" ht="12.95" customHeight="1">
      <c r="A21" s="443" t="str">
        <f>'3.1'!F5</f>
        <v>Září</v>
      </c>
      <c r="B21" s="443"/>
      <c r="C21" s="164" t="s">
        <v>4</v>
      </c>
      <c r="D21" s="312">
        <v>95</v>
      </c>
      <c r="E21" s="308">
        <v>36868.597000000009</v>
      </c>
      <c r="F21" s="308">
        <v>405539.77082999988</v>
      </c>
      <c r="G21" s="309">
        <f>E21/$E$27</f>
        <v>0.99434153098930578</v>
      </c>
      <c r="H21" s="309">
        <f>(E21-I21)/I21</f>
        <v>8.7586557425988781E-2</v>
      </c>
      <c r="I21" s="312">
        <v>33899.46</v>
      </c>
      <c r="J21" s="308">
        <v>372382.50122600002</v>
      </c>
      <c r="K21" s="309">
        <f>I21/$I$27</f>
        <v>0.97834667888099924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2.95" customHeight="1">
      <c r="A22" s="437"/>
      <c r="B22" s="437"/>
      <c r="C22" s="154" t="s">
        <v>5</v>
      </c>
      <c r="D22" s="313">
        <v>122.93899999999999</v>
      </c>
      <c r="E22" s="129">
        <v>17.872</v>
      </c>
      <c r="F22" s="129">
        <v>189.267</v>
      </c>
      <c r="G22" s="307">
        <f t="shared" ref="G22:G26" si="7">E22/$E$27</f>
        <v>4.8200564404012633E-4</v>
      </c>
      <c r="H22" s="307">
        <f t="shared" ref="H22:H26" si="8">(E22-I22)/I22</f>
        <v>-0.2633444623057582</v>
      </c>
      <c r="I22" s="313">
        <v>24.260999999999999</v>
      </c>
      <c r="J22" s="129">
        <v>255.22800000000001</v>
      </c>
      <c r="K22" s="307">
        <f t="shared" ref="K22:K26" si="9">I22/$I$27</f>
        <v>7.001783738245955E-4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37"/>
      <c r="B23" s="437"/>
      <c r="C23" s="154" t="s">
        <v>6</v>
      </c>
      <c r="D23" s="313">
        <v>1171</v>
      </c>
      <c r="E23" s="129">
        <v>115.77500000000001</v>
      </c>
      <c r="F23" s="129">
        <v>1215.8745000000001</v>
      </c>
      <c r="G23" s="307">
        <f t="shared" si="7"/>
        <v>3.1224375245493298E-3</v>
      </c>
      <c r="H23" s="307">
        <f t="shared" si="8"/>
        <v>1.2822251572079084</v>
      </c>
      <c r="I23" s="313">
        <v>50.729000000000006</v>
      </c>
      <c r="J23" s="129">
        <v>539.97104999999999</v>
      </c>
      <c r="K23" s="307">
        <f t="shared" si="9"/>
        <v>1.4640513056241667E-3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37"/>
      <c r="B24" s="437"/>
      <c r="C24" s="154" t="s">
        <v>7</v>
      </c>
      <c r="D24" s="313">
        <v>8043</v>
      </c>
      <c r="E24" s="129">
        <v>0</v>
      </c>
      <c r="F24" s="129">
        <v>0</v>
      </c>
      <c r="G24" s="307">
        <f t="shared" si="7"/>
        <v>0</v>
      </c>
      <c r="H24" s="344" t="e">
        <f t="shared" si="8"/>
        <v>#DIV/0!</v>
      </c>
      <c r="I24" s="313">
        <v>0</v>
      </c>
      <c r="J24" s="129">
        <v>0</v>
      </c>
      <c r="K24" s="307">
        <f t="shared" si="9"/>
        <v>0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37"/>
      <c r="B25" s="437"/>
      <c r="C25" s="154" t="s">
        <v>93</v>
      </c>
      <c r="D25" s="313">
        <v>6</v>
      </c>
      <c r="E25" s="129">
        <v>11.617000000000001</v>
      </c>
      <c r="F25" s="129">
        <v>120.45699999999999</v>
      </c>
      <c r="G25" s="307">
        <f t="shared" si="7"/>
        <v>3.133090626015078E-4</v>
      </c>
      <c r="H25" s="307">
        <f t="shared" si="8"/>
        <v>-0.75077768004633894</v>
      </c>
      <c r="I25" s="313">
        <v>46.613</v>
      </c>
      <c r="J25" s="129">
        <v>484.77499999999998</v>
      </c>
      <c r="K25" s="307">
        <f t="shared" si="9"/>
        <v>1.3452625423142439E-3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37"/>
      <c r="B26" s="437"/>
      <c r="C26" s="154" t="s">
        <v>96</v>
      </c>
      <c r="D26" s="313">
        <v>0</v>
      </c>
      <c r="E26" s="129">
        <v>64.543000000000518</v>
      </c>
      <c r="F26" s="129">
        <v>792.65026300000841</v>
      </c>
      <c r="G26" s="307">
        <f t="shared" si="7"/>
        <v>1.7407167795032521E-3</v>
      </c>
      <c r="H26" s="307">
        <f t="shared" si="8"/>
        <v>-0.89733552253750282</v>
      </c>
      <c r="I26" s="313">
        <v>628.67898999999954</v>
      </c>
      <c r="J26" s="129">
        <v>6886.0240059999787</v>
      </c>
      <c r="K26" s="307">
        <f t="shared" si="9"/>
        <v>1.8143828897237906E-2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42"/>
      <c r="B27" s="442"/>
      <c r="C27" s="318" t="s">
        <v>0</v>
      </c>
      <c r="D27" s="321">
        <v>9437.9390000000003</v>
      </c>
      <c r="E27" s="319">
        <v>37078.40400000001</v>
      </c>
      <c r="F27" s="319">
        <v>407858.01959299983</v>
      </c>
      <c r="G27" s="320">
        <f>SUM(G21:G26)</f>
        <v>1</v>
      </c>
      <c r="H27" s="320">
        <f>(E27-I27)/I27</f>
        <v>7.0091777615571643E-2</v>
      </c>
      <c r="I27" s="321">
        <v>34649.741989999995</v>
      </c>
      <c r="J27" s="319">
        <v>380548.499282</v>
      </c>
      <c r="K27" s="320">
        <f>SUM(K21:K26)</f>
        <v>1.0000000000000002</v>
      </c>
      <c r="M27" s="89"/>
      <c r="N27" s="89"/>
      <c r="O27" s="89"/>
      <c r="P27" s="89"/>
      <c r="Q27" s="89"/>
      <c r="R27" s="89"/>
      <c r="S27" s="89"/>
    </row>
    <row r="28" spans="1:20" ht="12.95" customHeight="1">
      <c r="A28" s="500" t="str">
        <f>'3.1'!G5</f>
        <v>III. čtvrtletí</v>
      </c>
      <c r="B28" s="443"/>
      <c r="C28" s="164" t="s">
        <v>4</v>
      </c>
      <c r="D28" s="312">
        <f>D21</f>
        <v>95</v>
      </c>
      <c r="E28" s="308">
        <f>E7+E14+E21</f>
        <v>113779.50599999999</v>
      </c>
      <c r="F28" s="308">
        <f>F7+F14+F21</f>
        <v>1248932.8317419998</v>
      </c>
      <c r="G28" s="309">
        <f>E28/$E$34</f>
        <v>0.99333511039235978</v>
      </c>
      <c r="H28" s="309">
        <f>(E28-I28)/I28</f>
        <v>0.11660514369366234</v>
      </c>
      <c r="I28" s="312">
        <f>I7+I14+I21</f>
        <v>101897.709</v>
      </c>
      <c r="J28" s="308">
        <f>J7+J14+J21</f>
        <v>1112600.5516480003</v>
      </c>
      <c r="K28" s="309">
        <f>I28/$I$34</f>
        <v>0.9833862463453481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37"/>
      <c r="B29" s="437"/>
      <c r="C29" s="154" t="s">
        <v>5</v>
      </c>
      <c r="D29" s="313">
        <f t="shared" ref="D29:D32" si="10">D22</f>
        <v>122.93899999999999</v>
      </c>
      <c r="E29" s="129">
        <f>E8+E15+E22</f>
        <v>54.39</v>
      </c>
      <c r="F29" s="129">
        <f t="shared" ref="F29" si="11">F8+F15+F22</f>
        <v>575.51700000000005</v>
      </c>
      <c r="G29" s="307">
        <f t="shared" ref="G29:G33" si="12">E29/$E$34</f>
        <v>4.748438321945294E-4</v>
      </c>
      <c r="H29" s="307">
        <f t="shared" ref="H29:H31" si="13">(E29-I29)/I29</f>
        <v>-5.3082400459617901E-2</v>
      </c>
      <c r="I29" s="313">
        <f>I8+I15+I22</f>
        <v>57.438999999999993</v>
      </c>
      <c r="J29" s="129">
        <f t="shared" ref="J29" si="14">J8+J15+J22</f>
        <v>604.99399999999991</v>
      </c>
      <c r="K29" s="307">
        <f t="shared" ref="K29:K33" si="15">I29/$I$34</f>
        <v>5.5432769939734805E-4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37"/>
      <c r="B30" s="437"/>
      <c r="C30" s="154" t="s">
        <v>6</v>
      </c>
      <c r="D30" s="313">
        <f t="shared" si="10"/>
        <v>1171</v>
      </c>
      <c r="E30" s="129">
        <f t="shared" ref="E30:F33" si="16">E9+E16+E23</f>
        <v>332.41399999999999</v>
      </c>
      <c r="F30" s="129">
        <f t="shared" si="16"/>
        <v>3490.9925000000003</v>
      </c>
      <c r="G30" s="307">
        <f t="shared" si="12"/>
        <v>2.9020911497538572E-3</v>
      </c>
      <c r="H30" s="307">
        <f t="shared" si="13"/>
        <v>0.80862269715006996</v>
      </c>
      <c r="I30" s="313">
        <f t="shared" ref="I30:J32" si="17">I9+I16+I23</f>
        <v>183.79400000000001</v>
      </c>
      <c r="J30" s="129">
        <f t="shared" si="17"/>
        <v>1957.1110500000004</v>
      </c>
      <c r="K30" s="307">
        <f t="shared" si="15"/>
        <v>1.7737444102967706E-3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37"/>
      <c r="B31" s="437"/>
      <c r="C31" s="154" t="s">
        <v>7</v>
      </c>
      <c r="D31" s="313">
        <f t="shared" si="10"/>
        <v>8043</v>
      </c>
      <c r="E31" s="129">
        <f>E10+E17+E24</f>
        <v>0</v>
      </c>
      <c r="F31" s="129">
        <f t="shared" si="16"/>
        <v>0</v>
      </c>
      <c r="G31" s="307">
        <f t="shared" si="12"/>
        <v>0</v>
      </c>
      <c r="H31" s="344">
        <f t="shared" si="13"/>
        <v>-1</v>
      </c>
      <c r="I31" s="313">
        <f>I10+I17+I24</f>
        <v>1.1679999999999999</v>
      </c>
      <c r="J31" s="129">
        <f t="shared" si="17"/>
        <v>12.113</v>
      </c>
      <c r="K31" s="307">
        <f t="shared" si="15"/>
        <v>1.1272040824110839E-5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37"/>
      <c r="B32" s="437"/>
      <c r="C32" s="154" t="s">
        <v>93</v>
      </c>
      <c r="D32" s="313">
        <f t="shared" si="10"/>
        <v>6</v>
      </c>
      <c r="E32" s="129">
        <f>E11+E18+E25</f>
        <v>27.521000000000001</v>
      </c>
      <c r="F32" s="129">
        <f t="shared" si="16"/>
        <v>285.50400000000002</v>
      </c>
      <c r="G32" s="307">
        <f t="shared" si="12"/>
        <v>2.4026801077083369E-4</v>
      </c>
      <c r="H32" s="307">
        <f>(E32-I32)/I32</f>
        <v>-0.80423803562283047</v>
      </c>
      <c r="I32" s="313">
        <f>I11+I18+I25</f>
        <v>140.584</v>
      </c>
      <c r="J32" s="129">
        <f t="shared" si="17"/>
        <v>1460.1109999999999</v>
      </c>
      <c r="K32" s="307">
        <f t="shared" si="15"/>
        <v>1.3567368041239713E-3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37"/>
      <c r="B33" s="437"/>
      <c r="C33" s="154" t="s">
        <v>96</v>
      </c>
      <c r="D33" s="313"/>
      <c r="E33" s="129">
        <f t="shared" si="16"/>
        <v>349.09092999999916</v>
      </c>
      <c r="F33" s="129">
        <f t="shared" si="16"/>
        <v>4088.7003160000186</v>
      </c>
      <c r="G33" s="307">
        <f t="shared" si="12"/>
        <v>3.0476866149209748E-3</v>
      </c>
      <c r="H33" s="307">
        <f t="shared" ref="H33" si="18">(E33-I33)/I33</f>
        <v>-0.73919614952369606</v>
      </c>
      <c r="I33" s="313">
        <f t="shared" ref="I33:J33" si="19">I12+I19+I26</f>
        <v>1338.5190799999973</v>
      </c>
      <c r="J33" s="129">
        <f t="shared" si="19"/>
        <v>14871.161074000014</v>
      </c>
      <c r="K33" s="307">
        <f t="shared" si="15"/>
        <v>1.2917672700009635E-2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42"/>
      <c r="B34" s="442"/>
      <c r="C34" s="318" t="s">
        <v>0</v>
      </c>
      <c r="D34" s="321">
        <f>SUM(D28:D33)</f>
        <v>9437.9390000000003</v>
      </c>
      <c r="E34" s="319">
        <f>SUM(E28:E33)</f>
        <v>114542.92193</v>
      </c>
      <c r="F34" s="319">
        <f>SUM(F28:F33)</f>
        <v>1257373.5455579998</v>
      </c>
      <c r="G34" s="320">
        <f>SUM(G28:G33)</f>
        <v>0.99999999999999989</v>
      </c>
      <c r="H34" s="320">
        <f>(E34-I34)/I34</f>
        <v>0.10542165420196989</v>
      </c>
      <c r="I34" s="321">
        <f>SUM(I28:I33)</f>
        <v>103619.21308</v>
      </c>
      <c r="J34" s="319">
        <f>SUM(J28:J33)</f>
        <v>1131506.041772</v>
      </c>
      <c r="K34" s="320">
        <f>SUM(K28:K33)</f>
        <v>0.99999999999999989</v>
      </c>
      <c r="M34" s="89"/>
      <c r="N34" s="89"/>
      <c r="O34" s="89"/>
      <c r="P34" s="89"/>
      <c r="Q34" s="89"/>
      <c r="R34" s="89"/>
      <c r="S34" s="89"/>
    </row>
    <row r="35" spans="1:20" ht="12.95" customHeight="1">
      <c r="A35" s="126"/>
      <c r="B35" s="303"/>
      <c r="C35" s="101"/>
      <c r="D35" s="88"/>
      <c r="E35" s="88"/>
      <c r="F35" s="88"/>
      <c r="G35" s="497" t="s">
        <v>272</v>
      </c>
      <c r="H35" s="497"/>
      <c r="I35" s="497"/>
      <c r="J35" s="497"/>
      <c r="K35" s="497"/>
    </row>
    <row r="36" spans="1:20" ht="15" customHeight="1">
      <c r="A36" s="489" t="s">
        <v>271</v>
      </c>
      <c r="B36" s="489"/>
      <c r="C36" s="489"/>
      <c r="D36" s="489"/>
      <c r="E36" s="489"/>
      <c r="F36" s="119"/>
      <c r="G36" s="497"/>
      <c r="H36" s="497"/>
      <c r="I36" s="497"/>
      <c r="J36" s="497"/>
      <c r="K36" s="497"/>
      <c r="M36" s="93"/>
      <c r="N36" s="93"/>
      <c r="O36" s="93"/>
      <c r="P36" s="93"/>
      <c r="Q36" s="93"/>
      <c r="R36" s="93"/>
      <c r="S36" s="93"/>
    </row>
    <row r="37" spans="1:20" ht="15" customHeight="1">
      <c r="A37" s="490" t="str">
        <f>A28</f>
        <v>III. čtvrtletí</v>
      </c>
      <c r="B37" s="490"/>
      <c r="C37" s="490"/>
      <c r="D37" s="490"/>
      <c r="E37" s="490"/>
      <c r="F37" s="125"/>
      <c r="G37" s="492" t="str">
        <f>A28</f>
        <v>III. čtvrtletí</v>
      </c>
      <c r="H37" s="492"/>
      <c r="I37" s="492"/>
      <c r="J37" s="492"/>
      <c r="K37" s="492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2023</v>
      </c>
      <c r="D41" s="94">
        <f>I3</f>
        <v>2022</v>
      </c>
      <c r="E41" s="76"/>
      <c r="F41" s="76"/>
      <c r="G41" s="76"/>
      <c r="H41" s="94"/>
      <c r="I41" s="94">
        <f>D3</f>
        <v>2023</v>
      </c>
      <c r="J41" s="94">
        <f>I3</f>
        <v>2022</v>
      </c>
      <c r="K41" s="94"/>
    </row>
    <row r="42" spans="1:20" ht="15" customHeight="1">
      <c r="A42" s="94"/>
      <c r="B42" s="94" t="str">
        <f>A7</f>
        <v>Červenec</v>
      </c>
      <c r="C42" s="78">
        <f>E13</f>
        <v>42917.060039999997</v>
      </c>
      <c r="D42" s="78">
        <f>I13</f>
        <v>24281.1921</v>
      </c>
      <c r="E42" s="76"/>
      <c r="F42" s="76"/>
      <c r="G42" s="76"/>
      <c r="H42" s="94" t="str">
        <f>A7</f>
        <v>Červenec</v>
      </c>
      <c r="I42" s="95">
        <f>E13/E34</f>
        <v>0.37468103062909175</v>
      </c>
      <c r="J42" s="95">
        <f>I13/I34</f>
        <v>0.23433098339835415</v>
      </c>
      <c r="K42" s="94"/>
    </row>
    <row r="43" spans="1:20" ht="15" customHeight="1">
      <c r="A43" s="94"/>
      <c r="B43" s="94" t="str">
        <f>A14</f>
        <v>Srpen</v>
      </c>
      <c r="C43" s="78">
        <f>E20</f>
        <v>34547.457890000005</v>
      </c>
      <c r="D43" s="78">
        <f>I20</f>
        <v>44688.278989999984</v>
      </c>
      <c r="E43" s="76"/>
      <c r="F43" s="76"/>
      <c r="G43" s="76"/>
      <c r="H43" s="94" t="str">
        <f>A14</f>
        <v>Srpen</v>
      </c>
      <c r="I43" s="95">
        <f>E20/E34</f>
        <v>0.30161145977324383</v>
      </c>
      <c r="J43" s="95">
        <f>I20/I34</f>
        <v>0.4312740626151837</v>
      </c>
      <c r="K43" s="94"/>
    </row>
    <row r="44" spans="1:20" ht="15" customHeight="1">
      <c r="A44" s="94"/>
      <c r="B44" s="94" t="str">
        <f>A21</f>
        <v>Září</v>
      </c>
      <c r="C44" s="78">
        <f>E27</f>
        <v>37078.40400000001</v>
      </c>
      <c r="D44" s="78">
        <f>I27</f>
        <v>34649.741989999995</v>
      </c>
      <c r="E44" s="76"/>
      <c r="F44" s="76"/>
      <c r="G44" s="76"/>
      <c r="H44" s="94" t="str">
        <f>A21</f>
        <v>Září</v>
      </c>
      <c r="I44" s="95">
        <f>E27/E34</f>
        <v>0.32370750959766448</v>
      </c>
      <c r="J44" s="95">
        <f>I27/I34</f>
        <v>0.33439495398646191</v>
      </c>
      <c r="K44" s="94"/>
    </row>
    <row r="45" spans="1:20" ht="15" customHeight="1">
      <c r="A45" s="94"/>
      <c r="B45" s="94"/>
      <c r="C45" s="78">
        <f>SUM(C42:C44)</f>
        <v>114542.92193000001</v>
      </c>
      <c r="D45" s="78">
        <f>SUM(D42:D44)</f>
        <v>103619.21307999997</v>
      </c>
      <c r="E45" s="94"/>
      <c r="F45" s="94"/>
      <c r="G45" s="94"/>
      <c r="H45" s="94"/>
      <c r="I45" s="96">
        <f>SUM(I42:I44)</f>
        <v>1</v>
      </c>
      <c r="J45" s="96">
        <f>SUM(J42:J44)</f>
        <v>0.99999999999999978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503" t="s">
        <v>202</v>
      </c>
      <c r="B52" s="503"/>
      <c r="C52" s="503"/>
      <c r="D52" s="503"/>
      <c r="E52" s="503"/>
      <c r="F52" s="503"/>
      <c r="G52" s="503"/>
      <c r="H52" s="503"/>
      <c r="I52" s="503"/>
      <c r="J52" s="503"/>
      <c r="K52" s="503"/>
    </row>
    <row r="53" spans="1:11" ht="15" customHeight="1">
      <c r="A53" s="503"/>
      <c r="B53" s="503"/>
      <c r="C53" s="503"/>
      <c r="D53" s="503"/>
      <c r="E53" s="503"/>
      <c r="F53" s="503"/>
      <c r="G53" s="503"/>
      <c r="H53" s="503"/>
      <c r="I53" s="503"/>
      <c r="J53" s="503"/>
      <c r="K53" s="503"/>
    </row>
    <row r="54" spans="1:11" ht="15" customHeight="1">
      <c r="A54" s="503"/>
      <c r="B54" s="503"/>
      <c r="C54" s="503"/>
      <c r="D54" s="503"/>
      <c r="E54" s="503"/>
      <c r="F54" s="503"/>
      <c r="G54" s="503"/>
      <c r="H54" s="503"/>
      <c r="I54" s="503"/>
      <c r="J54" s="503"/>
      <c r="K54" s="503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/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22">
    <mergeCell ref="A52:K54"/>
    <mergeCell ref="A7:B13"/>
    <mergeCell ref="A14:B20"/>
    <mergeCell ref="A21:B27"/>
    <mergeCell ref="A28:B34"/>
    <mergeCell ref="A36:E36"/>
    <mergeCell ref="G35:K36"/>
    <mergeCell ref="E3:G4"/>
    <mergeCell ref="A37:E37"/>
    <mergeCell ref="G37:K37"/>
    <mergeCell ref="A1:K1"/>
    <mergeCell ref="A2:C2"/>
    <mergeCell ref="I3:K4"/>
    <mergeCell ref="A3:C4"/>
    <mergeCell ref="D5:D6"/>
    <mergeCell ref="C5:C6"/>
    <mergeCell ref="A5:B6"/>
    <mergeCell ref="G5:G6"/>
    <mergeCell ref="H5:H6"/>
    <mergeCell ref="K5:K6"/>
    <mergeCell ref="E5:F5"/>
    <mergeCell ref="I5:J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4 H10" evalError="1"/>
    <ignoredError sqref="H34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zoomScaleNormal="100" zoomScaleSheetLayoutView="100" workbookViewId="0">
      <selection activeCell="G1" sqref="G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9" t="str">
        <f>"5.6 Spotřeba zemního plynu a teplota ovzduší: "&amp;LOWER(A3)</f>
        <v>5.6 Spotřeba zemního plynu a teplota ovzduší: červenec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6" customHeight="1">
      <c r="A2" s="513"/>
      <c r="B2" s="513"/>
      <c r="C2" s="300"/>
      <c r="D2" s="301"/>
      <c r="E2" s="302"/>
      <c r="F2" s="302"/>
      <c r="G2" s="302"/>
      <c r="H2" s="302"/>
      <c r="I2" s="76"/>
      <c r="J2" s="76"/>
      <c r="K2" s="76"/>
    </row>
    <row r="3" spans="1:11" ht="18.75" customHeight="1">
      <c r="A3" s="516" t="str">
        <f>'3.1'!D5</f>
        <v>Červenec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</row>
    <row r="4" spans="1:11" ht="24.95" customHeight="1">
      <c r="A4" s="128"/>
      <c r="B4" s="252">
        <f>'3.1'!A4</f>
        <v>2023</v>
      </c>
      <c r="C4" s="510" t="s">
        <v>60</v>
      </c>
      <c r="D4" s="511"/>
      <c r="E4" s="511"/>
      <c r="F4" s="512"/>
      <c r="G4" s="510" t="s">
        <v>186</v>
      </c>
      <c r="H4" s="511"/>
      <c r="I4" s="511"/>
      <c r="J4" s="511"/>
      <c r="K4" s="511"/>
    </row>
    <row r="5" spans="1:11" ht="22.5">
      <c r="A5" s="272"/>
      <c r="B5" s="480" t="s">
        <v>185</v>
      </c>
      <c r="C5" s="345"/>
      <c r="D5" s="346"/>
      <c r="E5" s="480" t="s">
        <v>279</v>
      </c>
      <c r="F5" s="514" t="s">
        <v>282</v>
      </c>
      <c r="G5" s="347" t="s">
        <v>62</v>
      </c>
      <c r="H5" s="348" t="s">
        <v>173</v>
      </c>
      <c r="I5" s="348" t="s">
        <v>174</v>
      </c>
      <c r="J5" s="348" t="s">
        <v>280</v>
      </c>
      <c r="K5" s="348" t="s">
        <v>281</v>
      </c>
    </row>
    <row r="6" spans="1:11" ht="24.95" customHeight="1">
      <c r="A6" s="349" t="s">
        <v>283</v>
      </c>
      <c r="B6" s="476"/>
      <c r="C6" s="221" t="s">
        <v>261</v>
      </c>
      <c r="D6" s="219" t="s">
        <v>262</v>
      </c>
      <c r="E6" s="476"/>
      <c r="F6" s="515"/>
      <c r="G6" s="350" t="s">
        <v>230</v>
      </c>
      <c r="H6" s="351" t="s">
        <v>230</v>
      </c>
      <c r="I6" s="351" t="s">
        <v>230</v>
      </c>
      <c r="J6" s="351" t="s">
        <v>230</v>
      </c>
      <c r="K6" s="351" t="s">
        <v>230</v>
      </c>
    </row>
    <row r="7" spans="1:11" ht="15.95" customHeight="1">
      <c r="A7" s="154" t="s">
        <v>20</v>
      </c>
      <c r="B7" s="129">
        <f>'5.2'!D13</f>
        <v>403764</v>
      </c>
      <c r="C7" s="313">
        <f>'5.2'!E13</f>
        <v>18360.978347389762</v>
      </c>
      <c r="D7" s="129">
        <f>'5.2'!F13</f>
        <v>201535.32810167197</v>
      </c>
      <c r="E7" s="307">
        <f>C7/$C$11</f>
        <v>6.5309746542200647E-2</v>
      </c>
      <c r="F7" s="332">
        <f>'5.2'!H13</f>
        <v>-2.5619085880686204E-2</v>
      </c>
      <c r="G7" s="330">
        <v>21.64516129032258</v>
      </c>
      <c r="H7" s="324">
        <v>29.1</v>
      </c>
      <c r="I7" s="324">
        <v>15.5</v>
      </c>
      <c r="J7" s="324">
        <v>18.7</v>
      </c>
      <c r="K7" s="324">
        <v>2.9451612903225808</v>
      </c>
    </row>
    <row r="8" spans="1:11" ht="15.95" customHeight="1">
      <c r="A8" s="154" t="s">
        <v>87</v>
      </c>
      <c r="B8" s="129">
        <f>'5.3'!D13</f>
        <v>2235824</v>
      </c>
      <c r="C8" s="313">
        <f>'5.3'!E13</f>
        <v>211104.98416741923</v>
      </c>
      <c r="D8" s="129">
        <f>'5.3'!F13</f>
        <v>2313451.7958700005</v>
      </c>
      <c r="E8" s="307">
        <f t="shared" ref="E8:E10" si="0">C8/$C$11</f>
        <v>0.75089751476829392</v>
      </c>
      <c r="F8" s="332">
        <f>'5.3'!H13</f>
        <v>-0.1028069470151972</v>
      </c>
      <c r="G8" s="330">
        <v>19.789784946236551</v>
      </c>
      <c r="H8" s="325">
        <v>26.066666666666666</v>
      </c>
      <c r="I8" s="325">
        <v>13.549999999999999</v>
      </c>
      <c r="J8" s="325">
        <v>17.583333333333329</v>
      </c>
      <c r="K8" s="324">
        <v>2.2064516129032228</v>
      </c>
    </row>
    <row r="9" spans="1:11" ht="15.95" customHeight="1">
      <c r="A9" s="154" t="s">
        <v>211</v>
      </c>
      <c r="B9" s="129">
        <f>'5.4'!D13</f>
        <v>112107</v>
      </c>
      <c r="C9" s="313">
        <f>'5.4'!E13</f>
        <v>8753.857</v>
      </c>
      <c r="D9" s="129">
        <f>'5.4'!F13</f>
        <v>95920.438610000012</v>
      </c>
      <c r="E9" s="307">
        <f t="shared" si="0"/>
        <v>3.1137348518138454E-2</v>
      </c>
      <c r="F9" s="332">
        <f>'5.4'!H13</f>
        <v>-0.13718780244844725</v>
      </c>
      <c r="G9" s="330">
        <v>19.764516129032259</v>
      </c>
      <c r="H9" s="325">
        <v>26</v>
      </c>
      <c r="I9" s="325">
        <v>13.3</v>
      </c>
      <c r="J9" s="325">
        <v>17.100000000000009</v>
      </c>
      <c r="K9" s="324">
        <v>2.6645161290322505</v>
      </c>
    </row>
    <row r="10" spans="1:11" ht="15.95" customHeight="1">
      <c r="A10" s="154" t="s">
        <v>32</v>
      </c>
      <c r="B10" s="129">
        <f>'5.5'!D13</f>
        <v>9444</v>
      </c>
      <c r="C10" s="313">
        <f>'5.5'!E13</f>
        <v>42917.060039999997</v>
      </c>
      <c r="D10" s="129">
        <f>'5.5'!F13</f>
        <v>470544.08067399991</v>
      </c>
      <c r="E10" s="307">
        <f t="shared" si="0"/>
        <v>0.15265539017136709</v>
      </c>
      <c r="F10" s="332">
        <f>'5.5'!H13</f>
        <v>0.76750218289323602</v>
      </c>
      <c r="G10" s="330">
        <v>19.896774193548385</v>
      </c>
      <c r="H10" s="325">
        <v>26.1</v>
      </c>
      <c r="I10" s="325">
        <v>13.6</v>
      </c>
      <c r="J10" s="325">
        <v>18.522580645161291</v>
      </c>
      <c r="K10" s="324">
        <v>1.374193548387094</v>
      </c>
    </row>
    <row r="11" spans="1:11" ht="15.95" customHeight="1">
      <c r="A11" s="159" t="s">
        <v>3</v>
      </c>
      <c r="B11" s="310">
        <f>SUM(B7:B10)</f>
        <v>2761139</v>
      </c>
      <c r="C11" s="314">
        <f>SUM(C7:C10)</f>
        <v>281136.87955480895</v>
      </c>
      <c r="D11" s="310">
        <f t="shared" ref="D11:E11" si="1">SUM(D7:D10)</f>
        <v>3081451.6432556724</v>
      </c>
      <c r="E11" s="311">
        <f t="shared" si="1"/>
        <v>1</v>
      </c>
      <c r="F11" s="333">
        <f>'5.1'!H14</f>
        <v>-2.5743594441259371E-2</v>
      </c>
      <c r="G11" s="331">
        <v>19.896774193548385</v>
      </c>
      <c r="H11" s="329">
        <v>26.1</v>
      </c>
      <c r="I11" s="329">
        <v>13.6</v>
      </c>
      <c r="J11" s="329">
        <v>18.522580645161291</v>
      </c>
      <c r="K11" s="328">
        <v>1.374193548387094</v>
      </c>
    </row>
    <row r="12" spans="1:11" ht="15" customHeight="1">
      <c r="A12" s="101"/>
      <c r="B12" s="94"/>
      <c r="C12" s="504" t="s">
        <v>241</v>
      </c>
      <c r="D12" s="504"/>
      <c r="E12" s="504"/>
      <c r="F12" s="504"/>
      <c r="G12" s="507" t="s">
        <v>242</v>
      </c>
      <c r="H12" s="507"/>
      <c r="I12" s="507"/>
      <c r="J12" s="507"/>
      <c r="K12" s="507"/>
    </row>
    <row r="13" spans="1:11" ht="15" customHeight="1">
      <c r="A13" s="94"/>
      <c r="B13" s="94"/>
      <c r="C13" s="504"/>
      <c r="D13" s="504"/>
      <c r="E13" s="504"/>
      <c r="F13" s="504"/>
      <c r="G13" s="507" t="s">
        <v>243</v>
      </c>
      <c r="H13" s="507"/>
      <c r="I13" s="507"/>
      <c r="J13" s="507"/>
      <c r="K13" s="507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08" t="s">
        <v>273</v>
      </c>
      <c r="B16" s="508"/>
      <c r="C16" s="508"/>
      <c r="D16" s="508"/>
      <c r="E16" s="508"/>
      <c r="F16" s="508" t="s">
        <v>274</v>
      </c>
      <c r="G16" s="508"/>
      <c r="H16" s="508"/>
      <c r="I16" s="508"/>
      <c r="J16" s="508"/>
      <c r="K16" s="508"/>
    </row>
    <row r="17" spans="1:11" ht="15" customHeight="1">
      <c r="A17" s="508"/>
      <c r="B17" s="508"/>
      <c r="C17" s="508"/>
      <c r="D17" s="508"/>
      <c r="E17" s="508"/>
      <c r="F17" s="508"/>
      <c r="G17" s="508"/>
      <c r="H17" s="508"/>
      <c r="I17" s="508"/>
      <c r="J17" s="508"/>
      <c r="K17" s="508"/>
    </row>
    <row r="18" spans="1:11" ht="15" customHeight="1">
      <c r="A18" s="124"/>
      <c r="B18" s="505"/>
      <c r="C18" s="505"/>
      <c r="D18" s="124"/>
      <c r="E18" s="124"/>
      <c r="F18" s="124"/>
      <c r="G18" s="124"/>
      <c r="H18" s="505"/>
      <c r="I18" s="505"/>
      <c r="J18" s="124"/>
      <c r="K18" s="124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08" t="s">
        <v>275</v>
      </c>
      <c r="B33" s="491"/>
      <c r="C33" s="491"/>
      <c r="D33" s="491"/>
      <c r="E33" s="491"/>
      <c r="F33" s="508" t="s">
        <v>66</v>
      </c>
      <c r="G33" s="508"/>
      <c r="H33" s="508"/>
      <c r="I33" s="508"/>
      <c r="J33" s="508"/>
      <c r="K33" s="508"/>
    </row>
    <row r="34" spans="1:11" ht="15" customHeight="1">
      <c r="A34" s="491"/>
      <c r="B34" s="491"/>
      <c r="C34" s="491"/>
      <c r="D34" s="491"/>
      <c r="E34" s="491"/>
      <c r="F34" s="508"/>
      <c r="G34" s="508"/>
      <c r="H34" s="508"/>
      <c r="I34" s="508"/>
      <c r="J34" s="508"/>
      <c r="K34" s="508"/>
    </row>
    <row r="35" spans="1:11" ht="15" customHeight="1">
      <c r="A35" s="124"/>
      <c r="B35" s="505"/>
      <c r="C35" s="505"/>
      <c r="D35" s="124"/>
      <c r="E35" s="121"/>
      <c r="F35" s="127"/>
      <c r="G35" s="127"/>
      <c r="H35" s="506"/>
      <c r="I35" s="506"/>
      <c r="J35" s="127"/>
      <c r="K35" s="127"/>
    </row>
    <row r="36" spans="1:11" ht="15" customHeight="1">
      <c r="A36" s="124"/>
      <c r="B36" s="124"/>
      <c r="C36" s="124"/>
      <c r="D36" s="124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B5:B6"/>
    <mergeCell ref="C4:F4"/>
    <mergeCell ref="A2:B2"/>
    <mergeCell ref="E5:E6"/>
    <mergeCell ref="F5:F6"/>
    <mergeCell ref="A3:K3"/>
    <mergeCell ref="C12:F13"/>
    <mergeCell ref="B18:C18"/>
    <mergeCell ref="H18:I18"/>
    <mergeCell ref="H35:I35"/>
    <mergeCell ref="B35:C35"/>
    <mergeCell ref="G12:K12"/>
    <mergeCell ref="G13:K13"/>
    <mergeCell ref="F16:K17"/>
    <mergeCell ref="A16:E17"/>
    <mergeCell ref="A33:E34"/>
    <mergeCell ref="F33:K3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zoomScaleNormal="100" zoomScaleSheetLayoutView="100" workbookViewId="0">
      <selection activeCell="G1" sqref="G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9" t="str">
        <f>"5.7 Spotřeba zemního plynu a teplota ovzduší: "&amp;LOWER(A3)</f>
        <v>5.7 Spotřeba zemního plynu a teplota ovzduší: srpen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6" customHeight="1">
      <c r="A2" s="513"/>
      <c r="B2" s="513"/>
      <c r="C2" s="300"/>
      <c r="D2" s="301"/>
      <c r="E2" s="302"/>
      <c r="F2" s="302"/>
      <c r="G2" s="302"/>
      <c r="H2" s="302"/>
      <c r="I2" s="76"/>
      <c r="J2" s="76"/>
      <c r="K2" s="76"/>
    </row>
    <row r="3" spans="1:11" ht="18.75" customHeight="1">
      <c r="A3" s="516" t="str">
        <f>'3.1'!E5</f>
        <v>Srpen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</row>
    <row r="4" spans="1:11" ht="24.95" customHeight="1">
      <c r="A4" s="128"/>
      <c r="B4" s="252">
        <f>'3.1'!A4</f>
        <v>2023</v>
      </c>
      <c r="C4" s="510" t="s">
        <v>60</v>
      </c>
      <c r="D4" s="511"/>
      <c r="E4" s="511"/>
      <c r="F4" s="512"/>
      <c r="G4" s="510" t="s">
        <v>186</v>
      </c>
      <c r="H4" s="511"/>
      <c r="I4" s="511"/>
      <c r="J4" s="511"/>
      <c r="K4" s="511"/>
    </row>
    <row r="5" spans="1:11" ht="22.5">
      <c r="A5" s="272"/>
      <c r="B5" s="480" t="s">
        <v>185</v>
      </c>
      <c r="C5" s="345"/>
      <c r="D5" s="346"/>
      <c r="E5" s="480" t="s">
        <v>279</v>
      </c>
      <c r="F5" s="514" t="s">
        <v>282</v>
      </c>
      <c r="G5" s="347" t="s">
        <v>62</v>
      </c>
      <c r="H5" s="348" t="s">
        <v>173</v>
      </c>
      <c r="I5" s="348" t="s">
        <v>174</v>
      </c>
      <c r="J5" s="348" t="s">
        <v>280</v>
      </c>
      <c r="K5" s="348" t="s">
        <v>281</v>
      </c>
    </row>
    <row r="6" spans="1:11" ht="24.95" customHeight="1">
      <c r="A6" s="349" t="s">
        <v>283</v>
      </c>
      <c r="B6" s="476"/>
      <c r="C6" s="221" t="s">
        <v>261</v>
      </c>
      <c r="D6" s="219" t="s">
        <v>262</v>
      </c>
      <c r="E6" s="476"/>
      <c r="F6" s="515"/>
      <c r="G6" s="350" t="s">
        <v>230</v>
      </c>
      <c r="H6" s="351" t="s">
        <v>230</v>
      </c>
      <c r="I6" s="351" t="s">
        <v>230</v>
      </c>
      <c r="J6" s="351" t="s">
        <v>230</v>
      </c>
      <c r="K6" s="351" t="s">
        <v>230</v>
      </c>
    </row>
    <row r="7" spans="1:11" ht="15.95" customHeight="1">
      <c r="A7" s="154" t="s">
        <v>20</v>
      </c>
      <c r="B7" s="129">
        <f>'5.2'!D20</f>
        <v>403509</v>
      </c>
      <c r="C7" s="313">
        <f>'5.2'!E20</f>
        <v>17394.030885948152</v>
      </c>
      <c r="D7" s="129">
        <f>'5.2'!F20</f>
        <v>191016.02654500445</v>
      </c>
      <c r="E7" s="307">
        <f>C7/$C$11</f>
        <v>6.0477144376632333E-2</v>
      </c>
      <c r="F7" s="332">
        <f>'5.2'!H20</f>
        <v>-5.6952778685336887E-2</v>
      </c>
      <c r="G7" s="330">
        <v>20.470967741935482</v>
      </c>
      <c r="H7" s="324">
        <v>26.4</v>
      </c>
      <c r="I7" s="324">
        <v>13.3</v>
      </c>
      <c r="J7" s="324">
        <v>18.5</v>
      </c>
      <c r="K7" s="324">
        <v>1.9709677419354819</v>
      </c>
    </row>
    <row r="8" spans="1:11" ht="15.95" customHeight="1">
      <c r="A8" s="154" t="s">
        <v>87</v>
      </c>
      <c r="B8" s="129">
        <f>'5.3'!D20</f>
        <v>2233869</v>
      </c>
      <c r="C8" s="313">
        <f>'5.3'!E20</f>
        <v>225681.17319156262</v>
      </c>
      <c r="D8" s="129">
        <f>'5.3'!F20</f>
        <v>2475328.0290799998</v>
      </c>
      <c r="E8" s="307">
        <f t="shared" ref="E8:E10" si="0">C8/$C$11</f>
        <v>0.78466877422989656</v>
      </c>
      <c r="F8" s="332">
        <f>'5.3'!H20</f>
        <v>-4.9014977214676188E-2</v>
      </c>
      <c r="G8" s="330">
        <v>18.822043010752694</v>
      </c>
      <c r="H8" s="325">
        <v>24.416666666666668</v>
      </c>
      <c r="I8" s="325">
        <v>13.049999999999999</v>
      </c>
      <c r="J8" s="325">
        <v>17.31666666666667</v>
      </c>
      <c r="K8" s="324">
        <v>1.5053763440860237</v>
      </c>
    </row>
    <row r="9" spans="1:11" ht="15.95" customHeight="1">
      <c r="A9" s="154" t="s">
        <v>211</v>
      </c>
      <c r="B9" s="129">
        <f>'5.4'!D20</f>
        <v>112022</v>
      </c>
      <c r="C9" s="313">
        <f>'5.4'!E20</f>
        <v>9990.63501</v>
      </c>
      <c r="D9" s="129">
        <f>'5.4'!F20</f>
        <v>109566.62821</v>
      </c>
      <c r="E9" s="307">
        <f t="shared" si="0"/>
        <v>3.4736346041682464E-2</v>
      </c>
      <c r="F9" s="332">
        <f>'5.4'!H20</f>
        <v>-6.2731545475269934E-2</v>
      </c>
      <c r="G9" s="330">
        <v>18.451612903225808</v>
      </c>
      <c r="H9" s="325">
        <v>25</v>
      </c>
      <c r="I9" s="325">
        <v>12.1</v>
      </c>
      <c r="J9" s="325">
        <v>16.800000000000004</v>
      </c>
      <c r="K9" s="324">
        <v>1.6516129032258036</v>
      </c>
    </row>
    <row r="10" spans="1:11" ht="15.95" customHeight="1">
      <c r="A10" s="154" t="s">
        <v>32</v>
      </c>
      <c r="B10" s="129">
        <f>'5.5'!D20</f>
        <v>9442</v>
      </c>
      <c r="C10" s="313">
        <f>'5.5'!E20</f>
        <v>34547.457890000005</v>
      </c>
      <c r="D10" s="129">
        <f>'5.5'!F20</f>
        <v>378971.44529100007</v>
      </c>
      <c r="E10" s="307">
        <f t="shared" si="0"/>
        <v>0.12011773535178855</v>
      </c>
      <c r="F10" s="332">
        <f>'5.5'!H20</f>
        <v>-0.22692350945690296</v>
      </c>
      <c r="G10" s="330">
        <v>18.838709677419359</v>
      </c>
      <c r="H10" s="325">
        <v>24.6</v>
      </c>
      <c r="I10" s="325">
        <v>12.9</v>
      </c>
      <c r="J10" s="325">
        <v>18.119354838709679</v>
      </c>
      <c r="K10" s="324">
        <v>0.71935483870968042</v>
      </c>
    </row>
    <row r="11" spans="1:11" ht="15.95" customHeight="1">
      <c r="A11" s="159" t="s">
        <v>3</v>
      </c>
      <c r="B11" s="310">
        <f>SUM(B7:B10)</f>
        <v>2758842</v>
      </c>
      <c r="C11" s="314">
        <f t="shared" ref="C11:E11" si="1">SUM(C7:C10)</f>
        <v>287613.29697751079</v>
      </c>
      <c r="D11" s="310">
        <f t="shared" si="1"/>
        <v>3154882.1291260044</v>
      </c>
      <c r="E11" s="311">
        <f t="shared" si="1"/>
        <v>1</v>
      </c>
      <c r="F11" s="333">
        <f>'5.1'!H21</f>
        <v>-7.5510983296913844E-2</v>
      </c>
      <c r="G11" s="331">
        <v>18.838709677419359</v>
      </c>
      <c r="H11" s="329">
        <v>24.6</v>
      </c>
      <c r="I11" s="329">
        <v>12.9</v>
      </c>
      <c r="J11" s="329">
        <v>18.119354838709679</v>
      </c>
      <c r="K11" s="328">
        <v>0.71935483870968042</v>
      </c>
    </row>
    <row r="12" spans="1:11" ht="15" customHeight="1">
      <c r="A12" s="101"/>
      <c r="B12" s="94"/>
      <c r="C12" s="504" t="s">
        <v>241</v>
      </c>
      <c r="D12" s="504"/>
      <c r="E12" s="504"/>
      <c r="F12" s="504"/>
      <c r="G12" s="507" t="s">
        <v>242</v>
      </c>
      <c r="H12" s="507"/>
      <c r="I12" s="507"/>
      <c r="J12" s="507"/>
      <c r="K12" s="507"/>
    </row>
    <row r="13" spans="1:11" ht="15" customHeight="1">
      <c r="A13" s="94"/>
      <c r="B13" s="94"/>
      <c r="C13" s="504"/>
      <c r="D13" s="504"/>
      <c r="E13" s="504"/>
      <c r="F13" s="504"/>
      <c r="G13" s="507" t="s">
        <v>243</v>
      </c>
      <c r="H13" s="507"/>
      <c r="I13" s="507"/>
      <c r="J13" s="507"/>
      <c r="K13" s="507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08" t="s">
        <v>273</v>
      </c>
      <c r="B16" s="508"/>
      <c r="C16" s="508"/>
      <c r="D16" s="508"/>
      <c r="E16" s="508"/>
      <c r="F16" s="508" t="s">
        <v>274</v>
      </c>
      <c r="G16" s="508"/>
      <c r="H16" s="508"/>
      <c r="I16" s="508"/>
      <c r="J16" s="508"/>
      <c r="K16" s="508"/>
    </row>
    <row r="17" spans="1:11" ht="15" customHeight="1">
      <c r="A17" s="508"/>
      <c r="B17" s="508"/>
      <c r="C17" s="508"/>
      <c r="D17" s="508"/>
      <c r="E17" s="508"/>
      <c r="F17" s="508"/>
      <c r="G17" s="508"/>
      <c r="H17" s="508"/>
      <c r="I17" s="508"/>
      <c r="J17" s="508"/>
      <c r="K17" s="508"/>
    </row>
    <row r="18" spans="1:11" ht="15" customHeight="1">
      <c r="A18" s="120"/>
      <c r="B18" s="505"/>
      <c r="C18" s="505"/>
      <c r="D18" s="120"/>
      <c r="E18" s="120"/>
      <c r="F18" s="120"/>
      <c r="G18" s="123"/>
      <c r="H18" s="505"/>
      <c r="I18" s="505"/>
      <c r="J18" s="120"/>
      <c r="K18" s="120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08" t="s">
        <v>275</v>
      </c>
      <c r="B33" s="491"/>
      <c r="C33" s="491"/>
      <c r="D33" s="491"/>
      <c r="E33" s="491"/>
      <c r="F33" s="508" t="s">
        <v>66</v>
      </c>
      <c r="G33" s="508"/>
      <c r="H33" s="508"/>
      <c r="I33" s="508"/>
      <c r="J33" s="508"/>
      <c r="K33" s="508"/>
    </row>
    <row r="34" spans="1:11" ht="15" customHeight="1">
      <c r="A34" s="491"/>
      <c r="B34" s="491"/>
      <c r="C34" s="491"/>
      <c r="D34" s="491"/>
      <c r="E34" s="491"/>
      <c r="F34" s="508"/>
      <c r="G34" s="508"/>
      <c r="H34" s="508"/>
      <c r="I34" s="508"/>
      <c r="J34" s="508"/>
      <c r="K34" s="508"/>
    </row>
    <row r="35" spans="1:11" ht="15" customHeight="1">
      <c r="A35" s="120"/>
      <c r="B35" s="505"/>
      <c r="C35" s="505"/>
      <c r="D35" s="120"/>
      <c r="E35" s="121"/>
      <c r="F35" s="127"/>
      <c r="G35" s="127"/>
      <c r="H35" s="506"/>
      <c r="I35" s="506"/>
      <c r="J35" s="127"/>
      <c r="K35" s="127"/>
    </row>
    <row r="36" spans="1:11" ht="15" customHeight="1">
      <c r="A36" s="120"/>
      <c r="B36" s="120"/>
      <c r="C36" s="120"/>
      <c r="D36" s="120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B35:C35"/>
    <mergeCell ref="H35:I35"/>
    <mergeCell ref="H18:I18"/>
    <mergeCell ref="A33:E34"/>
    <mergeCell ref="F33:K34"/>
    <mergeCell ref="A1:K1"/>
    <mergeCell ref="G4:K4"/>
    <mergeCell ref="B18:C18"/>
    <mergeCell ref="C4:F4"/>
    <mergeCell ref="A2:B2"/>
    <mergeCell ref="B5:B6"/>
    <mergeCell ref="C12:F13"/>
    <mergeCell ref="G12:K12"/>
    <mergeCell ref="G13:K13"/>
    <mergeCell ref="E5:E6"/>
    <mergeCell ref="F5:F6"/>
    <mergeCell ref="A3:K3"/>
    <mergeCell ref="A16:E17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zoomScaleNormal="100" zoomScaleSheetLayoutView="100" workbookViewId="0">
      <selection activeCell="G1" sqref="G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9" t="str">
        <f>"5.8 Spotřeba zemního plynu a teplota ovzduší: "&amp;LOWER(A3)</f>
        <v>5.8 Spotřeba zemního plynu a teplota ovzduší: září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6" customHeight="1">
      <c r="A2" s="513"/>
      <c r="B2" s="513"/>
      <c r="C2" s="300"/>
      <c r="D2" s="301"/>
      <c r="E2" s="302"/>
      <c r="F2" s="302"/>
      <c r="G2" s="302"/>
      <c r="H2" s="302"/>
      <c r="I2" s="76"/>
      <c r="J2" s="76"/>
      <c r="K2" s="76"/>
    </row>
    <row r="3" spans="1:11" ht="18.75" customHeight="1">
      <c r="A3" s="516" t="str">
        <f>'3.1'!F5</f>
        <v>Září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</row>
    <row r="4" spans="1:11" ht="24.95" customHeight="1">
      <c r="A4" s="128"/>
      <c r="B4" s="252">
        <f>'3.1'!A4</f>
        <v>2023</v>
      </c>
      <c r="C4" s="510" t="s">
        <v>60</v>
      </c>
      <c r="D4" s="511"/>
      <c r="E4" s="511"/>
      <c r="F4" s="512"/>
      <c r="G4" s="510" t="s">
        <v>186</v>
      </c>
      <c r="H4" s="511"/>
      <c r="I4" s="511"/>
      <c r="J4" s="511"/>
      <c r="K4" s="511"/>
    </row>
    <row r="5" spans="1:11" ht="22.5">
      <c r="A5" s="272"/>
      <c r="B5" s="480" t="s">
        <v>185</v>
      </c>
      <c r="C5" s="345"/>
      <c r="D5" s="346"/>
      <c r="E5" s="480" t="s">
        <v>279</v>
      </c>
      <c r="F5" s="514" t="s">
        <v>282</v>
      </c>
      <c r="G5" s="347" t="s">
        <v>62</v>
      </c>
      <c r="H5" s="348" t="s">
        <v>173</v>
      </c>
      <c r="I5" s="348" t="s">
        <v>174</v>
      </c>
      <c r="J5" s="348" t="s">
        <v>280</v>
      </c>
      <c r="K5" s="348" t="s">
        <v>281</v>
      </c>
    </row>
    <row r="6" spans="1:11" ht="24.95" customHeight="1">
      <c r="A6" s="349" t="s">
        <v>283</v>
      </c>
      <c r="B6" s="476"/>
      <c r="C6" s="221" t="s">
        <v>261</v>
      </c>
      <c r="D6" s="219" t="s">
        <v>262</v>
      </c>
      <c r="E6" s="476"/>
      <c r="F6" s="515"/>
      <c r="G6" s="350" t="s">
        <v>230</v>
      </c>
      <c r="H6" s="351" t="s">
        <v>230</v>
      </c>
      <c r="I6" s="351" t="s">
        <v>230</v>
      </c>
      <c r="J6" s="351" t="s">
        <v>230</v>
      </c>
      <c r="K6" s="351" t="s">
        <v>230</v>
      </c>
    </row>
    <row r="7" spans="1:11" ht="15.95" customHeight="1">
      <c r="A7" s="154" t="s">
        <v>20</v>
      </c>
      <c r="B7" s="129">
        <f>'5.2'!D27</f>
        <v>403049</v>
      </c>
      <c r="C7" s="313">
        <f>'5.2'!E27</f>
        <v>18273.080481515786</v>
      </c>
      <c r="D7" s="129">
        <f>'5.2'!F27</f>
        <v>201324.94279999193</v>
      </c>
      <c r="E7" s="307">
        <f>C7/$C$11</f>
        <v>6.0456067046045968E-2</v>
      </c>
      <c r="F7" s="332">
        <f>'5.2'!H27</f>
        <v>-0.38899246912043201</v>
      </c>
      <c r="G7" s="330">
        <v>18.32</v>
      </c>
      <c r="H7" s="324">
        <v>22.7</v>
      </c>
      <c r="I7" s="324">
        <v>12.5</v>
      </c>
      <c r="J7" s="324">
        <v>14.100000000000005</v>
      </c>
      <c r="K7" s="324">
        <v>4.2199999999999953</v>
      </c>
    </row>
    <row r="8" spans="1:11" ht="15.95" customHeight="1">
      <c r="A8" s="154" t="s">
        <v>87</v>
      </c>
      <c r="B8" s="129">
        <f>'5.3'!D27</f>
        <v>2232059</v>
      </c>
      <c r="C8" s="313">
        <f>'5.3'!E27</f>
        <v>236567.15368463221</v>
      </c>
      <c r="D8" s="129">
        <f>'5.3'!F27</f>
        <v>2597677.89971</v>
      </c>
      <c r="E8" s="307">
        <f t="shared" ref="E8:E10" si="0">C8/$C$11</f>
        <v>0.78267699409070923</v>
      </c>
      <c r="F8" s="332">
        <f>'5.3'!H27</f>
        <v>-0.22071831287904881</v>
      </c>
      <c r="G8" s="330">
        <v>16.627777777777776</v>
      </c>
      <c r="H8" s="325">
        <v>20.55</v>
      </c>
      <c r="I8" s="325">
        <v>11.433333333333332</v>
      </c>
      <c r="J8" s="325">
        <v>13.033333333333342</v>
      </c>
      <c r="K8" s="324">
        <v>3.5944444444444343</v>
      </c>
    </row>
    <row r="9" spans="1:11" ht="15.95" customHeight="1">
      <c r="A9" s="154" t="s">
        <v>211</v>
      </c>
      <c r="B9" s="129">
        <f>'5.4'!D27</f>
        <v>111959</v>
      </c>
      <c r="C9" s="313">
        <f>'5.4'!E27</f>
        <v>10335.236000000001</v>
      </c>
      <c r="D9" s="129">
        <f>'5.4'!F27</f>
        <v>113326.60682</v>
      </c>
      <c r="E9" s="307">
        <f t="shared" si="0"/>
        <v>3.4193890908801892E-2</v>
      </c>
      <c r="F9" s="332">
        <f>'5.4'!H27</f>
        <v>-0.32143239777494803</v>
      </c>
      <c r="G9" s="330">
        <v>16.09</v>
      </c>
      <c r="H9" s="325">
        <v>19.5</v>
      </c>
      <c r="I9" s="325">
        <v>10.199999999999999</v>
      </c>
      <c r="J9" s="325">
        <v>12.5</v>
      </c>
      <c r="K9" s="324">
        <v>3.59</v>
      </c>
    </row>
    <row r="10" spans="1:11" ht="15.95" customHeight="1">
      <c r="A10" s="154" t="s">
        <v>32</v>
      </c>
      <c r="B10" s="129">
        <f>'5.5'!D27</f>
        <v>9437.9390000000003</v>
      </c>
      <c r="C10" s="313">
        <f>'5.5'!E27</f>
        <v>37078.40400000001</v>
      </c>
      <c r="D10" s="129">
        <f>'5.5'!F27</f>
        <v>407858.01959299983</v>
      </c>
      <c r="E10" s="307">
        <f t="shared" si="0"/>
        <v>0.12267304795444285</v>
      </c>
      <c r="F10" s="332">
        <f>'5.5'!H27</f>
        <v>7.0091777615571643E-2</v>
      </c>
      <c r="G10" s="330">
        <v>16.65666666666667</v>
      </c>
      <c r="H10" s="325">
        <v>20.5</v>
      </c>
      <c r="I10" s="325">
        <v>11.5</v>
      </c>
      <c r="J10" s="325">
        <v>13.223333333333333</v>
      </c>
      <c r="K10" s="324">
        <v>3.4333333333333371</v>
      </c>
    </row>
    <row r="11" spans="1:11" ht="15.95" customHeight="1">
      <c r="A11" s="159" t="s">
        <v>3</v>
      </c>
      <c r="B11" s="310">
        <f>SUM(B7:B10)</f>
        <v>2756504.9389999998</v>
      </c>
      <c r="C11" s="314">
        <f t="shared" ref="C11:E11" si="1">SUM(C7:C10)</f>
        <v>302253.87416614802</v>
      </c>
      <c r="D11" s="310">
        <f t="shared" si="1"/>
        <v>3320187.4689229918</v>
      </c>
      <c r="E11" s="311">
        <f t="shared" si="1"/>
        <v>1</v>
      </c>
      <c r="F11" s="333">
        <f>'5.1'!H28</f>
        <v>-0.21156228591275983</v>
      </c>
      <c r="G11" s="331">
        <v>16.65666666666667</v>
      </c>
      <c r="H11" s="329">
        <v>20.5</v>
      </c>
      <c r="I11" s="329">
        <v>11.5</v>
      </c>
      <c r="J11" s="329">
        <v>13.223333333333333</v>
      </c>
      <c r="K11" s="328">
        <v>3.4333333333333371</v>
      </c>
    </row>
    <row r="12" spans="1:11" ht="15" customHeight="1">
      <c r="A12" s="101"/>
      <c r="B12" s="94"/>
      <c r="C12" s="504" t="s">
        <v>241</v>
      </c>
      <c r="D12" s="504"/>
      <c r="E12" s="504"/>
      <c r="F12" s="504"/>
      <c r="G12" s="507" t="s">
        <v>242</v>
      </c>
      <c r="H12" s="507"/>
      <c r="I12" s="507"/>
      <c r="J12" s="507"/>
      <c r="K12" s="507"/>
    </row>
    <row r="13" spans="1:11" ht="15" customHeight="1">
      <c r="A13" s="94"/>
      <c r="B13" s="94"/>
      <c r="C13" s="504"/>
      <c r="D13" s="504"/>
      <c r="E13" s="504"/>
      <c r="F13" s="504"/>
      <c r="G13" s="507" t="s">
        <v>243</v>
      </c>
      <c r="H13" s="507"/>
      <c r="I13" s="507"/>
      <c r="J13" s="507"/>
      <c r="K13" s="507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08" t="s">
        <v>273</v>
      </c>
      <c r="B16" s="508"/>
      <c r="C16" s="508"/>
      <c r="D16" s="508"/>
      <c r="E16" s="508"/>
      <c r="F16" s="508" t="s">
        <v>274</v>
      </c>
      <c r="G16" s="508"/>
      <c r="H16" s="508"/>
      <c r="I16" s="508"/>
      <c r="J16" s="508"/>
      <c r="K16" s="508"/>
    </row>
    <row r="17" spans="1:11" ht="15" customHeight="1">
      <c r="A17" s="508"/>
      <c r="B17" s="508"/>
      <c r="C17" s="508"/>
      <c r="D17" s="508"/>
      <c r="E17" s="508"/>
      <c r="F17" s="508"/>
      <c r="G17" s="508"/>
      <c r="H17" s="508"/>
      <c r="I17" s="508"/>
      <c r="J17" s="508"/>
      <c r="K17" s="508"/>
    </row>
    <row r="18" spans="1:11" ht="15" customHeight="1">
      <c r="A18" s="120"/>
      <c r="B18" s="505"/>
      <c r="C18" s="505"/>
      <c r="D18" s="120"/>
      <c r="E18" s="120"/>
      <c r="F18" s="120"/>
      <c r="G18" s="120"/>
      <c r="H18" s="505"/>
      <c r="I18" s="505"/>
      <c r="J18" s="120"/>
      <c r="K18" s="120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08" t="s">
        <v>275</v>
      </c>
      <c r="B33" s="491"/>
      <c r="C33" s="491"/>
      <c r="D33" s="491"/>
      <c r="E33" s="491"/>
      <c r="F33" s="508" t="s">
        <v>66</v>
      </c>
      <c r="G33" s="508"/>
      <c r="H33" s="508"/>
      <c r="I33" s="508"/>
      <c r="J33" s="508"/>
      <c r="K33" s="508"/>
    </row>
    <row r="34" spans="1:11" ht="15" customHeight="1">
      <c r="A34" s="491"/>
      <c r="B34" s="491"/>
      <c r="C34" s="491"/>
      <c r="D34" s="491"/>
      <c r="E34" s="491"/>
      <c r="F34" s="508"/>
      <c r="G34" s="508"/>
      <c r="H34" s="508"/>
      <c r="I34" s="508"/>
      <c r="J34" s="508"/>
      <c r="K34" s="508"/>
    </row>
    <row r="35" spans="1:11" ht="15" customHeight="1">
      <c r="A35" s="120"/>
      <c r="B35" s="505"/>
      <c r="C35" s="505"/>
      <c r="D35" s="120"/>
      <c r="E35" s="121"/>
      <c r="F35" s="127"/>
      <c r="G35" s="127"/>
      <c r="H35" s="506"/>
      <c r="I35" s="506"/>
      <c r="J35" s="127"/>
      <c r="K35" s="127"/>
    </row>
    <row r="36" spans="1:11" ht="15" customHeight="1">
      <c r="A36" s="120"/>
      <c r="B36" s="120"/>
      <c r="C36" s="120"/>
      <c r="D36" s="120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  <mergeCell ref="A1:K1"/>
    <mergeCell ref="G4:K4"/>
    <mergeCell ref="A2:B2"/>
    <mergeCell ref="C4:F4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zoomScaleNormal="100" zoomScaleSheetLayoutView="100" workbookViewId="0">
      <selection activeCell="G1" sqref="G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9" t="str">
        <f>"5.9 Spotřeba zemního plynu a teplota ovzduší: "&amp;(A3)</f>
        <v>5.9 Spotřeba zemního plynu a teplota ovzduší: III. čtvrtletí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6" customHeight="1">
      <c r="A2" s="513"/>
      <c r="B2" s="513"/>
      <c r="C2" s="300"/>
      <c r="D2" s="301"/>
      <c r="E2" s="302"/>
      <c r="F2" s="302"/>
      <c r="G2" s="302"/>
      <c r="H2" s="302"/>
      <c r="I2" s="76"/>
      <c r="J2" s="76"/>
      <c r="K2" s="76"/>
    </row>
    <row r="3" spans="1:11" ht="18.75" customHeight="1">
      <c r="A3" s="516" t="str">
        <f>'3.1'!G5</f>
        <v>III. čtvrtletí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</row>
    <row r="4" spans="1:11" ht="24.95" customHeight="1">
      <c r="A4" s="128"/>
      <c r="B4" s="252">
        <f>'3.1'!A4</f>
        <v>2023</v>
      </c>
      <c r="C4" s="510" t="s">
        <v>60</v>
      </c>
      <c r="D4" s="511"/>
      <c r="E4" s="511"/>
      <c r="F4" s="512"/>
      <c r="G4" s="510" t="s">
        <v>186</v>
      </c>
      <c r="H4" s="511"/>
      <c r="I4" s="511"/>
      <c r="J4" s="511"/>
      <c r="K4" s="511"/>
    </row>
    <row r="5" spans="1:11" ht="22.5" customHeight="1">
      <c r="A5" s="272"/>
      <c r="B5" s="514" t="s">
        <v>185</v>
      </c>
      <c r="C5" s="345"/>
      <c r="D5" s="346"/>
      <c r="E5" s="519" t="s">
        <v>279</v>
      </c>
      <c r="F5" s="520" t="s">
        <v>282</v>
      </c>
      <c r="G5" s="347" t="s">
        <v>62</v>
      </c>
      <c r="H5" s="348" t="s">
        <v>173</v>
      </c>
      <c r="I5" s="348" t="s">
        <v>174</v>
      </c>
      <c r="J5" s="348" t="s">
        <v>280</v>
      </c>
      <c r="K5" s="348" t="s">
        <v>281</v>
      </c>
    </row>
    <row r="6" spans="1:11" ht="24.95" customHeight="1">
      <c r="A6" s="349" t="s">
        <v>283</v>
      </c>
      <c r="B6" s="515"/>
      <c r="C6" s="221" t="s">
        <v>261</v>
      </c>
      <c r="D6" s="219" t="s">
        <v>262</v>
      </c>
      <c r="E6" s="476"/>
      <c r="F6" s="515"/>
      <c r="G6" s="350" t="s">
        <v>230</v>
      </c>
      <c r="H6" s="351" t="s">
        <v>230</v>
      </c>
      <c r="I6" s="351" t="s">
        <v>230</v>
      </c>
      <c r="J6" s="351" t="s">
        <v>230</v>
      </c>
      <c r="K6" s="351" t="s">
        <v>230</v>
      </c>
    </row>
    <row r="7" spans="1:11" ht="15.95" customHeight="1">
      <c r="A7" s="154" t="s">
        <v>20</v>
      </c>
      <c r="B7" s="129">
        <f>'5.2'!D34</f>
        <v>403049</v>
      </c>
      <c r="C7" s="313">
        <f>'5.2'!E34</f>
        <v>54028.089714853704</v>
      </c>
      <c r="D7" s="129">
        <f>'5.2'!F34</f>
        <v>593876.29744666838</v>
      </c>
      <c r="E7" s="307">
        <f>C7/$C$11</f>
        <v>6.2029665271393385E-2</v>
      </c>
      <c r="F7" s="332">
        <f>'5.2'!H34</f>
        <v>-0.19594724215160239</v>
      </c>
      <c r="G7" s="330">
        <f>AVERAGE('5.6'!G7,'5.7'!G7,'5.8'!G7)</f>
        <v>20.145376344086021</v>
      </c>
      <c r="H7" s="324">
        <f>MAX('5.6'!H7,'5.7'!H7,'5.8'!H7)</f>
        <v>29.1</v>
      </c>
      <c r="I7" s="324">
        <f>MIN('5.6'!I7,'5.7'!I7,'5.8'!I7)</f>
        <v>12.5</v>
      </c>
      <c r="J7" s="324">
        <f>AVERAGE('5.6'!J7,'5.7'!J7,'5.8'!J7)</f>
        <v>17.100000000000005</v>
      </c>
      <c r="K7" s="324">
        <f>G7-J7</f>
        <v>3.0453763440860158</v>
      </c>
    </row>
    <row r="8" spans="1:11" ht="15.95" customHeight="1">
      <c r="A8" s="154" t="s">
        <v>87</v>
      </c>
      <c r="B8" s="129">
        <f>'5.3'!D34</f>
        <v>2232059</v>
      </c>
      <c r="C8" s="313">
        <f>'5.3'!E34</f>
        <v>673353.31104361406</v>
      </c>
      <c r="D8" s="129">
        <f>'5.3'!F34</f>
        <v>7386457.7246599998</v>
      </c>
      <c r="E8" s="307">
        <f t="shared" ref="E8:E10" si="0">C8/$C$11</f>
        <v>0.77307712920926686</v>
      </c>
      <c r="F8" s="332">
        <f>'5.3'!H34</f>
        <v>-0.13247653964071957</v>
      </c>
      <c r="G8" s="330">
        <f>AVERAGE('5.6'!G8,'5.7'!G8,'5.8'!G8)</f>
        <v>18.41320191158901</v>
      </c>
      <c r="H8" s="325">
        <f>MAX('5.6'!H8,'5.7'!H8,'5.8'!H8)</f>
        <v>26.066666666666666</v>
      </c>
      <c r="I8" s="325">
        <f>MIN('5.6'!I8,'5.7'!I8,'5.8'!I8)</f>
        <v>11.433333333333332</v>
      </c>
      <c r="J8" s="325">
        <f>AVERAGE('5.6'!J8,'5.7'!J8,'5.8'!J8)</f>
        <v>15.97777777777778</v>
      </c>
      <c r="K8" s="324">
        <f t="shared" ref="K8:K11" si="1">G8-J8</f>
        <v>2.4354241338112299</v>
      </c>
    </row>
    <row r="9" spans="1:11" ht="15.95" customHeight="1">
      <c r="A9" s="154" t="s">
        <v>211</v>
      </c>
      <c r="B9" s="129">
        <f>'5.4'!D34</f>
        <v>111959</v>
      </c>
      <c r="C9" s="313">
        <f>'5.4'!E34</f>
        <v>29079.728010000003</v>
      </c>
      <c r="D9" s="129">
        <f>'5.4'!F34</f>
        <v>318813.67364000005</v>
      </c>
      <c r="E9" s="307">
        <f t="shared" si="0"/>
        <v>3.3386444054629427E-2</v>
      </c>
      <c r="F9" s="332">
        <f>'5.4'!H34</f>
        <v>-0.19303667313161152</v>
      </c>
      <c r="G9" s="330">
        <f>AVERAGE('5.6'!G9,'5.7'!G9,'5.8'!G9)</f>
        <v>18.102043010752691</v>
      </c>
      <c r="H9" s="325">
        <f>MAX('5.6'!H9,'5.7'!H9,'5.8'!H9)</f>
        <v>26</v>
      </c>
      <c r="I9" s="325">
        <f>MIN('5.6'!I9,'5.7'!I9,'5.8'!I9)</f>
        <v>10.199999999999999</v>
      </c>
      <c r="J9" s="325">
        <f>AVERAGE('5.6'!J9,'5.7'!J9,'5.8'!J9)</f>
        <v>15.46666666666667</v>
      </c>
      <c r="K9" s="324">
        <f t="shared" si="1"/>
        <v>2.6353763440860209</v>
      </c>
    </row>
    <row r="10" spans="1:11" ht="15.95" customHeight="1">
      <c r="A10" s="154" t="s">
        <v>32</v>
      </c>
      <c r="B10" s="129">
        <f>'5.5'!D34</f>
        <v>9437.9390000000003</v>
      </c>
      <c r="C10" s="313">
        <f>'5.5'!E34</f>
        <v>114542.92193</v>
      </c>
      <c r="D10" s="129">
        <f>'5.5'!F34</f>
        <v>1257373.5455579998</v>
      </c>
      <c r="E10" s="307">
        <f t="shared" si="0"/>
        <v>0.13150676146471049</v>
      </c>
      <c r="F10" s="332">
        <f>'5.5'!H34</f>
        <v>0.10542165420196989</v>
      </c>
      <c r="G10" s="330">
        <f>AVERAGE('5.6'!G10,'5.7'!G10,'5.8'!G10)</f>
        <v>18.464050179211469</v>
      </c>
      <c r="H10" s="325">
        <f>MAX('5.6'!H10,'5.7'!H10,'5.8'!H10)</f>
        <v>26.1</v>
      </c>
      <c r="I10" s="325">
        <f>MIN('5.6'!I10,'5.7'!I10,'5.8'!I10)</f>
        <v>11.5</v>
      </c>
      <c r="J10" s="325">
        <f>AVERAGE('5.6'!J10,'5.7'!J10,'5.8'!J10)</f>
        <v>16.621756272401431</v>
      </c>
      <c r="K10" s="324">
        <f t="shared" si="1"/>
        <v>1.8422939068100384</v>
      </c>
    </row>
    <row r="11" spans="1:11" ht="15.95" customHeight="1">
      <c r="A11" s="159" t="s">
        <v>3</v>
      </c>
      <c r="B11" s="310">
        <f>'5.1'!D35</f>
        <v>2756504.9390000002</v>
      </c>
      <c r="C11" s="314">
        <f>'5.1'!E35</f>
        <v>871004.05069846765</v>
      </c>
      <c r="D11" s="310">
        <f>'5.1'!F35</f>
        <v>9556521.2413046695</v>
      </c>
      <c r="E11" s="311">
        <f t="shared" ref="E11" si="2">SUM(E7:E10)</f>
        <v>1.0000000000000002</v>
      </c>
      <c r="F11" s="333">
        <f>'5.1'!H35</f>
        <v>-0.11395868414908213</v>
      </c>
      <c r="G11" s="331">
        <f>AVERAGE('5.6'!G11,'5.7'!G11,'5.8'!G11)</f>
        <v>18.464050179211469</v>
      </c>
      <c r="H11" s="329">
        <f>MAX('5.6'!H11,'5.7'!H11,'5.8'!H11)</f>
        <v>26.1</v>
      </c>
      <c r="I11" s="329">
        <f>MIN('5.6'!I11,'5.7'!I11,'5.8'!I11)</f>
        <v>11.5</v>
      </c>
      <c r="J11" s="329">
        <f>AVERAGE('5.6'!J11,'5.7'!J11,'5.8'!J11)</f>
        <v>16.621756272401431</v>
      </c>
      <c r="K11" s="328">
        <f t="shared" si="1"/>
        <v>1.8422939068100384</v>
      </c>
    </row>
    <row r="12" spans="1:11" ht="15" customHeight="1">
      <c r="A12" s="101"/>
      <c r="B12" s="94"/>
      <c r="C12" s="504" t="s">
        <v>241</v>
      </c>
      <c r="D12" s="504"/>
      <c r="E12" s="504"/>
      <c r="F12" s="504"/>
      <c r="G12" s="507" t="s">
        <v>242</v>
      </c>
      <c r="H12" s="507"/>
      <c r="I12" s="507"/>
      <c r="J12" s="507"/>
      <c r="K12" s="507"/>
    </row>
    <row r="13" spans="1:11" ht="15" customHeight="1">
      <c r="A13" s="94"/>
      <c r="B13" s="94"/>
      <c r="C13" s="504"/>
      <c r="D13" s="504"/>
      <c r="E13" s="504"/>
      <c r="F13" s="504"/>
      <c r="G13" s="507" t="s">
        <v>243</v>
      </c>
      <c r="H13" s="507"/>
      <c r="I13" s="507"/>
      <c r="J13" s="507"/>
      <c r="K13" s="507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08" t="s">
        <v>273</v>
      </c>
      <c r="B16" s="508"/>
      <c r="C16" s="508"/>
      <c r="D16" s="508"/>
      <c r="E16" s="508"/>
      <c r="F16" s="508" t="s">
        <v>274</v>
      </c>
      <c r="G16" s="508"/>
      <c r="H16" s="508"/>
      <c r="I16" s="508"/>
      <c r="J16" s="508"/>
      <c r="K16" s="508"/>
    </row>
    <row r="17" spans="1:11" ht="15" customHeight="1">
      <c r="A17" s="508"/>
      <c r="B17" s="508"/>
      <c r="C17" s="508"/>
      <c r="D17" s="508"/>
      <c r="E17" s="508"/>
      <c r="F17" s="508"/>
      <c r="G17" s="508"/>
      <c r="H17" s="508"/>
      <c r="I17" s="508"/>
      <c r="J17" s="508"/>
      <c r="K17" s="508"/>
    </row>
    <row r="18" spans="1:11" ht="15" customHeight="1">
      <c r="A18" s="120"/>
      <c r="B18" s="518"/>
      <c r="C18" s="518"/>
      <c r="D18" s="120"/>
      <c r="E18" s="120"/>
      <c r="F18" s="120"/>
      <c r="G18" s="120"/>
      <c r="H18" s="518"/>
      <c r="I18" s="518"/>
      <c r="J18" s="120"/>
      <c r="K18" s="120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08" t="s">
        <v>275</v>
      </c>
      <c r="B33" s="491"/>
      <c r="C33" s="491"/>
      <c r="D33" s="491"/>
      <c r="E33" s="491"/>
      <c r="F33" s="508" t="s">
        <v>66</v>
      </c>
      <c r="G33" s="508"/>
      <c r="H33" s="508"/>
      <c r="I33" s="508"/>
      <c r="J33" s="508"/>
      <c r="K33" s="508"/>
    </row>
    <row r="34" spans="1:11" ht="15" customHeight="1">
      <c r="A34" s="491"/>
      <c r="B34" s="491"/>
      <c r="C34" s="491"/>
      <c r="D34" s="491"/>
      <c r="E34" s="491"/>
      <c r="F34" s="508"/>
      <c r="G34" s="508"/>
      <c r="H34" s="508"/>
      <c r="I34" s="508"/>
      <c r="J34" s="508"/>
      <c r="K34" s="508"/>
    </row>
    <row r="35" spans="1:11" ht="15" customHeight="1">
      <c r="A35" s="120"/>
      <c r="B35" s="518"/>
      <c r="C35" s="518"/>
      <c r="D35" s="120"/>
      <c r="E35" s="121"/>
      <c r="F35" s="127"/>
      <c r="G35" s="127"/>
      <c r="H35" s="517"/>
      <c r="I35" s="517"/>
      <c r="J35" s="127"/>
      <c r="K35" s="127"/>
    </row>
    <row r="36" spans="1:11" ht="15" customHeight="1">
      <c r="A36" s="120"/>
      <c r="B36" s="120"/>
      <c r="C36" s="120"/>
      <c r="D36" s="120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  <mergeCell ref="C4:F4"/>
    <mergeCell ref="A2:B2"/>
    <mergeCell ref="A1:K1"/>
    <mergeCell ref="G4:K4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zoomScaleNormal="100" zoomScaleSheetLayoutView="100" workbookViewId="0">
      <selection activeCell="G1" sqref="G1"/>
    </sheetView>
  </sheetViews>
  <sheetFormatPr defaultColWidth="9.140625" defaultRowHeight="12.75"/>
  <cols>
    <col min="1" max="1" width="5.85546875" style="47" customWidth="1"/>
    <col min="2" max="2" width="90.28515625" style="46" customWidth="1"/>
    <col min="3" max="3" width="3.28515625" style="47" bestFit="1" customWidth="1"/>
    <col min="4" max="4" width="9.140625" style="47" customWidth="1"/>
    <col min="5" max="5" width="9.140625" style="47" hidden="1" customWidth="1"/>
    <col min="6" max="16384" width="9.140625" style="47"/>
  </cols>
  <sheetData>
    <row r="1" spans="1:5" ht="20.25">
      <c r="A1" s="69" t="s">
        <v>245</v>
      </c>
    </row>
    <row r="2" spans="1:5" ht="6" customHeight="1"/>
    <row r="3" spans="1:5" ht="15">
      <c r="A3" s="371" t="str">
        <f>MID(E3,1,1+IF(MID(E3,2,1)&lt;&gt;" ",IF(MID(E3,3,1)&lt;&gt;" ",IF(MID(E3,4,1)&lt;&gt;" ",3,2),1),0))</f>
        <v>1</v>
      </c>
      <c r="B3" s="372" t="str">
        <f>MID(E3,3+IF(MID(E3,2,1)&lt;&gt;" ",IF(MID(E3,3,1)&lt;&gt;" ",IF(MID(E3,4,1)&lt;&gt;" ",3,2),1),0),100)</f>
        <v>ZKRATKY A POJMY</v>
      </c>
      <c r="C3" s="48">
        <v>4</v>
      </c>
      <c r="E3" s="49" t="str">
        <f>'1'!A1</f>
        <v>1 ZKRATKY A POJMY</v>
      </c>
    </row>
    <row r="4" spans="1:5" ht="15">
      <c r="A4" s="371" t="str">
        <f t="shared" ref="A4:A36" si="0">MID(E4,1,1+IF(MID(E4,2,1)&lt;&gt;" ",IF(MID(E4,3,1)&lt;&gt;" ",IF(MID(E4,4,1)&lt;&gt;" ",3,2),1),0))</f>
        <v>2</v>
      </c>
      <c r="B4" s="372" t="str">
        <f t="shared" ref="B4:B36" si="1">MID(E4,3+IF(MID(E4,2,1)&lt;&gt;" ",IF(MID(E4,3,1)&lt;&gt;" ",IF(MID(E4,4,1)&lt;&gt;" ",3,2),1),0),100)</f>
        <v>STRUČNÝ PŘEHLED ZA III. ČTVRTLETÍ 2023</v>
      </c>
      <c r="C4" s="48">
        <v>6</v>
      </c>
      <c r="E4" s="49" t="str">
        <f>'2'!A1</f>
        <v>2 STRUČNÝ PŘEHLED ZA III. ČTVRTLETÍ 2023</v>
      </c>
    </row>
    <row r="5" spans="1:5" ht="15">
      <c r="A5" s="371" t="str">
        <f t="shared" si="0"/>
        <v>3</v>
      </c>
      <c r="B5" s="372" t="str">
        <f t="shared" si="1"/>
        <v>PLYNÁRENSKÁ SOUSTAVA</v>
      </c>
      <c r="C5" s="48">
        <v>7</v>
      </c>
      <c r="E5" s="49" t="str">
        <f>'3.1'!A1</f>
        <v>3 PLYNÁRENSKÁ SOUSTAVA</v>
      </c>
    </row>
    <row r="6" spans="1:5" ht="15">
      <c r="A6" s="371" t="str">
        <f t="shared" si="0"/>
        <v>3.1</v>
      </c>
      <c r="B6" s="372" t="str">
        <f t="shared" si="1"/>
        <v>Čtvrtletní bilance plynárenské soustavy ČR</v>
      </c>
      <c r="C6" s="48">
        <v>7</v>
      </c>
      <c r="E6" s="50" t="str">
        <f>'3.1'!A2</f>
        <v>3.1 Čtvrtletní bilance plynárenské soustavy ČR</v>
      </c>
    </row>
    <row r="7" spans="1:5" ht="15">
      <c r="A7" s="371" t="str">
        <f t="shared" si="0"/>
        <v>3.2</v>
      </c>
      <c r="B7" s="372" t="str">
        <f t="shared" si="1"/>
        <v>Bilance plynárenské soustavy ČR v průběhu roku</v>
      </c>
      <c r="C7" s="48">
        <v>8</v>
      </c>
      <c r="E7" s="50" t="str">
        <f>'3.2'!A1</f>
        <v>3.2 Bilance plynárenské soustavy ČR v průběhu roku</v>
      </c>
    </row>
    <row r="8" spans="1:5" ht="15">
      <c r="A8" s="371" t="str">
        <f t="shared" si="0"/>
        <v>4</v>
      </c>
      <c r="B8" s="372" t="str">
        <f t="shared" si="1"/>
        <v>SPOTŘEBA ZEMNÍHO PLYNU</v>
      </c>
      <c r="C8" s="48">
        <v>9</v>
      </c>
      <c r="E8" s="49" t="str">
        <f>'4.1'!A1</f>
        <v>4 SPOTŘEBA ZEMNÍHO PLYNU</v>
      </c>
    </row>
    <row r="9" spans="1:5" ht="15">
      <c r="A9" s="371" t="str">
        <f t="shared" si="0"/>
        <v>4.1</v>
      </c>
      <c r="B9" s="372" t="str">
        <f t="shared" si="1"/>
        <v>Spotřeba zemního plynu v ČR v průběhu roku</v>
      </c>
      <c r="C9" s="48">
        <v>9</v>
      </c>
      <c r="E9" s="49" t="str">
        <f>'4.1'!A2</f>
        <v>4.1 Spotřeba zemního plynu v ČR v průběhu roku</v>
      </c>
    </row>
    <row r="10" spans="1:5" ht="15">
      <c r="A10" s="371" t="str">
        <f t="shared" si="0"/>
        <v>4.2</v>
      </c>
      <c r="B10" s="372" t="str">
        <f t="shared" si="1"/>
        <v>Spotřeba zemního plynu v ČR podle kategorií zákazníků v průběhu roku</v>
      </c>
      <c r="C10" s="48">
        <v>10</v>
      </c>
      <c r="E10" s="50" t="str">
        <f>'4.2'!A1</f>
        <v>4.2 Spotřeba zemního plynu v ČR podle kategorií zákazníků v průběhu roku</v>
      </c>
    </row>
    <row r="11" spans="1:5" ht="15">
      <c r="A11" s="371" t="str">
        <f t="shared" si="0"/>
        <v>4.3</v>
      </c>
      <c r="B11" s="372" t="str">
        <f t="shared" si="1"/>
        <v>Denní průběh spotřeb zemního plynu v ČR</v>
      </c>
      <c r="C11" s="48">
        <v>11</v>
      </c>
      <c r="E11" s="50" t="str">
        <f>'4.3'!A1</f>
        <v>4.3 Denní průběh spotřeb zemního plynu v ČR</v>
      </c>
    </row>
    <row r="12" spans="1:5" ht="15">
      <c r="A12" s="371" t="str">
        <f t="shared" si="0"/>
        <v>5</v>
      </c>
      <c r="B12" s="372" t="str">
        <f t="shared" si="1"/>
        <v>SPOTŘEBA ZEMNÍHO PLYNU PODLE DISTRIBUČNÍCH SOUSTAV</v>
      </c>
      <c r="C12" s="48">
        <v>12</v>
      </c>
      <c r="E12" s="49" t="str">
        <f>'5.1'!A1</f>
        <v>5 SPOTŘEBA ZEMNÍHO PLYNU PODLE DISTRIBUČNÍCH SOUSTAV</v>
      </c>
    </row>
    <row r="13" spans="1:5" ht="15">
      <c r="A13" s="371" t="str">
        <f t="shared" si="0"/>
        <v>5.1</v>
      </c>
      <c r="B13" s="372" t="str">
        <f t="shared" si="1"/>
        <v>Spotřeba zemního plynu podle kategorií zákazníků v ČR</v>
      </c>
      <c r="C13" s="48">
        <v>12</v>
      </c>
      <c r="E13" s="50" t="str">
        <f>'5.1'!A2</f>
        <v>5.1 Spotřeba zemního plynu podle kategorií zákazníků v ČR</v>
      </c>
    </row>
    <row r="14" spans="1:5" ht="15">
      <c r="A14" s="371" t="str">
        <f t="shared" si="0"/>
        <v>5.2</v>
      </c>
      <c r="B14" s="372" t="str">
        <f t="shared" si="1"/>
        <v>Spotřeba zemního plynu u společnosti PP Distribuce</v>
      </c>
      <c r="C14" s="48">
        <v>13</v>
      </c>
      <c r="E14" s="51" t="str">
        <f>'5.2'!A1</f>
        <v>5.2 Spotřeba zemního plynu u společnosti PP Distribuce</v>
      </c>
    </row>
    <row r="15" spans="1:5" ht="15">
      <c r="A15" s="371" t="str">
        <f t="shared" si="0"/>
        <v>5.3</v>
      </c>
      <c r="B15" s="372" t="str">
        <f t="shared" si="1"/>
        <v>Spotřeba zemního plynu u společnosti GasNet</v>
      </c>
      <c r="C15" s="48">
        <v>14</v>
      </c>
      <c r="E15" s="52" t="str">
        <f>'5.3'!A1</f>
        <v>5.3 Spotřeba zemního plynu u společnosti GasNet</v>
      </c>
    </row>
    <row r="16" spans="1:5" ht="15">
      <c r="A16" s="371" t="str">
        <f t="shared" si="0"/>
        <v>5.4</v>
      </c>
      <c r="B16" s="372" t="str">
        <f t="shared" si="1"/>
        <v>Spotřeba zemního plynu u společnosti EG.D</v>
      </c>
      <c r="C16" s="48">
        <v>15</v>
      </c>
      <c r="E16" s="52" t="str">
        <f>'5.4'!A1</f>
        <v>5.4 Spotřeba zemního plynu u společnosti EG.D</v>
      </c>
    </row>
    <row r="17" spans="1:5" ht="15">
      <c r="A17" s="371" t="str">
        <f t="shared" si="0"/>
        <v>5.5</v>
      </c>
      <c r="B17" s="372" t="str">
        <f t="shared" si="1"/>
        <v>Spotřeba zemního plynu u ostatních společností</v>
      </c>
      <c r="C17" s="48">
        <v>16</v>
      </c>
      <c r="E17" s="52" t="str">
        <f>'5.5'!A1</f>
        <v>5.5 Spotřeba zemního plynu u ostatních společností</v>
      </c>
    </row>
    <row r="18" spans="1:5" ht="15">
      <c r="A18" s="371" t="str">
        <f t="shared" si="0"/>
        <v>5.6</v>
      </c>
      <c r="B18" s="372" t="str">
        <f t="shared" si="1"/>
        <v>Spotřeba zemního plynu a teplota ovzduší: červenec</v>
      </c>
      <c r="C18" s="48">
        <v>17</v>
      </c>
      <c r="E18" s="50" t="str">
        <f>'5.6'!A1</f>
        <v>5.6 Spotřeba zemního plynu a teplota ovzduší: červenec</v>
      </c>
    </row>
    <row r="19" spans="1:5" ht="15">
      <c r="A19" s="371" t="str">
        <f t="shared" si="0"/>
        <v>5.7</v>
      </c>
      <c r="B19" s="372" t="str">
        <f t="shared" si="1"/>
        <v>Spotřeba zemního plynu a teplota ovzduší: srpen</v>
      </c>
      <c r="C19" s="48">
        <v>18</v>
      </c>
      <c r="E19" s="50" t="str">
        <f>'5.7'!A1</f>
        <v>5.7 Spotřeba zemního plynu a teplota ovzduší: srpen</v>
      </c>
    </row>
    <row r="20" spans="1:5" ht="15">
      <c r="A20" s="371" t="str">
        <f t="shared" si="0"/>
        <v>5.8</v>
      </c>
      <c r="B20" s="372" t="str">
        <f t="shared" si="1"/>
        <v>Spotřeba zemního plynu a teplota ovzduší: září</v>
      </c>
      <c r="C20" s="48">
        <v>19</v>
      </c>
      <c r="E20" s="50" t="str">
        <f>'5.8'!A1</f>
        <v>5.8 Spotřeba zemního plynu a teplota ovzduší: září</v>
      </c>
    </row>
    <row r="21" spans="1:5" ht="15">
      <c r="A21" s="371" t="str">
        <f t="shared" si="0"/>
        <v>5.9</v>
      </c>
      <c r="B21" s="372" t="str">
        <f t="shared" si="1"/>
        <v>Spotřeba zemního plynu a teplota ovzduší: III. čtvrtletí</v>
      </c>
      <c r="C21" s="48">
        <v>20</v>
      </c>
      <c r="E21" s="50" t="str">
        <f>'5.9'!A1</f>
        <v>5.9 Spotřeba zemního plynu a teplota ovzduší: III. čtvrtletí</v>
      </c>
    </row>
    <row r="22" spans="1:5" ht="15">
      <c r="A22" s="371" t="str">
        <f t="shared" si="0"/>
        <v>5.10</v>
      </c>
      <c r="B22" s="372" t="str">
        <f t="shared" si="1"/>
        <v>Spotřeba zemního plynu podle plynárenských soustav v průběhu roku</v>
      </c>
      <c r="C22" s="48">
        <v>21</v>
      </c>
      <c r="E22" s="50" t="str">
        <f>'5.10'!A1</f>
        <v>5.10 Spotřeba zemního plynu podle plynárenských soustav v průběhu roku</v>
      </c>
    </row>
    <row r="23" spans="1:5" ht="15">
      <c r="A23" s="371" t="str">
        <f t="shared" si="0"/>
        <v>6</v>
      </c>
      <c r="B23" s="372" t="str">
        <f t="shared" si="1"/>
        <v>SPOTŘEBA ZEMNÍHO PLYNU PODLE KRAJŮ</v>
      </c>
      <c r="C23" s="48">
        <v>22</v>
      </c>
      <c r="E23" s="49" t="str">
        <f>'6.1'!A1</f>
        <v>6 SPOTŘEBA ZEMNÍHO PLYNU PODLE KRAJŮ</v>
      </c>
    </row>
    <row r="24" spans="1:5" ht="15">
      <c r="A24" s="371" t="str">
        <f t="shared" si="0"/>
        <v>6.1</v>
      </c>
      <c r="B24" s="372" t="str">
        <f t="shared" si="1"/>
        <v>Spotřeba zemního plynu: Jihočeský a Jihomoravský kraj</v>
      </c>
      <c r="C24" s="48">
        <v>22</v>
      </c>
      <c r="E24" s="50" t="str">
        <f>'6.1'!A2</f>
        <v>6.1 Spotřeba zemního plynu: Jihočeský a Jihomoravský kraj</v>
      </c>
    </row>
    <row r="25" spans="1:5" ht="15">
      <c r="A25" s="371" t="str">
        <f t="shared" si="0"/>
        <v>6.2</v>
      </c>
      <c r="B25" s="372" t="str">
        <f t="shared" si="1"/>
        <v>Spotřeba zemního plynu: Karlovarský a Královéhradecký kraj</v>
      </c>
      <c r="C25" s="48">
        <v>23</v>
      </c>
      <c r="E25" s="50" t="str">
        <f>'6.2'!A1</f>
        <v>6.2 Spotřeba zemního plynu: Karlovarský a Královéhradecký kraj</v>
      </c>
    </row>
    <row r="26" spans="1:5" ht="15">
      <c r="A26" s="371" t="str">
        <f t="shared" si="0"/>
        <v>6.3</v>
      </c>
      <c r="B26" s="372" t="str">
        <f t="shared" si="1"/>
        <v>Spotřeba zemního plynu: Liberecký a Moravskoslezský kraj</v>
      </c>
      <c r="C26" s="48">
        <v>24</v>
      </c>
      <c r="E26" s="50" t="str">
        <f>'6.3'!A1</f>
        <v>6.3 Spotřeba zemního plynu: Liberecký a Moravskoslezský kraj</v>
      </c>
    </row>
    <row r="27" spans="1:5" ht="15">
      <c r="A27" s="371" t="str">
        <f t="shared" si="0"/>
        <v>6.4</v>
      </c>
      <c r="B27" s="372" t="str">
        <f t="shared" si="1"/>
        <v>Spotřeba zemního plynu: Olomoucký a Pardubický kraj</v>
      </c>
      <c r="C27" s="48">
        <v>25</v>
      </c>
      <c r="E27" s="50" t="str">
        <f>'6.4'!A1</f>
        <v>6.4 Spotřeba zemního plynu: Olomoucký a Pardubický kraj</v>
      </c>
    </row>
    <row r="28" spans="1:5" ht="15">
      <c r="A28" s="371" t="str">
        <f t="shared" si="0"/>
        <v>6.5</v>
      </c>
      <c r="B28" s="372" t="str">
        <f t="shared" si="1"/>
        <v>Spotřeba zemního plynu: Plzeňský kraj a Hlavní město Praha</v>
      </c>
      <c r="C28" s="48">
        <v>26</v>
      </c>
      <c r="E28" s="50" t="str">
        <f>'6.5'!A1</f>
        <v>6.5 Spotřeba zemního plynu: Plzeňský kraj a Hlavní město Praha</v>
      </c>
    </row>
    <row r="29" spans="1:5" ht="15">
      <c r="A29" s="371" t="str">
        <f t="shared" si="0"/>
        <v>6.6</v>
      </c>
      <c r="B29" s="372" t="str">
        <f t="shared" si="1"/>
        <v>Spotřeba zemního plynu: Středočeský a Ústecký kraj</v>
      </c>
      <c r="C29" s="48">
        <v>27</v>
      </c>
      <c r="E29" s="50" t="str">
        <f>'6.6'!A1</f>
        <v>6.6 Spotřeba zemního plynu: Středočeský a Ústecký kraj</v>
      </c>
    </row>
    <row r="30" spans="1:5" ht="15">
      <c r="A30" s="371" t="str">
        <f t="shared" si="0"/>
        <v>6.7</v>
      </c>
      <c r="B30" s="372" t="str">
        <f t="shared" si="1"/>
        <v>Spotřeba zemního plynu: Kraj Vysočina a Zlínský kraj</v>
      </c>
      <c r="C30" s="48">
        <v>28</v>
      </c>
      <c r="E30" s="50" t="str">
        <f>'6.7'!A1</f>
        <v>6.7 Spotřeba zemního plynu: Kraj Vysočina a Zlínský kraj</v>
      </c>
    </row>
    <row r="31" spans="1:5" ht="15">
      <c r="A31" s="371" t="str">
        <f t="shared" si="0"/>
        <v>6.8</v>
      </c>
      <c r="B31" s="372" t="str">
        <f t="shared" si="1"/>
        <v>Spotřeba zemního plynu a teplota ovzduší podle krajů: červenec</v>
      </c>
      <c r="C31" s="48">
        <v>29</v>
      </c>
      <c r="E31" s="50" t="str">
        <f>'6.8'!A1</f>
        <v>6.8 Spotřeba zemního plynu a teplota ovzduší podle krajů: červenec</v>
      </c>
    </row>
    <row r="32" spans="1:5" ht="15">
      <c r="A32" s="371" t="str">
        <f t="shared" si="0"/>
        <v>6.9</v>
      </c>
      <c r="B32" s="372" t="str">
        <f t="shared" si="1"/>
        <v>Spotřeba zemního plynu a teplota ovzduší podle krajů: srpen</v>
      </c>
      <c r="C32" s="48">
        <v>30</v>
      </c>
      <c r="E32" s="50" t="str">
        <f>'6.9'!A1</f>
        <v>6.9 Spotřeba zemního plynu a teplota ovzduší podle krajů: srpen</v>
      </c>
    </row>
    <row r="33" spans="1:5" ht="15">
      <c r="A33" s="371" t="str">
        <f t="shared" si="0"/>
        <v>6.10</v>
      </c>
      <c r="B33" s="372" t="str">
        <f t="shared" si="1"/>
        <v>Spotřeba zemního plynu a teplota ovzduší podle krajů: září</v>
      </c>
      <c r="C33" s="48">
        <v>31</v>
      </c>
      <c r="E33" s="50" t="str">
        <f>'6.10'!A1</f>
        <v>6.10 Spotřeba zemního plynu a teplota ovzduší podle krajů: září</v>
      </c>
    </row>
    <row r="34" spans="1:5" ht="15">
      <c r="A34" s="371" t="str">
        <f t="shared" si="0"/>
        <v>6.11</v>
      </c>
      <c r="B34" s="372" t="str">
        <f t="shared" si="1"/>
        <v>Spotřeba zemního plynu a teplota ovzduší podle krajů: III. čtvrtletí</v>
      </c>
      <c r="C34" s="48">
        <v>32</v>
      </c>
      <c r="E34" s="50" t="str">
        <f>'6.11'!A1</f>
        <v>6.11 Spotřeba zemního plynu a teplota ovzduší podle krajů: III. čtvrtletí</v>
      </c>
    </row>
    <row r="35" spans="1:5" ht="15">
      <c r="A35" s="371" t="str">
        <f t="shared" si="0"/>
        <v>6.12</v>
      </c>
      <c r="B35" s="372" t="str">
        <f t="shared" si="1"/>
        <v>Spotřeba zemního plynu podle krajů v ČR v průběhu roku</v>
      </c>
      <c r="C35" s="48">
        <v>33</v>
      </c>
      <c r="E35" s="50" t="str">
        <f>'6.12'!A1</f>
        <v>6.12 Spotřeba zemního plynu podle krajů v ČR v průběhu roku</v>
      </c>
    </row>
    <row r="36" spans="1:5" ht="15">
      <c r="A36" s="371" t="str">
        <f t="shared" si="0"/>
        <v>7</v>
      </c>
      <c r="B36" s="372" t="str">
        <f t="shared" si="1"/>
        <v>MAPA PLYNÁRENSKÉ SOUSTAVY ČR</v>
      </c>
      <c r="C36" s="48">
        <v>35</v>
      </c>
      <c r="E36" s="49" t="str">
        <f>'7'!A1</f>
        <v>7 MAPA PLYNÁRENSKÉ SOUSTAVY ČR</v>
      </c>
    </row>
    <row r="37" spans="1:5" ht="12" customHeight="1">
      <c r="B37" s="53"/>
    </row>
    <row r="38" spans="1:5" ht="12" customHeight="1">
      <c r="B38" s="53"/>
    </row>
    <row r="39" spans="1:5" ht="12" customHeight="1">
      <c r="B39" s="53"/>
    </row>
    <row r="40" spans="1:5" ht="12" customHeight="1">
      <c r="B40" s="53"/>
    </row>
    <row r="41" spans="1:5" ht="12" customHeight="1"/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2"/>
  <sheetViews>
    <sheetView showGridLines="0" zoomScaleNormal="100" zoomScaleSheetLayoutView="100" workbookViewId="0">
      <selection activeCell="G1" sqref="G1"/>
    </sheetView>
  </sheetViews>
  <sheetFormatPr defaultRowHeight="11.25"/>
  <cols>
    <col min="1" max="1" width="9.7109375" style="12" customWidth="1"/>
    <col min="2" max="10" width="8.85546875" style="12" customWidth="1"/>
    <col min="11" max="11" width="9" style="12" customWidth="1"/>
    <col min="12" max="12" width="9.28515625" style="12" bestFit="1" customWidth="1"/>
    <col min="13" max="13" width="11.42578125" style="12" bestFit="1" customWidth="1"/>
    <col min="14" max="252" width="9.140625" style="12"/>
    <col min="253" max="265" width="10.7109375" style="12" customWidth="1"/>
    <col min="266" max="508" width="9.140625" style="12"/>
    <col min="509" max="521" width="10.7109375" style="12" customWidth="1"/>
    <col min="522" max="764" width="9.140625" style="12"/>
    <col min="765" max="777" width="10.7109375" style="12" customWidth="1"/>
    <col min="778" max="1020" width="9.140625" style="12"/>
    <col min="1021" max="1033" width="10.7109375" style="12" customWidth="1"/>
    <col min="1034" max="1276" width="9.140625" style="12"/>
    <col min="1277" max="1289" width="10.7109375" style="12" customWidth="1"/>
    <col min="1290" max="1532" width="9.140625" style="12"/>
    <col min="1533" max="1545" width="10.7109375" style="12" customWidth="1"/>
    <col min="1546" max="1788" width="9.140625" style="12"/>
    <col min="1789" max="1801" width="10.7109375" style="12" customWidth="1"/>
    <col min="1802" max="2044" width="9.140625" style="12"/>
    <col min="2045" max="2057" width="10.7109375" style="12" customWidth="1"/>
    <col min="2058" max="2300" width="9.140625" style="12"/>
    <col min="2301" max="2313" width="10.7109375" style="12" customWidth="1"/>
    <col min="2314" max="2556" width="9.140625" style="12"/>
    <col min="2557" max="2569" width="10.7109375" style="12" customWidth="1"/>
    <col min="2570" max="2812" width="9.140625" style="12"/>
    <col min="2813" max="2825" width="10.7109375" style="12" customWidth="1"/>
    <col min="2826" max="3068" width="9.140625" style="12"/>
    <col min="3069" max="3081" width="10.7109375" style="12" customWidth="1"/>
    <col min="3082" max="3324" width="9.140625" style="12"/>
    <col min="3325" max="3337" width="10.7109375" style="12" customWidth="1"/>
    <col min="3338" max="3580" width="9.140625" style="12"/>
    <col min="3581" max="3593" width="10.7109375" style="12" customWidth="1"/>
    <col min="3594" max="3836" width="9.140625" style="12"/>
    <col min="3837" max="3849" width="10.7109375" style="12" customWidth="1"/>
    <col min="3850" max="4092" width="9.140625" style="12"/>
    <col min="4093" max="4105" width="10.7109375" style="12" customWidth="1"/>
    <col min="4106" max="4348" width="9.140625" style="12"/>
    <col min="4349" max="4361" width="10.7109375" style="12" customWidth="1"/>
    <col min="4362" max="4604" width="9.140625" style="12"/>
    <col min="4605" max="4617" width="10.7109375" style="12" customWidth="1"/>
    <col min="4618" max="4860" width="9.140625" style="12"/>
    <col min="4861" max="4873" width="10.7109375" style="12" customWidth="1"/>
    <col min="4874" max="5116" width="9.140625" style="12"/>
    <col min="5117" max="5129" width="10.7109375" style="12" customWidth="1"/>
    <col min="5130" max="5372" width="9.140625" style="12"/>
    <col min="5373" max="5385" width="10.7109375" style="12" customWidth="1"/>
    <col min="5386" max="5628" width="9.140625" style="12"/>
    <col min="5629" max="5641" width="10.7109375" style="12" customWidth="1"/>
    <col min="5642" max="5884" width="9.140625" style="12"/>
    <col min="5885" max="5897" width="10.7109375" style="12" customWidth="1"/>
    <col min="5898" max="6140" width="9.140625" style="12"/>
    <col min="6141" max="6153" width="10.7109375" style="12" customWidth="1"/>
    <col min="6154" max="6396" width="9.140625" style="12"/>
    <col min="6397" max="6409" width="10.7109375" style="12" customWidth="1"/>
    <col min="6410" max="6652" width="9.140625" style="12"/>
    <col min="6653" max="6665" width="10.7109375" style="12" customWidth="1"/>
    <col min="6666" max="6908" width="9.140625" style="12"/>
    <col min="6909" max="6921" width="10.7109375" style="12" customWidth="1"/>
    <col min="6922" max="7164" width="9.140625" style="12"/>
    <col min="7165" max="7177" width="10.7109375" style="12" customWidth="1"/>
    <col min="7178" max="7420" width="9.140625" style="12"/>
    <col min="7421" max="7433" width="10.7109375" style="12" customWidth="1"/>
    <col min="7434" max="7676" width="9.140625" style="12"/>
    <col min="7677" max="7689" width="10.7109375" style="12" customWidth="1"/>
    <col min="7690" max="7932" width="9.140625" style="12"/>
    <col min="7933" max="7945" width="10.7109375" style="12" customWidth="1"/>
    <col min="7946" max="8188" width="9.140625" style="12"/>
    <col min="8189" max="8201" width="10.7109375" style="12" customWidth="1"/>
    <col min="8202" max="8444" width="9.140625" style="12"/>
    <col min="8445" max="8457" width="10.7109375" style="12" customWidth="1"/>
    <col min="8458" max="8700" width="9.140625" style="12"/>
    <col min="8701" max="8713" width="10.7109375" style="12" customWidth="1"/>
    <col min="8714" max="8956" width="9.140625" style="12"/>
    <col min="8957" max="8969" width="10.7109375" style="12" customWidth="1"/>
    <col min="8970" max="9212" width="9.140625" style="12"/>
    <col min="9213" max="9225" width="10.7109375" style="12" customWidth="1"/>
    <col min="9226" max="9468" width="9.140625" style="12"/>
    <col min="9469" max="9481" width="10.7109375" style="12" customWidth="1"/>
    <col min="9482" max="9724" width="9.140625" style="12"/>
    <col min="9725" max="9737" width="10.7109375" style="12" customWidth="1"/>
    <col min="9738" max="9980" width="9.140625" style="12"/>
    <col min="9981" max="9993" width="10.7109375" style="12" customWidth="1"/>
    <col min="9994" max="10236" width="9.140625" style="12"/>
    <col min="10237" max="10249" width="10.7109375" style="12" customWidth="1"/>
    <col min="10250" max="10492" width="9.140625" style="12"/>
    <col min="10493" max="10505" width="10.7109375" style="12" customWidth="1"/>
    <col min="10506" max="10748" width="9.140625" style="12"/>
    <col min="10749" max="10761" width="10.7109375" style="12" customWidth="1"/>
    <col min="10762" max="11004" width="9.140625" style="12"/>
    <col min="11005" max="11017" width="10.7109375" style="12" customWidth="1"/>
    <col min="11018" max="11260" width="9.140625" style="12"/>
    <col min="11261" max="11273" width="10.7109375" style="12" customWidth="1"/>
    <col min="11274" max="11516" width="9.140625" style="12"/>
    <col min="11517" max="11529" width="10.7109375" style="12" customWidth="1"/>
    <col min="11530" max="11772" width="9.140625" style="12"/>
    <col min="11773" max="11785" width="10.7109375" style="12" customWidth="1"/>
    <col min="11786" max="12028" width="9.140625" style="12"/>
    <col min="12029" max="12041" width="10.7109375" style="12" customWidth="1"/>
    <col min="12042" max="12284" width="9.140625" style="12"/>
    <col min="12285" max="12297" width="10.7109375" style="12" customWidth="1"/>
    <col min="12298" max="12540" width="9.140625" style="12"/>
    <col min="12541" max="12553" width="10.7109375" style="12" customWidth="1"/>
    <col min="12554" max="12796" width="9.140625" style="12"/>
    <col min="12797" max="12809" width="10.7109375" style="12" customWidth="1"/>
    <col min="12810" max="13052" width="9.140625" style="12"/>
    <col min="13053" max="13065" width="10.7109375" style="12" customWidth="1"/>
    <col min="13066" max="13308" width="9.140625" style="12"/>
    <col min="13309" max="13321" width="10.7109375" style="12" customWidth="1"/>
    <col min="13322" max="13564" width="9.140625" style="12"/>
    <col min="13565" max="13577" width="10.7109375" style="12" customWidth="1"/>
    <col min="13578" max="13820" width="9.140625" style="12"/>
    <col min="13821" max="13833" width="10.7109375" style="12" customWidth="1"/>
    <col min="13834" max="14076" width="9.140625" style="12"/>
    <col min="14077" max="14089" width="10.7109375" style="12" customWidth="1"/>
    <col min="14090" max="14332" width="9.140625" style="12"/>
    <col min="14333" max="14345" width="10.7109375" style="12" customWidth="1"/>
    <col min="14346" max="14588" width="9.140625" style="12"/>
    <col min="14589" max="14601" width="10.7109375" style="12" customWidth="1"/>
    <col min="14602" max="14844" width="9.140625" style="12"/>
    <col min="14845" max="14857" width="10.7109375" style="12" customWidth="1"/>
    <col min="14858" max="15100" width="9.140625" style="12"/>
    <col min="15101" max="15113" width="10.7109375" style="12" customWidth="1"/>
    <col min="15114" max="15356" width="9.140625" style="12"/>
    <col min="15357" max="15369" width="10.7109375" style="12" customWidth="1"/>
    <col min="15370" max="15612" width="9.140625" style="12"/>
    <col min="15613" max="15625" width="10.7109375" style="12" customWidth="1"/>
    <col min="15626" max="15868" width="9.140625" style="12"/>
    <col min="15869" max="15881" width="10.7109375" style="12" customWidth="1"/>
    <col min="15882" max="16124" width="9.140625" style="12"/>
    <col min="16125" max="16137" width="10.7109375" style="12" customWidth="1"/>
    <col min="16138" max="16384" width="9.140625" style="12"/>
  </cols>
  <sheetData>
    <row r="1" spans="1:15" ht="18">
      <c r="A1" s="450" t="s">
        <v>302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</row>
    <row r="2" spans="1:15" ht="6" customHeight="1">
      <c r="A2" s="522"/>
      <c r="B2" s="523"/>
      <c r="C2" s="523"/>
      <c r="D2" s="523"/>
      <c r="E2" s="523"/>
      <c r="F2" s="523"/>
      <c r="G2" s="523"/>
      <c r="H2" s="523"/>
      <c r="I2" s="523"/>
      <c r="J2" s="208"/>
      <c r="K2" s="207"/>
    </row>
    <row r="3" spans="1:15" ht="20.100000000000001" customHeight="1">
      <c r="A3" s="336">
        <f>'3.1'!A4</f>
        <v>2023</v>
      </c>
      <c r="B3" s="456" t="s">
        <v>276</v>
      </c>
      <c r="C3" s="462"/>
      <c r="D3" s="462"/>
      <c r="E3" s="462"/>
      <c r="F3" s="458"/>
      <c r="G3" s="456" t="s">
        <v>277</v>
      </c>
      <c r="H3" s="462"/>
      <c r="I3" s="462"/>
      <c r="J3" s="462"/>
      <c r="K3" s="462"/>
    </row>
    <row r="4" spans="1:15" ht="67.5" customHeight="1">
      <c r="A4" s="337"/>
      <c r="B4" s="338" t="s">
        <v>83</v>
      </c>
      <c r="C4" s="234" t="s">
        <v>89</v>
      </c>
      <c r="D4" s="234" t="s">
        <v>212</v>
      </c>
      <c r="E4" s="234" t="s">
        <v>84</v>
      </c>
      <c r="F4" s="339" t="s">
        <v>82</v>
      </c>
      <c r="G4" s="338" t="s">
        <v>83</v>
      </c>
      <c r="H4" s="234" t="s">
        <v>89</v>
      </c>
      <c r="I4" s="234" t="s">
        <v>212</v>
      </c>
      <c r="J4" s="234" t="s">
        <v>84</v>
      </c>
      <c r="K4" s="234" t="s">
        <v>82</v>
      </c>
    </row>
    <row r="5" spans="1:15" ht="18" customHeight="1">
      <c r="A5" s="176" t="s">
        <v>160</v>
      </c>
      <c r="B5" s="240">
        <v>104879.74624464105</v>
      </c>
      <c r="C5" s="235">
        <v>724955.80042494205</v>
      </c>
      <c r="D5" s="236">
        <v>36370.573989999997</v>
      </c>
      <c r="E5" s="236">
        <v>25573.489890000004</v>
      </c>
      <c r="F5" s="242">
        <v>891779.61054958298</v>
      </c>
      <c r="G5" s="334">
        <v>1143475.27685</v>
      </c>
      <c r="H5" s="236">
        <v>7893525.4439799991</v>
      </c>
      <c r="I5" s="236">
        <v>397789.60784000007</v>
      </c>
      <c r="J5" s="236">
        <v>279772.96688000002</v>
      </c>
      <c r="K5" s="236">
        <v>9714563.2955499981</v>
      </c>
      <c r="L5" s="56"/>
      <c r="M5" s="57"/>
      <c r="N5" s="57"/>
      <c r="O5" s="57"/>
    </row>
    <row r="6" spans="1:15" ht="18" customHeight="1">
      <c r="A6" s="176" t="s">
        <v>161</v>
      </c>
      <c r="B6" s="240">
        <v>99145.560802454216</v>
      </c>
      <c r="C6" s="236">
        <v>690480.12805244885</v>
      </c>
      <c r="D6" s="236">
        <v>34474.625010000003</v>
      </c>
      <c r="E6" s="236">
        <v>36666.994709999999</v>
      </c>
      <c r="F6" s="242">
        <v>860767.30857490306</v>
      </c>
      <c r="G6" s="334">
        <v>1080096.3679399998</v>
      </c>
      <c r="H6" s="236">
        <v>7485132.0798500003</v>
      </c>
      <c r="I6" s="236">
        <v>374146.90541000001</v>
      </c>
      <c r="J6" s="236">
        <v>402013.99779599992</v>
      </c>
      <c r="K6" s="236">
        <v>9341389.3509959988</v>
      </c>
      <c r="L6" s="58"/>
      <c r="M6" s="57"/>
      <c r="N6" s="57"/>
      <c r="O6" s="57"/>
    </row>
    <row r="7" spans="1:15" ht="18" customHeight="1">
      <c r="A7" s="179" t="s">
        <v>162</v>
      </c>
      <c r="B7" s="241">
        <v>85945.845000000001</v>
      </c>
      <c r="C7" s="239">
        <v>621172.57123024494</v>
      </c>
      <c r="D7" s="239">
        <v>30476.012999999999</v>
      </c>
      <c r="E7" s="239">
        <v>31673.611960000009</v>
      </c>
      <c r="F7" s="243">
        <v>769268.04119024496</v>
      </c>
      <c r="G7" s="335">
        <v>934027.24559895427</v>
      </c>
      <c r="H7" s="239">
        <v>6727420.7430999996</v>
      </c>
      <c r="I7" s="239">
        <v>333084.73147</v>
      </c>
      <c r="J7" s="239">
        <v>345486.69451300008</v>
      </c>
      <c r="K7" s="239">
        <v>8340019.4146819543</v>
      </c>
      <c r="L7" s="59"/>
      <c r="M7" s="57"/>
      <c r="N7" s="57"/>
      <c r="O7" s="57"/>
    </row>
    <row r="8" spans="1:15" ht="18" customHeight="1">
      <c r="A8" s="176" t="s">
        <v>163</v>
      </c>
      <c r="B8" s="240">
        <v>66498.69310795347</v>
      </c>
      <c r="C8" s="236">
        <v>499583.09052440379</v>
      </c>
      <c r="D8" s="236">
        <v>25391.822</v>
      </c>
      <c r="E8" s="236">
        <v>14994.30229</v>
      </c>
      <c r="F8" s="242">
        <v>606467.90792235732</v>
      </c>
      <c r="G8" s="334">
        <v>727192.46755095967</v>
      </c>
      <c r="H8" s="236">
        <v>5447945.7453199988</v>
      </c>
      <c r="I8" s="236">
        <v>276827.32332999998</v>
      </c>
      <c r="J8" s="236">
        <v>163550.26823699998</v>
      </c>
      <c r="K8" s="236">
        <v>6615515.8044379586</v>
      </c>
      <c r="L8" s="58"/>
      <c r="M8" s="57"/>
      <c r="N8" s="57"/>
      <c r="O8" s="57"/>
    </row>
    <row r="9" spans="1:15" ht="18" customHeight="1">
      <c r="A9" s="176" t="s">
        <v>164</v>
      </c>
      <c r="B9" s="240">
        <v>32024.078304436709</v>
      </c>
      <c r="C9" s="236">
        <v>312129.58305154613</v>
      </c>
      <c r="D9" s="236">
        <v>15240.333000000001</v>
      </c>
      <c r="E9" s="236">
        <v>9460.0140199999987</v>
      </c>
      <c r="F9" s="242">
        <v>368854.00837598281</v>
      </c>
      <c r="G9" s="334">
        <v>351546.71426591743</v>
      </c>
      <c r="H9" s="236">
        <v>3416952.4405700001</v>
      </c>
      <c r="I9" s="236">
        <v>166485.35364000002</v>
      </c>
      <c r="J9" s="236">
        <v>103387.27988700004</v>
      </c>
      <c r="K9" s="236">
        <v>4038371.7883629175</v>
      </c>
      <c r="L9" s="58"/>
      <c r="M9" s="57"/>
      <c r="N9" s="57"/>
      <c r="O9" s="57"/>
    </row>
    <row r="10" spans="1:15" ht="18" customHeight="1">
      <c r="A10" s="179" t="s">
        <v>165</v>
      </c>
      <c r="B10" s="241">
        <v>19213.204103457079</v>
      </c>
      <c r="C10" s="239">
        <v>233980.43252500967</v>
      </c>
      <c r="D10" s="239">
        <v>11602.128000000001</v>
      </c>
      <c r="E10" s="239">
        <v>49157.386999999995</v>
      </c>
      <c r="F10" s="243">
        <v>313953.15162846673</v>
      </c>
      <c r="G10" s="335">
        <v>210968.27903787085</v>
      </c>
      <c r="H10" s="239">
        <v>2562045.6708100005</v>
      </c>
      <c r="I10" s="239">
        <v>127210.36707000001</v>
      </c>
      <c r="J10" s="239">
        <v>538789.59597799997</v>
      </c>
      <c r="K10" s="239">
        <v>3439013.9128958713</v>
      </c>
      <c r="L10" s="58"/>
      <c r="M10" s="57"/>
      <c r="N10" s="57"/>
      <c r="O10" s="57"/>
    </row>
    <row r="11" spans="1:15" ht="18" customHeight="1">
      <c r="A11" s="176" t="s">
        <v>166</v>
      </c>
      <c r="B11" s="240">
        <v>18360.978347389762</v>
      </c>
      <c r="C11" s="236">
        <v>211104.98416741923</v>
      </c>
      <c r="D11" s="236">
        <v>8753.857</v>
      </c>
      <c r="E11" s="236">
        <v>42917.060039999997</v>
      </c>
      <c r="F11" s="242">
        <v>281136.87955480895</v>
      </c>
      <c r="G11" s="334">
        <v>201535.32810167197</v>
      </c>
      <c r="H11" s="236">
        <v>2313451.7958700005</v>
      </c>
      <c r="I11" s="236">
        <v>95920.438610000012</v>
      </c>
      <c r="J11" s="236">
        <v>470544.08067399991</v>
      </c>
      <c r="K11" s="236">
        <v>3081451.6432556724</v>
      </c>
      <c r="L11" s="58"/>
      <c r="M11" s="57"/>
      <c r="N11" s="57"/>
      <c r="O11" s="57"/>
    </row>
    <row r="12" spans="1:15" ht="18" customHeight="1">
      <c r="A12" s="176" t="s">
        <v>167</v>
      </c>
      <c r="B12" s="240">
        <v>17394.030885948152</v>
      </c>
      <c r="C12" s="236">
        <v>225681.17319156262</v>
      </c>
      <c r="D12" s="236">
        <v>9990.63501</v>
      </c>
      <c r="E12" s="236">
        <v>34547.457889999998</v>
      </c>
      <c r="F12" s="242">
        <v>287613.29697751079</v>
      </c>
      <c r="G12" s="334">
        <v>191016.02654500445</v>
      </c>
      <c r="H12" s="236">
        <v>2475328.0290799998</v>
      </c>
      <c r="I12" s="236">
        <v>109566.62821</v>
      </c>
      <c r="J12" s="236">
        <v>378971.44529100001</v>
      </c>
      <c r="K12" s="236">
        <v>3154882.1291260044</v>
      </c>
      <c r="L12" s="58"/>
      <c r="M12" s="57"/>
      <c r="N12" s="57"/>
      <c r="O12" s="57"/>
    </row>
    <row r="13" spans="1:15" ht="18" customHeight="1">
      <c r="A13" s="179" t="s">
        <v>168</v>
      </c>
      <c r="B13" s="241">
        <v>18273.080481515786</v>
      </c>
      <c r="C13" s="239">
        <v>236567.15368463221</v>
      </c>
      <c r="D13" s="239">
        <v>10335.236000000001</v>
      </c>
      <c r="E13" s="239">
        <v>37078.404000000017</v>
      </c>
      <c r="F13" s="243">
        <v>302253.87416614802</v>
      </c>
      <c r="G13" s="335">
        <v>201324.94279999193</v>
      </c>
      <c r="H13" s="239">
        <v>2597677.89971</v>
      </c>
      <c r="I13" s="239">
        <v>113326.60682</v>
      </c>
      <c r="J13" s="239">
        <v>407858.01959299989</v>
      </c>
      <c r="K13" s="239">
        <v>3320187.4689229918</v>
      </c>
      <c r="L13" s="58"/>
      <c r="M13" s="57"/>
      <c r="N13" s="57"/>
      <c r="O13" s="57"/>
    </row>
    <row r="14" spans="1:15" ht="18" customHeight="1">
      <c r="A14" s="176" t="s">
        <v>169</v>
      </c>
      <c r="B14" s="240"/>
      <c r="C14" s="236"/>
      <c r="D14" s="236"/>
      <c r="E14" s="236"/>
      <c r="F14" s="242"/>
      <c r="G14" s="334"/>
      <c r="H14" s="236"/>
      <c r="I14" s="236"/>
      <c r="J14" s="236"/>
      <c r="K14" s="236"/>
      <c r="L14" s="58"/>
      <c r="M14" s="57"/>
      <c r="N14" s="57"/>
      <c r="O14" s="57"/>
    </row>
    <row r="15" spans="1:15" ht="18" customHeight="1">
      <c r="A15" s="176" t="s">
        <v>170</v>
      </c>
      <c r="B15" s="240"/>
      <c r="C15" s="236"/>
      <c r="D15" s="236"/>
      <c r="E15" s="236"/>
      <c r="F15" s="242"/>
      <c r="G15" s="334"/>
      <c r="H15" s="236"/>
      <c r="I15" s="236"/>
      <c r="J15" s="236"/>
      <c r="K15" s="236"/>
      <c r="L15" s="58"/>
      <c r="M15" s="57"/>
      <c r="N15" s="57"/>
      <c r="O15" s="57"/>
    </row>
    <row r="16" spans="1:15" ht="18" customHeight="1">
      <c r="A16" s="179" t="s">
        <v>171</v>
      </c>
      <c r="B16" s="241"/>
      <c r="C16" s="239"/>
      <c r="D16" s="239"/>
      <c r="E16" s="239"/>
      <c r="F16" s="243"/>
      <c r="G16" s="335"/>
      <c r="H16" s="239"/>
      <c r="I16" s="239"/>
      <c r="J16" s="239"/>
      <c r="K16" s="239"/>
      <c r="L16" s="58"/>
      <c r="M16" s="57"/>
      <c r="N16" s="57"/>
      <c r="O16" s="57"/>
    </row>
    <row r="17" spans="1:11" ht="18" customHeight="1">
      <c r="A17" s="176" t="s">
        <v>48</v>
      </c>
      <c r="B17" s="240">
        <f>SUM(B5:B7)</f>
        <v>289971.15204709524</v>
      </c>
      <c r="C17" s="235">
        <f>SUM(C5:C7)</f>
        <v>2036608.499707636</v>
      </c>
      <c r="D17" s="235">
        <f t="shared" ref="D17:J17" si="0">SUM(D5:D7)</f>
        <v>101321.212</v>
      </c>
      <c r="E17" s="235">
        <f t="shared" si="0"/>
        <v>93914.096560000005</v>
      </c>
      <c r="F17" s="244">
        <f t="shared" si="0"/>
        <v>2521814.9603147311</v>
      </c>
      <c r="G17" s="240">
        <f t="shared" si="0"/>
        <v>3157598.890388954</v>
      </c>
      <c r="H17" s="235">
        <f t="shared" si="0"/>
        <v>22106078.266929999</v>
      </c>
      <c r="I17" s="235">
        <f t="shared" si="0"/>
        <v>1105021.2447200001</v>
      </c>
      <c r="J17" s="235">
        <f t="shared" si="0"/>
        <v>1027273.659189</v>
      </c>
      <c r="K17" s="235">
        <f>SUM(K5:K7)</f>
        <v>27395972.061227955</v>
      </c>
    </row>
    <row r="18" spans="1:11" ht="18" customHeight="1">
      <c r="A18" s="176" t="s">
        <v>56</v>
      </c>
      <c r="B18" s="240">
        <f>SUM(B8:B10)</f>
        <v>117735.97551584727</v>
      </c>
      <c r="C18" s="235">
        <f>SUM(C8:C10)</f>
        <v>1045693.1061009595</v>
      </c>
      <c r="D18" s="235">
        <f t="shared" ref="D18:J18" si="1">SUM(D8:D10)</f>
        <v>52234.282999999996</v>
      </c>
      <c r="E18" s="235">
        <f t="shared" si="1"/>
        <v>73611.703309999997</v>
      </c>
      <c r="F18" s="244">
        <f t="shared" si="1"/>
        <v>1289275.0679268069</v>
      </c>
      <c r="G18" s="240">
        <f t="shared" si="1"/>
        <v>1289707.460854748</v>
      </c>
      <c r="H18" s="235">
        <f t="shared" si="1"/>
        <v>11426943.856699999</v>
      </c>
      <c r="I18" s="235">
        <f t="shared" si="1"/>
        <v>570523.04404000007</v>
      </c>
      <c r="J18" s="235">
        <f t="shared" si="1"/>
        <v>805727.14410199993</v>
      </c>
      <c r="K18" s="235">
        <f>SUM(K8:K10)</f>
        <v>14092901.505696747</v>
      </c>
    </row>
    <row r="19" spans="1:11" ht="18" customHeight="1">
      <c r="A19" s="176" t="s">
        <v>63</v>
      </c>
      <c r="B19" s="240">
        <f>SUM(B11:B13)</f>
        <v>54028.089714853704</v>
      </c>
      <c r="C19" s="235">
        <f>SUM(C11:C13)</f>
        <v>673353.31104361406</v>
      </c>
      <c r="D19" s="235">
        <f t="shared" ref="D19:J19" si="2">SUM(D11:D13)</f>
        <v>29079.728010000003</v>
      </c>
      <c r="E19" s="235">
        <f t="shared" si="2"/>
        <v>114542.92193000001</v>
      </c>
      <c r="F19" s="244">
        <f t="shared" si="2"/>
        <v>871004.05069846776</v>
      </c>
      <c r="G19" s="240">
        <f t="shared" si="2"/>
        <v>593876.29744666838</v>
      </c>
      <c r="H19" s="235">
        <f t="shared" si="2"/>
        <v>7386457.7246599998</v>
      </c>
      <c r="I19" s="235">
        <f t="shared" si="2"/>
        <v>318813.67363999999</v>
      </c>
      <c r="J19" s="235">
        <f t="shared" si="2"/>
        <v>1257373.5455579998</v>
      </c>
      <c r="K19" s="235">
        <f>SUM(K11:K13)</f>
        <v>9556521.2413046677</v>
      </c>
    </row>
    <row r="20" spans="1:11" ht="18" customHeight="1">
      <c r="A20" s="179" t="s">
        <v>57</v>
      </c>
      <c r="B20" s="400">
        <f>SUM(B14:B16)</f>
        <v>0</v>
      </c>
      <c r="C20" s="401">
        <f>SUM(C14:C16)</f>
        <v>0</v>
      </c>
      <c r="D20" s="401">
        <f t="shared" ref="D20:J20" si="3">SUM(D14:D16)</f>
        <v>0</v>
      </c>
      <c r="E20" s="401">
        <f t="shared" si="3"/>
        <v>0</v>
      </c>
      <c r="F20" s="402">
        <f t="shared" si="3"/>
        <v>0</v>
      </c>
      <c r="G20" s="400">
        <f t="shared" si="3"/>
        <v>0</v>
      </c>
      <c r="H20" s="401">
        <f t="shared" si="3"/>
        <v>0</v>
      </c>
      <c r="I20" s="401">
        <f t="shared" si="3"/>
        <v>0</v>
      </c>
      <c r="J20" s="401">
        <f t="shared" si="3"/>
        <v>0</v>
      </c>
      <c r="K20" s="401">
        <f>SUM(K14:K16)</f>
        <v>0</v>
      </c>
    </row>
    <row r="21" spans="1:11" ht="18" customHeight="1">
      <c r="A21" s="176" t="s">
        <v>58</v>
      </c>
      <c r="B21" s="240">
        <f>SUM(B5:B10)</f>
        <v>407707.12756294251</v>
      </c>
      <c r="C21" s="235">
        <f>SUM(C5:C10)</f>
        <v>3082301.6058085957</v>
      </c>
      <c r="D21" s="235">
        <f t="shared" ref="D21:J21" si="4">SUM(D5:D10)</f>
        <v>153555.495</v>
      </c>
      <c r="E21" s="235">
        <f t="shared" si="4"/>
        <v>167525.79986999999</v>
      </c>
      <c r="F21" s="244">
        <f t="shared" si="4"/>
        <v>3811090.028241538</v>
      </c>
      <c r="G21" s="240">
        <f t="shared" si="4"/>
        <v>4447306.3512437018</v>
      </c>
      <c r="H21" s="235">
        <f t="shared" si="4"/>
        <v>33533022.123629998</v>
      </c>
      <c r="I21" s="235">
        <f t="shared" si="4"/>
        <v>1675544.2887600001</v>
      </c>
      <c r="J21" s="235">
        <f t="shared" si="4"/>
        <v>1833000.8032910002</v>
      </c>
      <c r="K21" s="235">
        <f>SUM(K5:K10)</f>
        <v>41488873.566924706</v>
      </c>
    </row>
    <row r="22" spans="1:11" ht="18" customHeight="1">
      <c r="A22" s="179" t="s">
        <v>59</v>
      </c>
      <c r="B22" s="400">
        <f>SUM(B11:B16)</f>
        <v>54028.089714853704</v>
      </c>
      <c r="C22" s="401">
        <f>SUM(C11:C16)</f>
        <v>673353.31104361406</v>
      </c>
      <c r="D22" s="401">
        <f t="shared" ref="D22:J22" si="5">SUM(D11:D16)</f>
        <v>29079.728010000003</v>
      </c>
      <c r="E22" s="401">
        <f t="shared" si="5"/>
        <v>114542.92193000001</v>
      </c>
      <c r="F22" s="402">
        <f t="shared" si="5"/>
        <v>871004.05069846776</v>
      </c>
      <c r="G22" s="400">
        <f t="shared" si="5"/>
        <v>593876.29744666838</v>
      </c>
      <c r="H22" s="401">
        <f t="shared" si="5"/>
        <v>7386457.7246599998</v>
      </c>
      <c r="I22" s="401">
        <f t="shared" si="5"/>
        <v>318813.67363999999</v>
      </c>
      <c r="J22" s="401">
        <f t="shared" si="5"/>
        <v>1257373.5455579998</v>
      </c>
      <c r="K22" s="401">
        <f>SUM(K11:K16)</f>
        <v>9556521.2413046677</v>
      </c>
    </row>
    <row r="23" spans="1:11" ht="18" customHeight="1">
      <c r="A23" s="216" t="s">
        <v>172</v>
      </c>
      <c r="B23" s="403">
        <f>SUM(B5:B16)</f>
        <v>461735.21727779624</v>
      </c>
      <c r="C23" s="404">
        <f>SUM(C5:C16)</f>
        <v>3755654.9168522102</v>
      </c>
      <c r="D23" s="404">
        <f t="shared" ref="D23:J23" si="6">SUM(D5:D16)</f>
        <v>182635.22300999999</v>
      </c>
      <c r="E23" s="404">
        <f t="shared" si="6"/>
        <v>282068.7218</v>
      </c>
      <c r="F23" s="405">
        <f t="shared" si="6"/>
        <v>4682094.078940006</v>
      </c>
      <c r="G23" s="403">
        <f t="shared" si="6"/>
        <v>5041182.6486903699</v>
      </c>
      <c r="H23" s="404">
        <f t="shared" si="6"/>
        <v>40919479.848289996</v>
      </c>
      <c r="I23" s="404">
        <f t="shared" si="6"/>
        <v>1994357.9624000003</v>
      </c>
      <c r="J23" s="404">
        <f t="shared" si="6"/>
        <v>3090374.3488489999</v>
      </c>
      <c r="K23" s="404">
        <f>SUM(K5:K16)</f>
        <v>51045394.808229379</v>
      </c>
    </row>
    <row r="25" spans="1:11" ht="12" customHeight="1">
      <c r="A25" s="521" t="s">
        <v>278</v>
      </c>
      <c r="B25" s="521"/>
      <c r="C25" s="521"/>
      <c r="D25" s="521"/>
      <c r="E25" s="521"/>
      <c r="F25" s="521"/>
      <c r="G25" s="521"/>
      <c r="H25" s="521"/>
      <c r="I25" s="521"/>
      <c r="J25" s="521"/>
      <c r="K25" s="521"/>
    </row>
    <row r="26" spans="1:11" ht="12" customHeight="1">
      <c r="E26" s="63"/>
      <c r="F26" s="63"/>
      <c r="G26" s="63"/>
      <c r="H26" s="63"/>
    </row>
    <row r="27" spans="1:11" ht="12" customHeight="1">
      <c r="E27" s="63"/>
      <c r="F27" s="63"/>
      <c r="G27" s="63"/>
    </row>
    <row r="28" spans="1:11" ht="12" customHeight="1">
      <c r="E28" s="63"/>
      <c r="F28" s="63"/>
      <c r="G28" s="63"/>
    </row>
    <row r="29" spans="1:11" ht="12" customHeight="1">
      <c r="E29" s="63"/>
      <c r="F29" s="63"/>
      <c r="G29" s="63"/>
    </row>
    <row r="30" spans="1:11" ht="12" customHeight="1">
      <c r="E30" s="63" t="str">
        <f>B4</f>
        <v xml:space="preserve"> PP Distribuce</v>
      </c>
      <c r="F30" s="63" t="str">
        <f t="shared" ref="F30:H30" si="7">C4</f>
        <v xml:space="preserve"> GasNet</v>
      </c>
      <c r="G30" s="63" t="str">
        <f t="shared" si="7"/>
        <v xml:space="preserve"> EG.D</v>
      </c>
      <c r="H30" s="63" t="str">
        <f t="shared" si="7"/>
        <v xml:space="preserve"> Ostatní společnosti</v>
      </c>
    </row>
    <row r="31" spans="1:11" ht="12" customHeight="1">
      <c r="D31" s="12" t="str">
        <f>A17</f>
        <v>I. čtvrtletí</v>
      </c>
      <c r="E31" s="12">
        <f t="shared" ref="E31:H34" si="8">B17</f>
        <v>289971.15204709524</v>
      </c>
      <c r="F31" s="12">
        <f t="shared" si="8"/>
        <v>2036608.499707636</v>
      </c>
      <c r="G31" s="12">
        <f t="shared" si="8"/>
        <v>101321.212</v>
      </c>
      <c r="H31" s="12">
        <f t="shared" si="8"/>
        <v>93914.096560000005</v>
      </c>
    </row>
    <row r="32" spans="1:11" ht="12" customHeight="1">
      <c r="D32" s="12" t="str">
        <f t="shared" ref="D32:D34" si="9">A18</f>
        <v>II. čtvrtletí</v>
      </c>
      <c r="E32" s="12">
        <f t="shared" si="8"/>
        <v>117735.97551584727</v>
      </c>
      <c r="F32" s="12">
        <f t="shared" si="8"/>
        <v>1045693.1061009595</v>
      </c>
      <c r="G32" s="12">
        <f t="shared" si="8"/>
        <v>52234.282999999996</v>
      </c>
      <c r="H32" s="12">
        <f t="shared" si="8"/>
        <v>73611.703309999997</v>
      </c>
    </row>
    <row r="33" spans="4:8" ht="12" customHeight="1">
      <c r="D33" s="12" t="str">
        <f t="shared" si="9"/>
        <v>III. čtvrtletí</v>
      </c>
      <c r="E33" s="12">
        <f t="shared" si="8"/>
        <v>54028.089714853704</v>
      </c>
      <c r="F33" s="12">
        <f t="shared" si="8"/>
        <v>673353.31104361406</v>
      </c>
      <c r="G33" s="12">
        <f t="shared" si="8"/>
        <v>29079.728010000003</v>
      </c>
      <c r="H33" s="12">
        <f t="shared" si="8"/>
        <v>114542.92193000001</v>
      </c>
    </row>
    <row r="34" spans="4:8" ht="12" customHeight="1">
      <c r="D34" s="12" t="str">
        <f t="shared" si="9"/>
        <v>IV. čtvrtletí</v>
      </c>
      <c r="E34" s="12">
        <f t="shared" si="8"/>
        <v>0</v>
      </c>
      <c r="F34" s="12">
        <f t="shared" si="8"/>
        <v>0</v>
      </c>
      <c r="G34" s="12">
        <f t="shared" si="8"/>
        <v>0</v>
      </c>
      <c r="H34" s="12">
        <f t="shared" si="8"/>
        <v>0</v>
      </c>
    </row>
    <row r="35" spans="4:8" ht="12" customHeight="1">
      <c r="E35" s="63"/>
      <c r="F35" s="63"/>
      <c r="G35" s="63"/>
    </row>
    <row r="36" spans="4:8" ht="12" customHeight="1">
      <c r="E36" s="63"/>
      <c r="F36" s="63"/>
      <c r="G36" s="63"/>
    </row>
    <row r="37" spans="4:8" ht="12" customHeight="1">
      <c r="E37" s="63"/>
      <c r="F37" s="63"/>
      <c r="G37" s="63"/>
    </row>
    <row r="38" spans="4:8" ht="12" customHeight="1"/>
    <row r="39" spans="4:8" ht="12" customHeight="1"/>
    <row r="40" spans="4:8" ht="12" customHeight="1"/>
    <row r="41" spans="4:8" ht="12" customHeight="1"/>
    <row r="42" spans="4:8" ht="12" customHeight="1"/>
  </sheetData>
  <mergeCells count="5">
    <mergeCell ref="A25:K25"/>
    <mergeCell ref="A1:K1"/>
    <mergeCell ref="A2:I2"/>
    <mergeCell ref="B3:F3"/>
    <mergeCell ref="G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8:K18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topLeftCell="A16" zoomScaleNormal="100" zoomScaleSheetLayoutView="100" workbookViewId="0">
      <selection activeCell="G1" sqref="G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39" ht="20.25">
      <c r="A1" s="55" t="s">
        <v>290</v>
      </c>
    </row>
    <row r="2" spans="1:39" s="102" customFormat="1" ht="18">
      <c r="A2" s="509" t="s">
        <v>303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</row>
    <row r="3" spans="1:39" ht="6" customHeight="1">
      <c r="A3" s="526"/>
      <c r="B3" s="526"/>
      <c r="C3" s="526"/>
      <c r="D3" s="300"/>
      <c r="E3" s="300"/>
      <c r="F3" s="301"/>
      <c r="G3" s="302"/>
      <c r="H3" s="302"/>
      <c r="I3" s="302"/>
      <c r="J3" s="76"/>
      <c r="K3" s="76"/>
    </row>
    <row r="4" spans="1:39" ht="12.95" customHeight="1">
      <c r="A4" s="487" t="s">
        <v>35</v>
      </c>
      <c r="B4" s="487"/>
      <c r="C4" s="487"/>
      <c r="D4" s="481">
        <f>'3.1'!A4</f>
        <v>2023</v>
      </c>
      <c r="E4" s="353"/>
      <c r="F4" s="342"/>
      <c r="G4" s="342"/>
      <c r="H4" s="342"/>
      <c r="I4" s="481">
        <f>D4-1</f>
        <v>2022</v>
      </c>
      <c r="J4" s="482"/>
      <c r="K4" s="482"/>
    </row>
    <row r="5" spans="1:39" ht="24.95" customHeight="1">
      <c r="A5" s="354"/>
      <c r="B5" s="354"/>
      <c r="C5" s="354"/>
      <c r="D5" s="483"/>
      <c r="E5" s="355"/>
      <c r="F5" s="356"/>
      <c r="G5" s="356"/>
      <c r="H5" s="357"/>
      <c r="I5" s="483"/>
      <c r="J5" s="484"/>
      <c r="K5" s="484"/>
    </row>
    <row r="6" spans="1:39" ht="24.95" customHeight="1">
      <c r="A6" s="304"/>
      <c r="B6" s="272"/>
      <c r="C6" s="305"/>
      <c r="D6" s="364" t="s">
        <v>159</v>
      </c>
      <c r="E6" s="479" t="s">
        <v>60</v>
      </c>
      <c r="F6" s="479"/>
      <c r="G6" s="480" t="s">
        <v>33</v>
      </c>
      <c r="H6" s="480" t="s">
        <v>270</v>
      </c>
      <c r="I6" s="478" t="s">
        <v>60</v>
      </c>
      <c r="J6" s="479"/>
      <c r="K6" s="480" t="s">
        <v>33</v>
      </c>
    </row>
    <row r="7" spans="1:39" ht="24.95" customHeight="1">
      <c r="A7" s="304"/>
      <c r="B7" s="306"/>
      <c r="D7" s="365"/>
      <c r="E7" s="479"/>
      <c r="F7" s="479"/>
      <c r="G7" s="480"/>
      <c r="H7" s="480"/>
      <c r="I7" s="478"/>
      <c r="J7" s="479"/>
      <c r="K7" s="480"/>
    </row>
    <row r="8" spans="1:39" ht="15" customHeight="1">
      <c r="A8" s="488" t="s">
        <v>158</v>
      </c>
      <c r="B8" s="488"/>
      <c r="C8" s="323" t="s">
        <v>184</v>
      </c>
      <c r="D8" s="343"/>
      <c r="E8" s="219" t="s">
        <v>261</v>
      </c>
      <c r="F8" s="219" t="s">
        <v>262</v>
      </c>
      <c r="G8" s="476"/>
      <c r="H8" s="476"/>
      <c r="I8" s="221" t="s">
        <v>261</v>
      </c>
      <c r="J8" s="219" t="s">
        <v>262</v>
      </c>
      <c r="K8" s="4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</row>
    <row r="9" spans="1:39" ht="11.1" customHeight="1">
      <c r="A9" s="443" t="str">
        <f>'3.1'!D5</f>
        <v>Červenec</v>
      </c>
      <c r="B9" s="443"/>
      <c r="C9" s="164" t="s">
        <v>4</v>
      </c>
      <c r="D9" s="312">
        <v>81</v>
      </c>
      <c r="E9" s="308">
        <v>4399.61121</v>
      </c>
      <c r="F9" s="308">
        <v>48208.739800000003</v>
      </c>
      <c r="G9" s="309">
        <f>E9/$E$14</f>
        <v>0.58675184316107176</v>
      </c>
      <c r="H9" s="309">
        <f>(E9-I9)/I9</f>
        <v>-0.24564649885818934</v>
      </c>
      <c r="I9" s="312">
        <v>5832.2937499999998</v>
      </c>
      <c r="J9" s="308">
        <v>63092.587370000001</v>
      </c>
      <c r="K9" s="309">
        <f>I9/$I$14</f>
        <v>0.65105467845314546</v>
      </c>
      <c r="N9" s="77"/>
      <c r="O9" s="77"/>
      <c r="P9" s="77"/>
      <c r="Q9" s="77"/>
      <c r="R9" s="77"/>
      <c r="S9" s="77"/>
      <c r="T9" s="77"/>
      <c r="U9" s="103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7"/>
      <c r="AG9" s="77"/>
      <c r="AH9" s="77"/>
      <c r="AI9" s="77"/>
      <c r="AJ9" s="77"/>
      <c r="AK9" s="77"/>
      <c r="AL9" s="77"/>
      <c r="AM9" s="93"/>
    </row>
    <row r="10" spans="1:39" ht="11.1" customHeight="1">
      <c r="A10" s="437"/>
      <c r="B10" s="437"/>
      <c r="C10" s="154" t="s">
        <v>5</v>
      </c>
      <c r="D10" s="313">
        <v>276</v>
      </c>
      <c r="E10" s="129">
        <v>1348.34592</v>
      </c>
      <c r="F10" s="129">
        <v>14774.66964</v>
      </c>
      <c r="G10" s="307">
        <f>E10/$E$14</f>
        <v>0.17982144694524291</v>
      </c>
      <c r="H10" s="307">
        <f>(E10-I10)/I10</f>
        <v>4.1776286520923057E-2</v>
      </c>
      <c r="I10" s="313">
        <v>1294.2758800000001</v>
      </c>
      <c r="J10" s="129">
        <v>14003.93548</v>
      </c>
      <c r="K10" s="307">
        <f>I10/$I$14</f>
        <v>0.14447906827104892</v>
      </c>
      <c r="L10" s="93"/>
      <c r="N10" s="77"/>
      <c r="O10" s="77"/>
      <c r="P10" s="77"/>
      <c r="Q10" s="77"/>
      <c r="R10" s="77"/>
      <c r="S10" s="77"/>
      <c r="T10" s="77"/>
      <c r="U10" s="103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7"/>
      <c r="AG10" s="77"/>
      <c r="AH10" s="77"/>
      <c r="AI10" s="77"/>
      <c r="AJ10" s="77"/>
      <c r="AK10" s="77"/>
      <c r="AL10" s="77"/>
    </row>
    <row r="11" spans="1:39" ht="11.1" customHeight="1">
      <c r="A11" s="437"/>
      <c r="B11" s="437"/>
      <c r="C11" s="154" t="s">
        <v>6</v>
      </c>
      <c r="D11" s="313">
        <v>9573</v>
      </c>
      <c r="E11" s="129">
        <v>558.15918999999997</v>
      </c>
      <c r="F11" s="129">
        <v>6116.3843200000001</v>
      </c>
      <c r="G11" s="307">
        <f>E11/$E$14</f>
        <v>7.4438607840030216E-2</v>
      </c>
      <c r="H11" s="307">
        <f t="shared" ref="H11:H13" si="0">(E11-I11)/I11</f>
        <v>-3.6572796415553999E-2</v>
      </c>
      <c r="I11" s="313">
        <v>579.34754999999996</v>
      </c>
      <c r="J11" s="129">
        <v>6267.6146399999998</v>
      </c>
      <c r="K11" s="307">
        <f>I11/$I$14</f>
        <v>6.4672142564470042E-2</v>
      </c>
      <c r="L11" s="93"/>
      <c r="N11" s="77"/>
      <c r="O11" s="77"/>
      <c r="P11" s="77"/>
      <c r="Q11" s="77"/>
      <c r="R11" s="77"/>
      <c r="S11" s="77"/>
      <c r="T11" s="77"/>
      <c r="U11" s="103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7"/>
      <c r="AG11" s="77"/>
      <c r="AH11" s="77"/>
      <c r="AI11" s="77"/>
      <c r="AJ11" s="77"/>
      <c r="AK11" s="77"/>
      <c r="AL11" s="77"/>
    </row>
    <row r="12" spans="1:39" ht="11.1" customHeight="1">
      <c r="A12" s="437"/>
      <c r="B12" s="437"/>
      <c r="C12" s="154" t="s">
        <v>7</v>
      </c>
      <c r="D12" s="313">
        <v>92783</v>
      </c>
      <c r="E12" s="129">
        <v>887.19731999999999</v>
      </c>
      <c r="F12" s="129">
        <v>9721.1556</v>
      </c>
      <c r="G12" s="307">
        <f>E12/$E$14</f>
        <v>0.11832060559677572</v>
      </c>
      <c r="H12" s="307">
        <f t="shared" si="0"/>
        <v>-3.325290958300537E-2</v>
      </c>
      <c r="I12" s="313">
        <v>917.71397999999999</v>
      </c>
      <c r="J12" s="129">
        <v>9929.6043399999999</v>
      </c>
      <c r="K12" s="307">
        <f>I12/$I$14</f>
        <v>0.1024437392511062</v>
      </c>
      <c r="L12" s="93"/>
      <c r="N12" s="77"/>
      <c r="O12" s="77"/>
      <c r="P12" s="77"/>
      <c r="Q12" s="77"/>
      <c r="R12" s="77"/>
      <c r="S12" s="77"/>
      <c r="T12" s="77"/>
      <c r="U12" s="103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7"/>
      <c r="AG12" s="77"/>
      <c r="AH12" s="77"/>
      <c r="AI12" s="77"/>
      <c r="AJ12" s="77"/>
      <c r="AK12" s="77"/>
      <c r="AL12" s="77"/>
    </row>
    <row r="13" spans="1:39" ht="11.1" customHeight="1">
      <c r="A13" s="437"/>
      <c r="B13" s="437"/>
      <c r="C13" s="154" t="s">
        <v>93</v>
      </c>
      <c r="D13" s="313">
        <v>15</v>
      </c>
      <c r="E13" s="129">
        <v>304.935</v>
      </c>
      <c r="F13" s="129">
        <v>3341.4279999999999</v>
      </c>
      <c r="G13" s="307">
        <f>E13/$E$14</f>
        <v>4.0667496456879296E-2</v>
      </c>
      <c r="H13" s="307">
        <f t="shared" si="0"/>
        <v>-8.8639033093938044E-2</v>
      </c>
      <c r="I13" s="313">
        <v>334.59300000000002</v>
      </c>
      <c r="J13" s="129">
        <v>3618.97</v>
      </c>
      <c r="K13" s="307">
        <f>I13/$I$14</f>
        <v>3.735037146022923E-2</v>
      </c>
      <c r="L13" s="93"/>
      <c r="N13" s="77"/>
      <c r="O13" s="77"/>
      <c r="P13" s="77"/>
      <c r="Q13" s="77"/>
      <c r="R13" s="77"/>
      <c r="S13" s="77"/>
      <c r="T13" s="77"/>
      <c r="U13" s="103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7"/>
      <c r="AG13" s="77"/>
      <c r="AH13" s="77"/>
      <c r="AI13" s="77"/>
      <c r="AJ13" s="77"/>
      <c r="AK13" s="77"/>
      <c r="AL13" s="77"/>
    </row>
    <row r="14" spans="1:39" ht="11.1" customHeight="1">
      <c r="A14" s="442"/>
      <c r="B14" s="442"/>
      <c r="C14" s="318" t="s">
        <v>0</v>
      </c>
      <c r="D14" s="321">
        <v>102728</v>
      </c>
      <c r="E14" s="319">
        <v>7498.2486400000007</v>
      </c>
      <c r="F14" s="319">
        <v>82162.377359999999</v>
      </c>
      <c r="G14" s="320">
        <f>SUM(G9:G13)</f>
        <v>0.99999999999999989</v>
      </c>
      <c r="H14" s="320">
        <f>(E14-I14)/I14</f>
        <v>-0.16297599768925639</v>
      </c>
      <c r="I14" s="321">
        <v>8958.2241600000016</v>
      </c>
      <c r="J14" s="319">
        <v>96912.711830000015</v>
      </c>
      <c r="K14" s="320">
        <f>SUM(K9:K13)</f>
        <v>0.99999999999999989</v>
      </c>
      <c r="L14" s="93"/>
      <c r="M14" s="93"/>
      <c r="N14" s="77"/>
      <c r="O14" s="77"/>
      <c r="P14" s="77"/>
      <c r="Q14" s="77"/>
      <c r="R14" s="77"/>
      <c r="S14" s="77"/>
      <c r="T14" s="77"/>
      <c r="U14" s="103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7"/>
      <c r="AG14" s="77"/>
      <c r="AH14" s="77"/>
      <c r="AI14" s="77"/>
      <c r="AJ14" s="77"/>
      <c r="AK14" s="77"/>
      <c r="AL14" s="77"/>
    </row>
    <row r="15" spans="1:39" ht="11.1" customHeight="1">
      <c r="A15" s="443" t="str">
        <f>'3.1'!E5</f>
        <v>Srpen</v>
      </c>
      <c r="B15" s="443"/>
      <c r="C15" s="164" t="s">
        <v>4</v>
      </c>
      <c r="D15" s="312">
        <v>82</v>
      </c>
      <c r="E15" s="308">
        <v>5279.2472799999996</v>
      </c>
      <c r="F15" s="308">
        <v>57896.976990000003</v>
      </c>
      <c r="G15" s="309">
        <f>E15/$E$20</f>
        <v>0.61087797464300297</v>
      </c>
      <c r="H15" s="309">
        <f>(E15-I15)/I15</f>
        <v>-0.13448276715159183</v>
      </c>
      <c r="I15" s="312">
        <v>6099.5287900000003</v>
      </c>
      <c r="J15" s="308">
        <v>66289.068979999996</v>
      </c>
      <c r="K15" s="309">
        <f>I15/$I$20</f>
        <v>0.66885512171124795</v>
      </c>
      <c r="L15" s="93"/>
      <c r="M15" s="93"/>
      <c r="N15" s="77"/>
      <c r="O15" s="77"/>
      <c r="P15" s="77"/>
      <c r="Q15" s="77"/>
      <c r="R15" s="77"/>
      <c r="S15" s="77"/>
      <c r="T15" s="77"/>
      <c r="U15" s="103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7"/>
      <c r="AG15" s="77"/>
      <c r="AH15" s="77"/>
      <c r="AI15" s="77"/>
      <c r="AJ15" s="77"/>
      <c r="AK15" s="77"/>
      <c r="AL15" s="77"/>
    </row>
    <row r="16" spans="1:39" ht="11.1" customHeight="1">
      <c r="A16" s="437"/>
      <c r="B16" s="437"/>
      <c r="C16" s="154" t="s">
        <v>5</v>
      </c>
      <c r="D16" s="313">
        <v>274</v>
      </c>
      <c r="E16" s="129">
        <v>1399.2053600000002</v>
      </c>
      <c r="F16" s="129">
        <v>15345.04601</v>
      </c>
      <c r="G16" s="307">
        <f>E16/$E$20</f>
        <v>0.16190636488360025</v>
      </c>
      <c r="H16" s="307">
        <f>(E16-I16)/I16</f>
        <v>6.6555059943221528E-2</v>
      </c>
      <c r="I16" s="313">
        <v>1311.89229</v>
      </c>
      <c r="J16" s="129">
        <v>14256.742480000001</v>
      </c>
      <c r="K16" s="307">
        <f>I16/$I$20</f>
        <v>0.14385797780618359</v>
      </c>
      <c r="L16" s="97"/>
      <c r="M16" s="93"/>
      <c r="N16" s="77"/>
      <c r="O16" s="77"/>
      <c r="P16" s="77"/>
      <c r="Q16" s="77"/>
      <c r="R16" s="77"/>
      <c r="S16" s="77"/>
      <c r="T16" s="77"/>
      <c r="U16" s="103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7"/>
      <c r="AG16" s="77"/>
      <c r="AH16" s="77"/>
      <c r="AI16" s="77"/>
      <c r="AJ16" s="77"/>
      <c r="AK16" s="77"/>
      <c r="AL16" s="77"/>
    </row>
    <row r="17" spans="1:38" ht="11.1" customHeight="1">
      <c r="A17" s="437"/>
      <c r="B17" s="437"/>
      <c r="C17" s="154" t="s">
        <v>6</v>
      </c>
      <c r="D17" s="313">
        <v>9563</v>
      </c>
      <c r="E17" s="129">
        <v>634.41647</v>
      </c>
      <c r="F17" s="129">
        <v>6957.93019</v>
      </c>
      <c r="G17" s="307">
        <f>E17/$E$20</f>
        <v>7.3410285163562849E-2</v>
      </c>
      <c r="H17" s="307">
        <f t="shared" ref="H17:H20" si="1">(E17-I17)/I17</f>
        <v>0.1838833212506597</v>
      </c>
      <c r="I17" s="313">
        <v>535.87752999999998</v>
      </c>
      <c r="J17" s="129">
        <v>5824.0598499999996</v>
      </c>
      <c r="K17" s="307">
        <f>I17/$I$20</f>
        <v>5.8762642638575516E-2</v>
      </c>
      <c r="L17" s="93"/>
      <c r="M17" s="93"/>
      <c r="N17" s="77"/>
      <c r="O17" s="77"/>
      <c r="P17" s="77"/>
      <c r="Q17" s="77"/>
      <c r="R17" s="77"/>
      <c r="S17" s="77"/>
      <c r="T17" s="77"/>
      <c r="U17" s="103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7"/>
      <c r="AG17" s="77"/>
      <c r="AH17" s="77"/>
      <c r="AI17" s="77"/>
      <c r="AJ17" s="77"/>
      <c r="AK17" s="77"/>
      <c r="AL17" s="77"/>
    </row>
    <row r="18" spans="1:38" ht="11.1" customHeight="1">
      <c r="A18" s="437"/>
      <c r="B18" s="437"/>
      <c r="C18" s="154" t="s">
        <v>7</v>
      </c>
      <c r="D18" s="313">
        <v>92718</v>
      </c>
      <c r="E18" s="129">
        <v>1006.87008</v>
      </c>
      <c r="F18" s="129">
        <v>11043.018450000001</v>
      </c>
      <c r="G18" s="307">
        <f>E18/$E$20</f>
        <v>0.11650804036575428</v>
      </c>
      <c r="H18" s="307">
        <f t="shared" si="1"/>
        <v>0.18663366480158466</v>
      </c>
      <c r="I18" s="313">
        <v>848.50962000000004</v>
      </c>
      <c r="J18" s="129">
        <v>9223.1608699999997</v>
      </c>
      <c r="K18" s="307">
        <f>I18/$I$20</f>
        <v>9.3044893252854824E-2</v>
      </c>
      <c r="L18" s="93"/>
      <c r="M18" s="93"/>
      <c r="N18" s="77"/>
      <c r="O18" s="77"/>
      <c r="P18" s="77"/>
      <c r="Q18" s="77"/>
      <c r="R18" s="77"/>
      <c r="S18" s="77"/>
      <c r="T18" s="77"/>
      <c r="U18" s="103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7"/>
      <c r="AG18" s="77"/>
      <c r="AH18" s="77"/>
      <c r="AI18" s="77"/>
      <c r="AJ18" s="77"/>
      <c r="AK18" s="77"/>
      <c r="AL18" s="77"/>
    </row>
    <row r="19" spans="1:38" ht="11.1" customHeight="1">
      <c r="A19" s="437"/>
      <c r="B19" s="437"/>
      <c r="C19" s="154" t="s">
        <v>93</v>
      </c>
      <c r="D19" s="313">
        <v>15</v>
      </c>
      <c r="E19" s="129">
        <v>322.32600000000002</v>
      </c>
      <c r="F19" s="129">
        <v>3534.9989999999998</v>
      </c>
      <c r="G19" s="307">
        <f>E19/$E$20</f>
        <v>3.729733494407949E-2</v>
      </c>
      <c r="H19" s="307">
        <f t="shared" si="1"/>
        <v>-3.7799529592116078E-3</v>
      </c>
      <c r="I19" s="313">
        <v>323.54899999999998</v>
      </c>
      <c r="J19" s="129">
        <v>3515.2269999999999</v>
      </c>
      <c r="K19" s="307">
        <f>I19/$I$20</f>
        <v>3.5479364591137957E-2</v>
      </c>
      <c r="L19" s="93"/>
      <c r="M19" s="93"/>
      <c r="N19" s="77"/>
      <c r="O19" s="77"/>
      <c r="P19" s="77"/>
      <c r="Q19" s="77"/>
      <c r="R19" s="77"/>
      <c r="S19" s="77"/>
      <c r="T19" s="77"/>
      <c r="U19" s="103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7"/>
      <c r="AG19" s="77"/>
      <c r="AH19" s="77"/>
      <c r="AI19" s="77"/>
      <c r="AJ19" s="77"/>
      <c r="AK19" s="77"/>
      <c r="AL19" s="77"/>
    </row>
    <row r="20" spans="1:38" ht="11.1" customHeight="1">
      <c r="A20" s="442"/>
      <c r="B20" s="442"/>
      <c r="C20" s="318" t="s">
        <v>0</v>
      </c>
      <c r="D20" s="321">
        <v>102652</v>
      </c>
      <c r="E20" s="319">
        <v>8642.0651900000012</v>
      </c>
      <c r="F20" s="319">
        <v>94777.97064</v>
      </c>
      <c r="G20" s="320">
        <f>SUM(G15:G19)</f>
        <v>0.99999999999999978</v>
      </c>
      <c r="H20" s="320">
        <f t="shared" si="1"/>
        <v>-5.2338342271519962E-2</v>
      </c>
      <c r="I20" s="321">
        <v>9119.3572300000014</v>
      </c>
      <c r="J20" s="319">
        <v>99108.259180000008</v>
      </c>
      <c r="K20" s="320">
        <f>SUM(K15:K19)</f>
        <v>0.99999999999999989</v>
      </c>
      <c r="L20" s="93"/>
      <c r="M20" s="93"/>
      <c r="N20" s="77"/>
      <c r="O20" s="77"/>
      <c r="P20" s="77"/>
      <c r="Q20" s="77"/>
      <c r="R20" s="77"/>
      <c r="S20" s="77"/>
      <c r="T20" s="77"/>
      <c r="U20" s="103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7"/>
      <c r="AG20" s="77"/>
      <c r="AH20" s="77"/>
      <c r="AI20" s="77"/>
      <c r="AJ20" s="77"/>
      <c r="AK20" s="77"/>
      <c r="AL20" s="77"/>
    </row>
    <row r="21" spans="1:38" ht="11.1" customHeight="1">
      <c r="A21" s="443" t="str">
        <f>'3.1'!F5</f>
        <v>Září</v>
      </c>
      <c r="B21" s="443"/>
      <c r="C21" s="164" t="s">
        <v>4</v>
      </c>
      <c r="D21" s="312">
        <v>82</v>
      </c>
      <c r="E21" s="308">
        <v>5381.2361099999998</v>
      </c>
      <c r="F21" s="308">
        <v>59005.792079999999</v>
      </c>
      <c r="G21" s="309">
        <f>E21/$E$26</f>
        <v>0.61364337228980537</v>
      </c>
      <c r="H21" s="309">
        <f>(E21-I21)/I21</f>
        <v>-0.25164236398783368</v>
      </c>
      <c r="I21" s="312">
        <v>7190.7278699999997</v>
      </c>
      <c r="J21" s="308">
        <v>78212.108890000003</v>
      </c>
      <c r="K21" s="309">
        <f>I21/$I$26</f>
        <v>0.54069024959404954</v>
      </c>
      <c r="L21" s="88"/>
      <c r="M21" s="88"/>
      <c r="N21" s="77"/>
      <c r="O21" s="77"/>
      <c r="P21" s="77"/>
      <c r="Q21" s="77"/>
      <c r="R21" s="77"/>
      <c r="S21" s="77"/>
      <c r="T21" s="77"/>
      <c r="U21" s="103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7"/>
      <c r="AG21" s="77"/>
      <c r="AH21" s="77"/>
      <c r="AI21" s="77"/>
      <c r="AJ21" s="77"/>
      <c r="AK21" s="77"/>
      <c r="AL21" s="77"/>
    </row>
    <row r="22" spans="1:38" ht="11.1" customHeight="1">
      <c r="A22" s="437"/>
      <c r="B22" s="437"/>
      <c r="C22" s="154" t="s">
        <v>5</v>
      </c>
      <c r="D22" s="313">
        <v>273</v>
      </c>
      <c r="E22" s="129">
        <v>1384.6593499999999</v>
      </c>
      <c r="F22" s="129">
        <v>15183.79833</v>
      </c>
      <c r="G22" s="307">
        <f>E22/$E$26</f>
        <v>0.15789811404625578</v>
      </c>
      <c r="H22" s="307">
        <f t="shared" ref="H22:H26" si="2">(E22-I22)/I22</f>
        <v>-0.23764749665009557</v>
      </c>
      <c r="I22" s="313">
        <v>1816.2980300000002</v>
      </c>
      <c r="J22" s="129">
        <v>19758.878120000001</v>
      </c>
      <c r="K22" s="307">
        <f>I22/$I$26</f>
        <v>0.13657235441700571</v>
      </c>
      <c r="L22" s="88"/>
      <c r="M22" s="88"/>
      <c r="N22" s="77"/>
      <c r="O22" s="77"/>
      <c r="P22" s="77"/>
      <c r="Q22" s="77"/>
      <c r="R22" s="77"/>
      <c r="S22" s="77"/>
      <c r="T22" s="77"/>
      <c r="U22" s="103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/>
      <c r="AG22" s="77"/>
      <c r="AH22" s="77"/>
      <c r="AI22" s="77"/>
      <c r="AJ22" s="77"/>
      <c r="AK22" s="77"/>
      <c r="AL22" s="77"/>
    </row>
    <row r="23" spans="1:38" ht="11.1" customHeight="1">
      <c r="A23" s="437"/>
      <c r="B23" s="437"/>
      <c r="C23" s="154" t="s">
        <v>6</v>
      </c>
      <c r="D23" s="313">
        <v>9560</v>
      </c>
      <c r="E23" s="129">
        <v>650.72681</v>
      </c>
      <c r="F23" s="129">
        <v>7135.0602999999992</v>
      </c>
      <c r="G23" s="307">
        <f>E23/$E$26</f>
        <v>7.4204919829802346E-2</v>
      </c>
      <c r="H23" s="307">
        <f t="shared" si="2"/>
        <v>-0.57838443442100018</v>
      </c>
      <c r="I23" s="313">
        <v>1543.4126800000001</v>
      </c>
      <c r="J23" s="129">
        <v>16788.710050000002</v>
      </c>
      <c r="K23" s="307">
        <f>I23/$I$26</f>
        <v>0.11605336792919423</v>
      </c>
      <c r="L23" s="88"/>
      <c r="M23" s="88"/>
      <c r="N23" s="77"/>
      <c r="O23" s="77"/>
      <c r="P23" s="77"/>
      <c r="Q23" s="77"/>
      <c r="R23" s="77"/>
      <c r="S23" s="77"/>
      <c r="T23" s="77"/>
      <c r="U23" s="103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7"/>
      <c r="AG23" s="77"/>
      <c r="AH23" s="77"/>
      <c r="AI23" s="77"/>
      <c r="AJ23" s="77"/>
      <c r="AK23" s="77"/>
      <c r="AL23" s="77"/>
    </row>
    <row r="24" spans="1:38" ht="11.1" customHeight="1">
      <c r="A24" s="437"/>
      <c r="B24" s="437"/>
      <c r="C24" s="154" t="s">
        <v>7</v>
      </c>
      <c r="D24" s="313">
        <v>92665</v>
      </c>
      <c r="E24" s="129">
        <v>1032.16938</v>
      </c>
      <c r="F24" s="129">
        <v>11318.15748</v>
      </c>
      <c r="G24" s="307">
        <f>E24/$E$26</f>
        <v>0.11770230597026853</v>
      </c>
      <c r="H24" s="307">
        <f t="shared" si="2"/>
        <v>-0.57842342363647314</v>
      </c>
      <c r="I24" s="313">
        <v>2448.3556199999998</v>
      </c>
      <c r="J24" s="129">
        <v>26629.947239999998</v>
      </c>
      <c r="K24" s="307">
        <f>I24/$I$26</f>
        <v>0.18409847169933216</v>
      </c>
      <c r="L24" s="88"/>
      <c r="M24" s="88"/>
      <c r="N24" s="77"/>
      <c r="O24" s="77"/>
      <c r="P24" s="77"/>
      <c r="Q24" s="77"/>
      <c r="R24" s="77"/>
      <c r="S24" s="77"/>
      <c r="T24" s="77"/>
      <c r="U24" s="103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7"/>
      <c r="AG24" s="77"/>
      <c r="AH24" s="77"/>
      <c r="AI24" s="77"/>
      <c r="AJ24" s="77"/>
      <c r="AK24" s="77"/>
      <c r="AL24" s="77"/>
    </row>
    <row r="25" spans="1:38" ht="11.1" customHeight="1">
      <c r="A25" s="437"/>
      <c r="B25" s="437"/>
      <c r="C25" s="154" t="s">
        <v>93</v>
      </c>
      <c r="D25" s="313">
        <v>15</v>
      </c>
      <c r="E25" s="129">
        <v>320.52999999999997</v>
      </c>
      <c r="F25" s="129">
        <v>3514.2330000000002</v>
      </c>
      <c r="G25" s="307">
        <f>E25/$E$26</f>
        <v>3.6551287863868007E-2</v>
      </c>
      <c r="H25" s="307">
        <f t="shared" si="2"/>
        <v>6.7120774780353304E-2</v>
      </c>
      <c r="I25" s="313">
        <v>300.36900000000003</v>
      </c>
      <c r="J25" s="129">
        <v>3262.623</v>
      </c>
      <c r="K25" s="307">
        <f>I25/$I$26</f>
        <v>2.2585556360418226E-2</v>
      </c>
      <c r="L25" s="88"/>
      <c r="M25" s="88"/>
      <c r="N25" s="77"/>
      <c r="O25" s="77"/>
      <c r="P25" s="77"/>
      <c r="Q25" s="77"/>
      <c r="R25" s="77"/>
      <c r="S25" s="77"/>
      <c r="T25" s="77"/>
      <c r="U25" s="103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7"/>
      <c r="AG25" s="77"/>
      <c r="AH25" s="77"/>
      <c r="AI25" s="77"/>
      <c r="AJ25" s="77"/>
      <c r="AK25" s="77"/>
      <c r="AL25" s="77"/>
    </row>
    <row r="26" spans="1:38" ht="11.1" customHeight="1">
      <c r="A26" s="442"/>
      <c r="B26" s="442"/>
      <c r="C26" s="318" t="s">
        <v>0</v>
      </c>
      <c r="D26" s="321">
        <v>102595</v>
      </c>
      <c r="E26" s="319">
        <v>8769.3216499999999</v>
      </c>
      <c r="F26" s="319">
        <v>96157.041189999989</v>
      </c>
      <c r="G26" s="320">
        <f>SUM(G21:G25)</f>
        <v>1</v>
      </c>
      <c r="H26" s="320">
        <f t="shared" si="2"/>
        <v>-0.34061102054902226</v>
      </c>
      <c r="I26" s="321">
        <v>13299.163200000001</v>
      </c>
      <c r="J26" s="319">
        <v>144652.26730000001</v>
      </c>
      <c r="K26" s="320">
        <f>SUM(K21:K25)</f>
        <v>0.99999999999999978</v>
      </c>
      <c r="N26" s="77"/>
      <c r="O26" s="77"/>
      <c r="P26" s="77"/>
      <c r="Q26" s="77"/>
      <c r="R26" s="77"/>
      <c r="S26" s="77"/>
      <c r="T26" s="77"/>
      <c r="U26" s="103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7"/>
      <c r="AG26" s="77"/>
      <c r="AH26" s="77"/>
      <c r="AI26" s="77"/>
      <c r="AJ26" s="77"/>
      <c r="AK26" s="77"/>
      <c r="AL26" s="77"/>
    </row>
    <row r="27" spans="1:38" ht="11.1" customHeight="1">
      <c r="A27" s="500" t="str">
        <f>'3.1'!G5</f>
        <v>III. čtvrtletí</v>
      </c>
      <c r="B27" s="443"/>
      <c r="C27" s="164" t="s">
        <v>4</v>
      </c>
      <c r="D27" s="312">
        <f>D21</f>
        <v>82</v>
      </c>
      <c r="E27" s="308">
        <f>E9+E15+E21</f>
        <v>15060.094599999999</v>
      </c>
      <c r="F27" s="308">
        <f>F9+F15+F21</f>
        <v>165111.50887000002</v>
      </c>
      <c r="G27" s="309">
        <f>E27/$E$32</f>
        <v>0.60458912022585731</v>
      </c>
      <c r="H27" s="309">
        <f>(E27-I27)/I27</f>
        <v>-0.21244320045696255</v>
      </c>
      <c r="I27" s="312">
        <f>I9+I15+I21</f>
        <v>19122.55041</v>
      </c>
      <c r="J27" s="308">
        <f>J9+J15+J21</f>
        <v>207593.76524000001</v>
      </c>
      <c r="K27" s="309">
        <f>I27/$I$32</f>
        <v>0.60944979027857782</v>
      </c>
      <c r="N27" s="77"/>
      <c r="O27" s="77"/>
      <c r="P27" s="77"/>
      <c r="Q27" s="77"/>
      <c r="R27" s="77"/>
      <c r="S27" s="77"/>
      <c r="T27" s="77"/>
      <c r="U27" s="103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7"/>
      <c r="AG27" s="77"/>
      <c r="AH27" s="77"/>
      <c r="AI27" s="77"/>
      <c r="AJ27" s="77"/>
      <c r="AK27" s="77"/>
      <c r="AL27" s="77"/>
    </row>
    <row r="28" spans="1:38" ht="11.1" customHeight="1">
      <c r="A28" s="437"/>
      <c r="B28" s="437"/>
      <c r="C28" s="154" t="s">
        <v>5</v>
      </c>
      <c r="D28" s="313">
        <f>D22</f>
        <v>273</v>
      </c>
      <c r="E28" s="129">
        <f t="shared" ref="E28:F28" si="3">E10+E16+E22</f>
        <v>4132.2106299999996</v>
      </c>
      <c r="F28" s="129">
        <f t="shared" si="3"/>
        <v>45303.513979999996</v>
      </c>
      <c r="G28" s="307">
        <f>E28/$E$32</f>
        <v>0.16588804092768683</v>
      </c>
      <c r="H28" s="307">
        <f t="shared" ref="H28:H31" si="4">(E28-I28)/I28</f>
        <v>-6.5632060681436136E-2</v>
      </c>
      <c r="I28" s="313">
        <f t="shared" ref="I28:J28" si="5">I10+I16+I22</f>
        <v>4422.4661999999998</v>
      </c>
      <c r="J28" s="129">
        <f t="shared" si="5"/>
        <v>48019.556080000002</v>
      </c>
      <c r="K28" s="307">
        <f>I28/$I$32</f>
        <v>0.14094726071134456</v>
      </c>
      <c r="N28" s="77"/>
      <c r="O28" s="77"/>
      <c r="P28" s="77"/>
      <c r="Q28" s="77"/>
      <c r="R28" s="77"/>
      <c r="S28" s="77"/>
      <c r="T28" s="77"/>
      <c r="U28" s="103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7"/>
      <c r="AG28" s="77"/>
      <c r="AH28" s="77"/>
      <c r="AI28" s="77"/>
      <c r="AJ28" s="77"/>
      <c r="AK28" s="77"/>
      <c r="AL28" s="77"/>
    </row>
    <row r="29" spans="1:38" ht="11.1" customHeight="1">
      <c r="A29" s="437"/>
      <c r="B29" s="437"/>
      <c r="C29" s="154" t="s">
        <v>6</v>
      </c>
      <c r="D29" s="313">
        <f>D23</f>
        <v>9560</v>
      </c>
      <c r="E29" s="129">
        <f t="shared" ref="E29:F29" si="6">E11+E17+E23</f>
        <v>1843.3024700000001</v>
      </c>
      <c r="F29" s="129">
        <f t="shared" si="6"/>
        <v>20209.374810000001</v>
      </c>
      <c r="G29" s="307">
        <f>E29/$E$32</f>
        <v>7.3999576247512411E-2</v>
      </c>
      <c r="H29" s="307">
        <f t="shared" si="4"/>
        <v>-0.306674080338045</v>
      </c>
      <c r="I29" s="313">
        <f t="shared" ref="I29:J29" si="7">I11+I17+I23</f>
        <v>2658.6377600000001</v>
      </c>
      <c r="J29" s="129">
        <f t="shared" si="7"/>
        <v>28880.384539999999</v>
      </c>
      <c r="K29" s="307">
        <f>I29/$I$32</f>
        <v>8.4732746967234054E-2</v>
      </c>
      <c r="N29" s="77"/>
      <c r="O29" s="77"/>
      <c r="P29" s="77"/>
      <c r="Q29" s="77"/>
      <c r="R29" s="77"/>
      <c r="S29" s="77"/>
      <c r="T29" s="77"/>
      <c r="U29" s="103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7"/>
      <c r="AG29" s="77"/>
      <c r="AH29" s="77"/>
      <c r="AI29" s="77"/>
      <c r="AJ29" s="77"/>
      <c r="AK29" s="77"/>
      <c r="AL29" s="77"/>
    </row>
    <row r="30" spans="1:38" ht="11.1" customHeight="1">
      <c r="A30" s="437"/>
      <c r="B30" s="437"/>
      <c r="C30" s="154" t="s">
        <v>7</v>
      </c>
      <c r="D30" s="313">
        <f>D24</f>
        <v>92665</v>
      </c>
      <c r="E30" s="129">
        <f t="shared" ref="E30:F31" si="8">E12+E18+E24</f>
        <v>2926.2367800000002</v>
      </c>
      <c r="F30" s="129">
        <f t="shared" si="8"/>
        <v>32082.331530000003</v>
      </c>
      <c r="G30" s="307">
        <f>E30/$E$32</f>
        <v>0.11747409079307813</v>
      </c>
      <c r="H30" s="307">
        <f t="shared" si="4"/>
        <v>-0.30568708588659521</v>
      </c>
      <c r="I30" s="313">
        <f t="shared" ref="I30:J30" si="9">I12+I18+I24</f>
        <v>4214.5792199999996</v>
      </c>
      <c r="J30" s="129">
        <f t="shared" si="9"/>
        <v>45782.712449999992</v>
      </c>
      <c r="K30" s="307">
        <f>I30/$I$32</f>
        <v>0.1343217492787068</v>
      </c>
      <c r="N30" s="77"/>
      <c r="O30" s="77"/>
      <c r="P30" s="77"/>
      <c r="Q30" s="77"/>
      <c r="R30" s="77"/>
      <c r="S30" s="77"/>
      <c r="T30" s="77"/>
      <c r="U30" s="103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7"/>
      <c r="AG30" s="77"/>
      <c r="AH30" s="77"/>
      <c r="AI30" s="77"/>
      <c r="AJ30" s="77"/>
      <c r="AK30" s="77"/>
      <c r="AL30" s="77"/>
    </row>
    <row r="31" spans="1:38" ht="11.1" customHeight="1">
      <c r="A31" s="437"/>
      <c r="B31" s="437"/>
      <c r="C31" s="154" t="s">
        <v>93</v>
      </c>
      <c r="D31" s="313">
        <f>D25</f>
        <v>15</v>
      </c>
      <c r="E31" s="129">
        <f>E13+E19+E25</f>
        <v>947.79099999999994</v>
      </c>
      <c r="F31" s="129">
        <f t="shared" si="8"/>
        <v>10390.66</v>
      </c>
      <c r="G31" s="307">
        <f>E31/$E$32</f>
        <v>3.8049171805865381E-2</v>
      </c>
      <c r="H31" s="307">
        <f t="shared" si="4"/>
        <v>-1.1184013537664295E-2</v>
      </c>
      <c r="I31" s="313">
        <f>I13+I19+I25</f>
        <v>958.51100000000008</v>
      </c>
      <c r="J31" s="129">
        <f t="shared" ref="J31" si="10">J13+J19+J25</f>
        <v>10396.82</v>
      </c>
      <c r="K31" s="307">
        <f>I31/$I$32</f>
        <v>3.0548452764136806E-2</v>
      </c>
      <c r="N31" s="77"/>
      <c r="O31" s="77"/>
      <c r="P31" s="77"/>
      <c r="Q31" s="77"/>
      <c r="R31" s="77"/>
      <c r="S31" s="77"/>
      <c r="T31" s="77"/>
      <c r="U31" s="103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7"/>
      <c r="AG31" s="77"/>
      <c r="AH31" s="77"/>
      <c r="AI31" s="77"/>
      <c r="AJ31" s="77"/>
      <c r="AK31" s="77"/>
      <c r="AL31" s="77"/>
    </row>
    <row r="32" spans="1:38" ht="11.1" customHeight="1">
      <c r="A32" s="442"/>
      <c r="B32" s="442"/>
      <c r="C32" s="318" t="s">
        <v>0</v>
      </c>
      <c r="D32" s="321">
        <f>SUM(D27:D31)</f>
        <v>102595</v>
      </c>
      <c r="E32" s="319">
        <f>SUM(E27:E31)</f>
        <v>24909.635479999997</v>
      </c>
      <c r="F32" s="319">
        <f>SUM(F27:F31)</f>
        <v>273097.38919000002</v>
      </c>
      <c r="G32" s="320">
        <f>SUM(G27:G31)</f>
        <v>1</v>
      </c>
      <c r="H32" s="320">
        <f>(E32-I32)/I32</f>
        <v>-0.20611153880065419</v>
      </c>
      <c r="I32" s="321">
        <f>SUM(I27:I31)</f>
        <v>31376.744589999998</v>
      </c>
      <c r="J32" s="319">
        <f>SUM(J27:J31)</f>
        <v>340673.23830999999</v>
      </c>
      <c r="K32" s="320">
        <f>SUM(K27:K31)</f>
        <v>1</v>
      </c>
      <c r="N32" s="77"/>
      <c r="O32" s="77"/>
      <c r="P32" s="77"/>
      <c r="Q32" s="77"/>
      <c r="R32" s="77"/>
      <c r="S32" s="77"/>
      <c r="T32" s="77"/>
      <c r="U32" s="103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7"/>
      <c r="AG32" s="77"/>
      <c r="AH32" s="77"/>
      <c r="AI32" s="77"/>
      <c r="AJ32" s="77"/>
      <c r="AK32" s="77"/>
      <c r="AL32" s="77"/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25" t="s">
        <v>36</v>
      </c>
      <c r="B34" s="525"/>
      <c r="C34" s="525"/>
      <c r="D34" s="481">
        <f>D4</f>
        <v>2023</v>
      </c>
      <c r="E34" s="353"/>
      <c r="F34" s="342"/>
      <c r="G34" s="342"/>
      <c r="H34" s="342"/>
      <c r="I34" s="481">
        <f>D34-1</f>
        <v>2022</v>
      </c>
      <c r="J34" s="482"/>
      <c r="K34" s="482"/>
    </row>
    <row r="35" spans="1:11" ht="24.95" customHeight="1">
      <c r="A35" s="304"/>
      <c r="B35" s="272"/>
      <c r="C35" s="150"/>
      <c r="D35" s="483"/>
      <c r="E35" s="355"/>
      <c r="F35" s="356"/>
      <c r="G35" s="356"/>
      <c r="H35" s="357"/>
      <c r="I35" s="483"/>
      <c r="J35" s="484"/>
      <c r="K35" s="484"/>
    </row>
    <row r="36" spans="1:11" ht="24.95" customHeight="1">
      <c r="A36" s="130"/>
      <c r="B36" s="131"/>
      <c r="C36" s="352"/>
      <c r="D36" s="364" t="s">
        <v>159</v>
      </c>
      <c r="E36" s="479" t="s">
        <v>60</v>
      </c>
      <c r="F36" s="479"/>
      <c r="G36" s="480" t="s">
        <v>33</v>
      </c>
      <c r="H36" s="480" t="s">
        <v>270</v>
      </c>
      <c r="I36" s="478" t="s">
        <v>60</v>
      </c>
      <c r="J36" s="479"/>
      <c r="K36" s="480" t="s">
        <v>33</v>
      </c>
    </row>
    <row r="37" spans="1:11" ht="24.95" customHeight="1">
      <c r="A37" s="130"/>
      <c r="B37" s="306"/>
      <c r="C37" s="306"/>
      <c r="D37" s="365"/>
      <c r="E37" s="479"/>
      <c r="F37" s="479"/>
      <c r="G37" s="480"/>
      <c r="H37" s="480"/>
      <c r="I37" s="478"/>
      <c r="J37" s="479"/>
      <c r="K37" s="480"/>
    </row>
    <row r="38" spans="1:11" ht="15" customHeight="1">
      <c r="A38" s="524" t="s">
        <v>158</v>
      </c>
      <c r="B38" s="524"/>
      <c r="C38" s="366" t="s">
        <v>184</v>
      </c>
      <c r="D38" s="343"/>
      <c r="E38" s="219" t="s">
        <v>261</v>
      </c>
      <c r="F38" s="219" t="s">
        <v>262</v>
      </c>
      <c r="G38" s="476"/>
      <c r="H38" s="476"/>
      <c r="I38" s="221" t="s">
        <v>261</v>
      </c>
      <c r="J38" s="219" t="s">
        <v>262</v>
      </c>
      <c r="K38" s="476"/>
    </row>
    <row r="39" spans="1:11" ht="11.1" customHeight="1">
      <c r="A39" s="443" t="str">
        <f>'3.1'!D5</f>
        <v>Červenec</v>
      </c>
      <c r="B39" s="443"/>
      <c r="C39" s="164" t="s">
        <v>4</v>
      </c>
      <c r="D39" s="312">
        <v>189</v>
      </c>
      <c r="E39" s="308">
        <v>13772.351999999999</v>
      </c>
      <c r="F39" s="308">
        <v>150927.60291999998</v>
      </c>
      <c r="G39" s="309">
        <f>E39/$E$44</f>
        <v>0.58633448139333888</v>
      </c>
      <c r="H39" s="309">
        <f>(E39-I39)/I39</f>
        <v>-0.112627855286266</v>
      </c>
      <c r="I39" s="312">
        <v>15520.379000000001</v>
      </c>
      <c r="J39" s="308">
        <v>168703.07947</v>
      </c>
      <c r="K39" s="309">
        <f>I39/$I$44</f>
        <v>0.58526830427175092</v>
      </c>
    </row>
    <row r="40" spans="1:11" ht="11.1" customHeight="1">
      <c r="A40" s="437"/>
      <c r="B40" s="437"/>
      <c r="C40" s="154" t="s">
        <v>5</v>
      </c>
      <c r="D40" s="313">
        <v>806</v>
      </c>
      <c r="E40" s="129">
        <v>2695.38</v>
      </c>
      <c r="F40" s="129">
        <v>29538.293719999991</v>
      </c>
      <c r="G40" s="307">
        <f t="shared" ref="G40:G41" si="11">E40/$E$44</f>
        <v>0.11475122291805917</v>
      </c>
      <c r="H40" s="307">
        <f>(E40-I40)/I40</f>
        <v>-7.2111074849940643E-2</v>
      </c>
      <c r="I40" s="313">
        <v>2904.8519999999999</v>
      </c>
      <c r="J40" s="129">
        <v>31575.046350000019</v>
      </c>
      <c r="K40" s="307">
        <f t="shared" ref="K40:K43" si="12">I40/$I$44</f>
        <v>0.10954099794859418</v>
      </c>
    </row>
    <row r="41" spans="1:11" ht="11.1" customHeight="1">
      <c r="A41" s="437"/>
      <c r="B41" s="437"/>
      <c r="C41" s="154" t="s">
        <v>6</v>
      </c>
      <c r="D41" s="313">
        <v>23791</v>
      </c>
      <c r="E41" s="129">
        <v>1671.8869999999999</v>
      </c>
      <c r="F41" s="129">
        <v>18322.331150000002</v>
      </c>
      <c r="G41" s="307">
        <f t="shared" si="11"/>
        <v>7.1177747787252693E-2</v>
      </c>
      <c r="H41" s="307">
        <f t="shared" ref="H41:H43" si="13">(E41-I41)/I41</f>
        <v>-0.2896834416653461</v>
      </c>
      <c r="I41" s="313">
        <v>2353.721</v>
      </c>
      <c r="J41" s="129">
        <v>25584.881300000001</v>
      </c>
      <c r="K41" s="307">
        <f t="shared" si="12"/>
        <v>8.8758032158802944E-2</v>
      </c>
    </row>
    <row r="42" spans="1:11" ht="11.1" customHeight="1">
      <c r="A42" s="437"/>
      <c r="B42" s="437"/>
      <c r="C42" s="154" t="s">
        <v>7</v>
      </c>
      <c r="D42" s="313">
        <v>350157</v>
      </c>
      <c r="E42" s="129">
        <v>4303.8999999999996</v>
      </c>
      <c r="F42" s="129">
        <v>47166</v>
      </c>
      <c r="G42" s="307">
        <f>E42/$E$44</f>
        <v>0.18323122836744163</v>
      </c>
      <c r="H42" s="307">
        <f t="shared" si="13"/>
        <v>-8.0972005722705201E-2</v>
      </c>
      <c r="I42" s="313">
        <v>4683.1000000000004</v>
      </c>
      <c r="J42" s="129">
        <v>50904.5</v>
      </c>
      <c r="K42" s="307">
        <f t="shared" si="12"/>
        <v>0.17659813563412574</v>
      </c>
    </row>
    <row r="43" spans="1:11" ht="11.1" customHeight="1">
      <c r="A43" s="437"/>
      <c r="B43" s="437"/>
      <c r="C43" s="154" t="s">
        <v>93</v>
      </c>
      <c r="D43" s="313">
        <v>29</v>
      </c>
      <c r="E43" s="129">
        <v>1045.3810000000001</v>
      </c>
      <c r="F43" s="129">
        <v>11456.097420000002</v>
      </c>
      <c r="G43" s="307">
        <f>E43/$E$44</f>
        <v>4.4505319533907503E-2</v>
      </c>
      <c r="H43" s="307">
        <f t="shared" si="13"/>
        <v>-1.0381995327297321E-2</v>
      </c>
      <c r="I43" s="313">
        <v>1056.348</v>
      </c>
      <c r="J43" s="129">
        <v>11482.30523</v>
      </c>
      <c r="K43" s="307">
        <f t="shared" si="12"/>
        <v>3.9834529986726194E-2</v>
      </c>
    </row>
    <row r="44" spans="1:11" ht="11.1" customHeight="1">
      <c r="A44" s="442"/>
      <c r="B44" s="442"/>
      <c r="C44" s="318" t="s">
        <v>0</v>
      </c>
      <c r="D44" s="321">
        <v>374972</v>
      </c>
      <c r="E44" s="319">
        <v>23488.9</v>
      </c>
      <c r="F44" s="319">
        <v>257410.32520999998</v>
      </c>
      <c r="G44" s="320">
        <f>SUM(G39:G43)</f>
        <v>0.99999999999999989</v>
      </c>
      <c r="H44" s="320">
        <f>(E44-I44)/I44</f>
        <v>-0.11424143236394352</v>
      </c>
      <c r="I44" s="321">
        <v>26518.400000000001</v>
      </c>
      <c r="J44" s="319">
        <v>288249.81235000002</v>
      </c>
      <c r="K44" s="320">
        <f>SUM(K39:K43)</f>
        <v>1</v>
      </c>
    </row>
    <row r="45" spans="1:11" ht="11.1" customHeight="1">
      <c r="A45" s="443" t="str">
        <f>'3.1'!E5</f>
        <v>Srpen</v>
      </c>
      <c r="B45" s="443"/>
      <c r="C45" s="164" t="s">
        <v>4</v>
      </c>
      <c r="D45" s="312">
        <v>189</v>
      </c>
      <c r="E45" s="308">
        <v>13928.522000000001</v>
      </c>
      <c r="F45" s="308">
        <v>152771.49097999997</v>
      </c>
      <c r="G45" s="309">
        <f>E45/$E$50</f>
        <v>0.56249584040061384</v>
      </c>
      <c r="H45" s="309">
        <f>(E45-I45)/I45</f>
        <v>-0.10320865172911739</v>
      </c>
      <c r="I45" s="312">
        <v>15531.508000000002</v>
      </c>
      <c r="J45" s="308">
        <v>168524.88094000018</v>
      </c>
      <c r="K45" s="309">
        <f>I45/$I$50</f>
        <v>0.58745576543387323</v>
      </c>
    </row>
    <row r="46" spans="1:11" ht="11.1" customHeight="1">
      <c r="A46" s="437"/>
      <c r="B46" s="437"/>
      <c r="C46" s="154" t="s">
        <v>5</v>
      </c>
      <c r="D46" s="313">
        <v>807</v>
      </c>
      <c r="E46" s="129">
        <v>2913.7619999999997</v>
      </c>
      <c r="F46" s="129">
        <v>31959.22147</v>
      </c>
      <c r="G46" s="307">
        <f t="shared" ref="G46:G48" si="14">E46/$E$50</f>
        <v>0.11767070511267264</v>
      </c>
      <c r="H46" s="307">
        <f>(E46-I46)/I46</f>
        <v>-4.9014357009065972E-2</v>
      </c>
      <c r="I46" s="313">
        <v>3063.9390000000003</v>
      </c>
      <c r="J46" s="129">
        <v>33245.082539999974</v>
      </c>
      <c r="K46" s="307">
        <f t="shared" ref="K46:K49" si="15">I46/$I$50</f>
        <v>0.11588885190592543</v>
      </c>
    </row>
    <row r="47" spans="1:11" ht="11.1" customHeight="1">
      <c r="A47" s="437"/>
      <c r="B47" s="437"/>
      <c r="C47" s="154" t="s">
        <v>6</v>
      </c>
      <c r="D47" s="313">
        <v>23761</v>
      </c>
      <c r="E47" s="129">
        <v>2087.915</v>
      </c>
      <c r="F47" s="129">
        <v>22900.458880000002</v>
      </c>
      <c r="G47" s="307">
        <f t="shared" si="14"/>
        <v>8.4319319925692596E-2</v>
      </c>
      <c r="H47" s="307">
        <f t="shared" ref="H47:H49" si="16">(E47-I47)/I47</f>
        <v>-9.4863705981729218E-2</v>
      </c>
      <c r="I47" s="313">
        <v>2306.741</v>
      </c>
      <c r="J47" s="129">
        <v>25029.586870000003</v>
      </c>
      <c r="K47" s="307">
        <f t="shared" si="15"/>
        <v>8.7248984439418115E-2</v>
      </c>
    </row>
    <row r="48" spans="1:11" ht="11.1" customHeight="1">
      <c r="A48" s="437"/>
      <c r="B48" s="437"/>
      <c r="C48" s="154" t="s">
        <v>7</v>
      </c>
      <c r="D48" s="313">
        <v>349867</v>
      </c>
      <c r="E48" s="129">
        <v>4712</v>
      </c>
      <c r="F48" s="129">
        <v>51682.8</v>
      </c>
      <c r="G48" s="307">
        <f t="shared" si="14"/>
        <v>0.19029157580163153</v>
      </c>
      <c r="H48" s="307">
        <f t="shared" si="16"/>
        <v>4.2616276496880198E-2</v>
      </c>
      <c r="I48" s="313">
        <v>4519.3999999999996</v>
      </c>
      <c r="J48" s="129">
        <v>49037.7</v>
      </c>
      <c r="K48" s="307">
        <f t="shared" si="15"/>
        <v>0.17093945972933511</v>
      </c>
    </row>
    <row r="49" spans="1:11" ht="11.1" customHeight="1">
      <c r="A49" s="437"/>
      <c r="B49" s="437"/>
      <c r="C49" s="154" t="s">
        <v>93</v>
      </c>
      <c r="D49" s="313">
        <v>29</v>
      </c>
      <c r="E49" s="129">
        <v>1119.8009999999999</v>
      </c>
      <c r="F49" s="129">
        <v>12282.259620000001</v>
      </c>
      <c r="G49" s="307">
        <f>E49/$E$50</f>
        <v>4.5222558759389381E-2</v>
      </c>
      <c r="H49" s="307">
        <f t="shared" si="16"/>
        <v>0.10106960389847906</v>
      </c>
      <c r="I49" s="313">
        <v>1017.0119999999999</v>
      </c>
      <c r="J49" s="129">
        <v>11035.153329999997</v>
      </c>
      <c r="K49" s="307">
        <f t="shared" si="15"/>
        <v>3.8466938491448104E-2</v>
      </c>
    </row>
    <row r="50" spans="1:11" ht="11.1" customHeight="1">
      <c r="A50" s="442"/>
      <c r="B50" s="442"/>
      <c r="C50" s="318" t="s">
        <v>0</v>
      </c>
      <c r="D50" s="321">
        <v>374653</v>
      </c>
      <c r="E50" s="319">
        <v>24762</v>
      </c>
      <c r="F50" s="319">
        <v>271596.23095</v>
      </c>
      <c r="G50" s="320">
        <f>SUM(G45:G49)</f>
        <v>1</v>
      </c>
      <c r="H50" s="320">
        <f t="shared" ref="H50" si="17">(E50-I50)/I50</f>
        <v>-6.3414855552109489E-2</v>
      </c>
      <c r="I50" s="321">
        <v>26438.600000000002</v>
      </c>
      <c r="J50" s="319">
        <v>286872.40368000016</v>
      </c>
      <c r="K50" s="320">
        <f>SUM(K45:K49)</f>
        <v>1</v>
      </c>
    </row>
    <row r="51" spans="1:11" ht="11.1" customHeight="1">
      <c r="A51" s="443" t="str">
        <f>'3.1'!F5</f>
        <v>Září</v>
      </c>
      <c r="B51" s="443"/>
      <c r="C51" s="164" t="s">
        <v>4</v>
      </c>
      <c r="D51" s="312">
        <v>189</v>
      </c>
      <c r="E51" s="308">
        <v>12918.171999999999</v>
      </c>
      <c r="F51" s="308">
        <v>141850.53311999995</v>
      </c>
      <c r="G51" s="309">
        <f>E51/$E$56</f>
        <v>0.54042336364929422</v>
      </c>
      <c r="H51" s="309">
        <f>(E51-I51)/I51</f>
        <v>-0.36861418915877403</v>
      </c>
      <c r="I51" s="312">
        <v>20460.029000000002</v>
      </c>
      <c r="J51" s="308">
        <v>223761.18963999997</v>
      </c>
      <c r="K51" s="309">
        <f>I51/$I$56</f>
        <v>0.50181322077297763</v>
      </c>
    </row>
    <row r="52" spans="1:11" ht="11.1" customHeight="1">
      <c r="A52" s="437"/>
      <c r="B52" s="437"/>
      <c r="C52" s="154" t="s">
        <v>5</v>
      </c>
      <c r="D52" s="313">
        <v>808</v>
      </c>
      <c r="E52" s="129">
        <v>3033.886</v>
      </c>
      <c r="F52" s="129">
        <v>33313.851909999976</v>
      </c>
      <c r="G52" s="307">
        <f t="shared" ref="G52:G55" si="18">E52/$E$56</f>
        <v>0.12692065696667476</v>
      </c>
      <c r="H52" s="307">
        <f t="shared" ref="H52:H55" si="19">(E52-I52)/I52</f>
        <v>-0.33142110527692525</v>
      </c>
      <c r="I52" s="313">
        <v>4537.8130000000001</v>
      </c>
      <c r="J52" s="129">
        <v>49627.696549999979</v>
      </c>
      <c r="K52" s="307">
        <f t="shared" ref="K52:K55" si="20">I52/$I$56</f>
        <v>0.11129674140713525</v>
      </c>
    </row>
    <row r="53" spans="1:11" ht="11.1" customHeight="1">
      <c r="A53" s="437"/>
      <c r="B53" s="437"/>
      <c r="C53" s="154" t="s">
        <v>6</v>
      </c>
      <c r="D53" s="313">
        <v>23735</v>
      </c>
      <c r="E53" s="129">
        <v>2185.44</v>
      </c>
      <c r="F53" s="129">
        <v>23997.821529999997</v>
      </c>
      <c r="G53" s="307">
        <f t="shared" si="18"/>
        <v>9.1426467758264379E-2</v>
      </c>
      <c r="H53" s="307">
        <f t="shared" si="19"/>
        <v>-0.54230865809088769</v>
      </c>
      <c r="I53" s="313">
        <v>4774.9209999999994</v>
      </c>
      <c r="J53" s="129">
        <v>52220.931479999999</v>
      </c>
      <c r="K53" s="307">
        <f t="shared" si="20"/>
        <v>0.11711217447182146</v>
      </c>
    </row>
    <row r="54" spans="1:11" ht="11.1" customHeight="1">
      <c r="A54" s="437"/>
      <c r="B54" s="437"/>
      <c r="C54" s="154" t="s">
        <v>7</v>
      </c>
      <c r="D54" s="313">
        <v>349598</v>
      </c>
      <c r="E54" s="129">
        <v>4689</v>
      </c>
      <c r="F54" s="129">
        <v>51488.2</v>
      </c>
      <c r="G54" s="307">
        <f t="shared" si="18"/>
        <v>0.19616127979651771</v>
      </c>
      <c r="H54" s="307">
        <f t="shared" si="19"/>
        <v>-0.53420221325969053</v>
      </c>
      <c r="I54" s="313">
        <v>10066.6</v>
      </c>
      <c r="J54" s="129">
        <v>110094</v>
      </c>
      <c r="K54" s="307">
        <f t="shared" si="20"/>
        <v>0.24689862210035268</v>
      </c>
    </row>
    <row r="55" spans="1:11" ht="11.1" customHeight="1">
      <c r="A55" s="437"/>
      <c r="B55" s="437"/>
      <c r="C55" s="154" t="s">
        <v>93</v>
      </c>
      <c r="D55" s="313">
        <v>29</v>
      </c>
      <c r="E55" s="129">
        <v>1077.3019999999999</v>
      </c>
      <c r="F55" s="129">
        <v>11829.552880000001</v>
      </c>
      <c r="G55" s="307">
        <f t="shared" si="18"/>
        <v>4.5068231829248906E-2</v>
      </c>
      <c r="H55" s="307">
        <f t="shared" si="19"/>
        <v>0.15486628424901663</v>
      </c>
      <c r="I55" s="313">
        <v>932.83699999999999</v>
      </c>
      <c r="J55" s="129">
        <v>10201.993259999999</v>
      </c>
      <c r="K55" s="307">
        <f t="shared" si="20"/>
        <v>2.28792412477129E-2</v>
      </c>
    </row>
    <row r="56" spans="1:11" ht="11.1" customHeight="1">
      <c r="A56" s="442"/>
      <c r="B56" s="442"/>
      <c r="C56" s="318" t="s">
        <v>0</v>
      </c>
      <c r="D56" s="321">
        <v>374359</v>
      </c>
      <c r="E56" s="319">
        <v>23903.8</v>
      </c>
      <c r="F56" s="319">
        <v>262479.95943999989</v>
      </c>
      <c r="G56" s="320">
        <f>SUM(G51:G55)</f>
        <v>0.99999999999999989</v>
      </c>
      <c r="H56" s="320">
        <f t="shared" ref="H56" si="21">(E56-I56)/I56</f>
        <v>-0.41372307601748259</v>
      </c>
      <c r="I56" s="321">
        <v>40772.200000000004</v>
      </c>
      <c r="J56" s="319">
        <v>445905.81092999992</v>
      </c>
      <c r="K56" s="320">
        <f>SUM(K51:K55)</f>
        <v>0.99999999999999989</v>
      </c>
    </row>
    <row r="57" spans="1:11" ht="11.1" customHeight="1">
      <c r="A57" s="500" t="str">
        <f>'3.1'!G5</f>
        <v>III. čtvrtletí</v>
      </c>
      <c r="B57" s="443"/>
      <c r="C57" s="164" t="s">
        <v>4</v>
      </c>
      <c r="D57" s="312">
        <f>D51</f>
        <v>189</v>
      </c>
      <c r="E57" s="308">
        <f>E39+E45+E51</f>
        <v>40619.046000000002</v>
      </c>
      <c r="F57" s="308">
        <f>F39+F45+F51</f>
        <v>445549.6270199999</v>
      </c>
      <c r="G57" s="309">
        <f>E57/$E$62</f>
        <v>0.56294386921434092</v>
      </c>
      <c r="H57" s="309">
        <f>(E57-I57)/I57</f>
        <v>-0.211463110787803</v>
      </c>
      <c r="I57" s="312">
        <f>I39+I45+I51</f>
        <v>51511.916000000005</v>
      </c>
      <c r="J57" s="308">
        <f>J39+J45+J51</f>
        <v>560989.15005000017</v>
      </c>
      <c r="K57" s="309">
        <f>I57/$I$62</f>
        <v>0.54958237134212184</v>
      </c>
    </row>
    <row r="58" spans="1:11" ht="11.1" customHeight="1">
      <c r="A58" s="437"/>
      <c r="B58" s="437"/>
      <c r="C58" s="154" t="s">
        <v>5</v>
      </c>
      <c r="D58" s="313">
        <f>D52</f>
        <v>808</v>
      </c>
      <c r="E58" s="129">
        <f t="shared" ref="E58:F58" si="22">E40+E46+E52</f>
        <v>8643.0280000000002</v>
      </c>
      <c r="F58" s="129">
        <f t="shared" si="22"/>
        <v>94811.367099999974</v>
      </c>
      <c r="G58" s="307">
        <f t="shared" ref="G58:G61" si="23">E58/$E$62</f>
        <v>0.11978468485074431</v>
      </c>
      <c r="H58" s="307">
        <f t="shared" ref="H58:H61" si="24">(E58-I58)/I58</f>
        <v>-0.17737187011140795</v>
      </c>
      <c r="I58" s="313">
        <f t="shared" ref="I58:J59" si="25">I40+I46+I52</f>
        <v>10506.603999999999</v>
      </c>
      <c r="J58" s="129">
        <f t="shared" si="25"/>
        <v>114447.82543999997</v>
      </c>
      <c r="K58" s="307">
        <f t="shared" ref="K58:K61" si="26">I58/$I$62</f>
        <v>0.11209531288008433</v>
      </c>
    </row>
    <row r="59" spans="1:11" ht="11.1" customHeight="1">
      <c r="A59" s="437"/>
      <c r="B59" s="437"/>
      <c r="C59" s="154" t="s">
        <v>6</v>
      </c>
      <c r="D59" s="313">
        <f>D53</f>
        <v>23735</v>
      </c>
      <c r="E59" s="129">
        <f>E41+E47+E53</f>
        <v>5945.2420000000002</v>
      </c>
      <c r="F59" s="129">
        <f t="shared" ref="F59" si="27">F41+F47+F53</f>
        <v>65220.611560000005</v>
      </c>
      <c r="G59" s="307">
        <f t="shared" si="23"/>
        <v>8.2395769090578996E-2</v>
      </c>
      <c r="H59" s="307">
        <f t="shared" si="24"/>
        <v>-0.36989923991426726</v>
      </c>
      <c r="I59" s="313">
        <f>I41+I47+I53</f>
        <v>9435.382999999998</v>
      </c>
      <c r="J59" s="129">
        <f t="shared" si="25"/>
        <v>102835.39965000001</v>
      </c>
      <c r="K59" s="307">
        <f t="shared" si="26"/>
        <v>0.10066641985635211</v>
      </c>
    </row>
    <row r="60" spans="1:11" ht="11.1" customHeight="1">
      <c r="A60" s="437"/>
      <c r="B60" s="437"/>
      <c r="C60" s="154" t="s">
        <v>7</v>
      </c>
      <c r="D60" s="313">
        <f>D54</f>
        <v>349598</v>
      </c>
      <c r="E60" s="129">
        <f t="shared" ref="E60:F60" si="28">E42+E48+E54</f>
        <v>13704.9</v>
      </c>
      <c r="F60" s="129">
        <f t="shared" si="28"/>
        <v>150337</v>
      </c>
      <c r="G60" s="307">
        <f t="shared" si="23"/>
        <v>0.18993773101405731</v>
      </c>
      <c r="H60" s="307">
        <f t="shared" si="24"/>
        <v>-0.28876283791147483</v>
      </c>
      <c r="I60" s="313">
        <f t="shared" ref="I60:J61" si="29">I42+I48+I54</f>
        <v>19269.099999999999</v>
      </c>
      <c r="J60" s="129">
        <f t="shared" si="29"/>
        <v>210036.2</v>
      </c>
      <c r="K60" s="307">
        <f t="shared" si="26"/>
        <v>0.20558267861029433</v>
      </c>
    </row>
    <row r="61" spans="1:11" ht="11.1" customHeight="1">
      <c r="A61" s="437"/>
      <c r="B61" s="437"/>
      <c r="C61" s="154" t="s">
        <v>93</v>
      </c>
      <c r="D61" s="313">
        <f>D55</f>
        <v>29</v>
      </c>
      <c r="E61" s="129">
        <f>E43+E49+E55</f>
        <v>3242.4839999999995</v>
      </c>
      <c r="F61" s="129">
        <f t="shared" ref="F61" si="30">F43+F49+F55</f>
        <v>35567.909920000006</v>
      </c>
      <c r="G61" s="307">
        <f t="shared" si="23"/>
        <v>4.4937945830278547E-2</v>
      </c>
      <c r="H61" s="307">
        <f t="shared" si="24"/>
        <v>7.8599971991190148E-2</v>
      </c>
      <c r="I61" s="313">
        <f>I43+I49+I55</f>
        <v>3006.1969999999997</v>
      </c>
      <c r="J61" s="129">
        <f t="shared" si="29"/>
        <v>32719.451819999998</v>
      </c>
      <c r="K61" s="307">
        <f t="shared" si="26"/>
        <v>3.2073217311147428E-2</v>
      </c>
    </row>
    <row r="62" spans="1:11" ht="11.1" customHeight="1">
      <c r="A62" s="442"/>
      <c r="B62" s="442"/>
      <c r="C62" s="318" t="s">
        <v>0</v>
      </c>
      <c r="D62" s="321">
        <f>SUM(D57:D61)</f>
        <v>374359</v>
      </c>
      <c r="E62" s="319">
        <f>SUM(E57:E61)</f>
        <v>72154.7</v>
      </c>
      <c r="F62" s="319">
        <f>SUM(F57:F61)</f>
        <v>791486.51559999993</v>
      </c>
      <c r="G62" s="320">
        <f>SUM(G57:G61)</f>
        <v>1</v>
      </c>
      <c r="H62" s="320">
        <f>(E62-I62)/I62</f>
        <v>-0.2301790690627894</v>
      </c>
      <c r="I62" s="321">
        <f>SUM(I57:I61)</f>
        <v>93729.2</v>
      </c>
      <c r="J62" s="319">
        <f>SUM(J57:J61)</f>
        <v>1021028.02696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2:K2"/>
    <mergeCell ref="A8:B8"/>
    <mergeCell ref="H6:H8"/>
    <mergeCell ref="A3:C3"/>
    <mergeCell ref="E6:F7"/>
    <mergeCell ref="I6:J7"/>
    <mergeCell ref="G6:G8"/>
    <mergeCell ref="K6:K8"/>
    <mergeCell ref="A4:C4"/>
    <mergeCell ref="D4:D5"/>
    <mergeCell ref="I4:K5"/>
    <mergeCell ref="A9:B14"/>
    <mergeCell ref="A15:B20"/>
    <mergeCell ref="A21:B26"/>
    <mergeCell ref="A27:B32"/>
    <mergeCell ref="A34:C34"/>
    <mergeCell ref="A45:B50"/>
    <mergeCell ref="E36:F37"/>
    <mergeCell ref="I36:J37"/>
    <mergeCell ref="A51:B56"/>
    <mergeCell ref="A57:B62"/>
    <mergeCell ref="A39:B44"/>
    <mergeCell ref="A38:B38"/>
    <mergeCell ref="D34:D35"/>
    <mergeCell ref="I34:K35"/>
    <mergeCell ref="H36:H38"/>
    <mergeCell ref="G36:G38"/>
    <mergeCell ref="K36:K3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20"/>
  <sheetViews>
    <sheetView showGridLines="0" topLeftCell="A19" zoomScaleNormal="100" zoomScaleSheetLayoutView="100" workbookViewId="0">
      <selection activeCell="G1" sqref="G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09" t="s">
        <v>304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26"/>
      <c r="B3" s="526"/>
      <c r="C3" s="526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487" t="s">
        <v>37</v>
      </c>
      <c r="B4" s="487"/>
      <c r="C4" s="487"/>
      <c r="D4" s="481">
        <f>'3.1'!A4</f>
        <v>2023</v>
      </c>
      <c r="E4" s="353"/>
      <c r="F4" s="342"/>
      <c r="G4" s="342"/>
      <c r="H4" s="342"/>
      <c r="I4" s="481">
        <f>D4-1</f>
        <v>2022</v>
      </c>
      <c r="J4" s="482"/>
      <c r="K4" s="482"/>
    </row>
    <row r="5" spans="1:16" ht="24.95" customHeight="1">
      <c r="A5" s="354"/>
      <c r="B5" s="354"/>
      <c r="C5" s="354"/>
      <c r="D5" s="483"/>
      <c r="E5" s="355"/>
      <c r="F5" s="356"/>
      <c r="G5" s="356"/>
      <c r="H5" s="357"/>
      <c r="I5" s="483"/>
      <c r="J5" s="484"/>
      <c r="K5" s="484"/>
    </row>
    <row r="6" spans="1:16" ht="24.95" customHeight="1">
      <c r="A6" s="304"/>
      <c r="B6" s="272"/>
      <c r="C6" s="305"/>
      <c r="D6" s="364" t="s">
        <v>159</v>
      </c>
      <c r="E6" s="479" t="s">
        <v>60</v>
      </c>
      <c r="F6" s="479"/>
      <c r="G6" s="480" t="s">
        <v>33</v>
      </c>
      <c r="H6" s="480" t="s">
        <v>270</v>
      </c>
      <c r="I6" s="478" t="s">
        <v>60</v>
      </c>
      <c r="J6" s="479"/>
      <c r="K6" s="480" t="s">
        <v>33</v>
      </c>
    </row>
    <row r="7" spans="1:16" ht="24.95" customHeight="1">
      <c r="A7" s="304"/>
      <c r="B7" s="306"/>
      <c r="D7" s="365"/>
      <c r="E7" s="479"/>
      <c r="F7" s="479"/>
      <c r="G7" s="480"/>
      <c r="H7" s="480"/>
      <c r="I7" s="478"/>
      <c r="J7" s="479"/>
      <c r="K7" s="480"/>
    </row>
    <row r="8" spans="1:16" ht="15" customHeight="1">
      <c r="A8" s="488" t="s">
        <v>158</v>
      </c>
      <c r="B8" s="488"/>
      <c r="C8" s="323" t="s">
        <v>184</v>
      </c>
      <c r="D8" s="343"/>
      <c r="E8" s="219" t="s">
        <v>261</v>
      </c>
      <c r="F8" s="219" t="s">
        <v>262</v>
      </c>
      <c r="G8" s="476"/>
      <c r="H8" s="476"/>
      <c r="I8" s="221" t="s">
        <v>261</v>
      </c>
      <c r="J8" s="219" t="s">
        <v>262</v>
      </c>
      <c r="K8" s="476"/>
    </row>
    <row r="9" spans="1:16" ht="11.1" customHeight="1">
      <c r="A9" s="443" t="str">
        <f>'3.1'!D5</f>
        <v>Červenec</v>
      </c>
      <c r="B9" s="443"/>
      <c r="C9" s="164" t="s">
        <v>4</v>
      </c>
      <c r="D9" s="312">
        <v>55</v>
      </c>
      <c r="E9" s="308">
        <v>6265.1050000000005</v>
      </c>
      <c r="F9" s="308">
        <v>68657.460600000006</v>
      </c>
      <c r="G9" s="309">
        <f>E9/$E$14</f>
        <v>0.79157832893224012</v>
      </c>
      <c r="H9" s="309">
        <f>(E9-I9)/I9</f>
        <v>2.0934926062899335E-2</v>
      </c>
      <c r="I9" s="312">
        <v>6136.6350000000002</v>
      </c>
      <c r="J9" s="308">
        <v>66703.715410000004</v>
      </c>
      <c r="K9" s="309">
        <f>I9/$I$14</f>
        <v>0.75924021973127453</v>
      </c>
    </row>
    <row r="10" spans="1:16" ht="11.1" customHeight="1">
      <c r="A10" s="437"/>
      <c r="B10" s="437"/>
      <c r="C10" s="154" t="s">
        <v>5</v>
      </c>
      <c r="D10" s="313">
        <v>160</v>
      </c>
      <c r="E10" s="129">
        <v>490.80200000000002</v>
      </c>
      <c r="F10" s="129">
        <v>5378.3594100000018</v>
      </c>
      <c r="G10" s="307">
        <f>E10/$E$14</f>
        <v>6.2011447054215581E-2</v>
      </c>
      <c r="H10" s="307">
        <f>(E10-I10)/I10</f>
        <v>-0.15710455948244909</v>
      </c>
      <c r="I10" s="313">
        <v>582.28099999999995</v>
      </c>
      <c r="J10" s="129">
        <v>6329.1292499999945</v>
      </c>
      <c r="K10" s="307">
        <f>I10/$I$14</f>
        <v>7.2041298592037201E-2</v>
      </c>
      <c r="L10" s="93"/>
      <c r="N10" s="93"/>
      <c r="O10" s="93"/>
      <c r="P10" s="93"/>
    </row>
    <row r="11" spans="1:16" ht="11.1" customHeight="1">
      <c r="A11" s="437"/>
      <c r="B11" s="437"/>
      <c r="C11" s="154" t="s">
        <v>6</v>
      </c>
      <c r="D11" s="313">
        <v>5814</v>
      </c>
      <c r="E11" s="129">
        <v>430.32900000000001</v>
      </c>
      <c r="F11" s="129">
        <v>4716.3662300000005</v>
      </c>
      <c r="G11" s="307">
        <f>E11/$E$14</f>
        <v>5.4370854233262163E-2</v>
      </c>
      <c r="H11" s="307">
        <f t="shared" ref="H11:H13" si="0">(E11-I11)/I11</f>
        <v>-0.26677628216050431</v>
      </c>
      <c r="I11" s="313">
        <v>586.9</v>
      </c>
      <c r="J11" s="129">
        <v>6379.1</v>
      </c>
      <c r="K11" s="307">
        <f>I11/$I$14</f>
        <v>7.2612773117561175E-2</v>
      </c>
      <c r="L11" s="93"/>
      <c r="N11" s="93"/>
      <c r="O11" s="93"/>
      <c r="P11" s="93"/>
    </row>
    <row r="12" spans="1:16" ht="11.1" customHeight="1">
      <c r="A12" s="437"/>
      <c r="B12" s="437"/>
      <c r="C12" s="154" t="s">
        <v>7</v>
      </c>
      <c r="D12" s="313">
        <v>76403</v>
      </c>
      <c r="E12" s="129">
        <v>569.5</v>
      </c>
      <c r="F12" s="129">
        <v>6240.5</v>
      </c>
      <c r="G12" s="307">
        <f>E12/$E$14</f>
        <v>7.1954717171844804E-2</v>
      </c>
      <c r="H12" s="307">
        <f t="shared" si="0"/>
        <v>-8.0858618463524892E-2</v>
      </c>
      <c r="I12" s="313">
        <v>619.6</v>
      </c>
      <c r="J12" s="129">
        <v>6735.2</v>
      </c>
      <c r="K12" s="307">
        <f>I12/$I$14</f>
        <v>7.6658500977408256E-2</v>
      </c>
      <c r="L12" s="93"/>
      <c r="N12" s="93"/>
      <c r="O12" s="93"/>
      <c r="P12" s="93"/>
    </row>
    <row r="13" spans="1:16" ht="11.1" customHeight="1">
      <c r="A13" s="437"/>
      <c r="B13" s="437"/>
      <c r="C13" s="154" t="s">
        <v>93</v>
      </c>
      <c r="D13" s="313">
        <v>8</v>
      </c>
      <c r="E13" s="129">
        <v>158.964</v>
      </c>
      <c r="F13" s="129">
        <v>1742.0512500000002</v>
      </c>
      <c r="G13" s="307">
        <f>E13/$E$14</f>
        <v>2.0084652608437465E-2</v>
      </c>
      <c r="H13" s="307">
        <f t="shared" si="0"/>
        <v>1.1324307817589583E-2</v>
      </c>
      <c r="I13" s="313">
        <v>157.184</v>
      </c>
      <c r="J13" s="129">
        <v>1708.56368</v>
      </c>
      <c r="K13" s="307">
        <f>I13/$I$14</f>
        <v>1.9447207581718754E-2</v>
      </c>
      <c r="L13" s="93"/>
      <c r="N13" s="93"/>
      <c r="O13" s="93"/>
      <c r="P13" s="93"/>
    </row>
    <row r="14" spans="1:16" ht="11.1" customHeight="1">
      <c r="A14" s="442"/>
      <c r="B14" s="442"/>
      <c r="C14" s="318" t="s">
        <v>0</v>
      </c>
      <c r="D14" s="321">
        <v>82440</v>
      </c>
      <c r="E14" s="319">
        <v>7914.7</v>
      </c>
      <c r="F14" s="319">
        <v>86734.737490000014</v>
      </c>
      <c r="G14" s="320">
        <f>SUM(G9:G13)</f>
        <v>1</v>
      </c>
      <c r="H14" s="320">
        <f>(E14-I14)/I14</f>
        <v>-2.0773018583129257E-2</v>
      </c>
      <c r="I14" s="321">
        <v>8082.6</v>
      </c>
      <c r="J14" s="319">
        <v>87855.708340000012</v>
      </c>
      <c r="K14" s="320">
        <f>SUM(K9:K13)</f>
        <v>1</v>
      </c>
      <c r="L14" s="93"/>
    </row>
    <row r="15" spans="1:16" ht="11.1" customHeight="1">
      <c r="A15" s="443" t="str">
        <f>'3.1'!E5</f>
        <v>Srpen</v>
      </c>
      <c r="B15" s="443"/>
      <c r="C15" s="164" t="s">
        <v>4</v>
      </c>
      <c r="D15" s="312">
        <v>55</v>
      </c>
      <c r="E15" s="308">
        <v>6503.165</v>
      </c>
      <c r="F15" s="308">
        <v>71327.963449999996</v>
      </c>
      <c r="G15" s="309">
        <f>E15/$E$20</f>
        <v>0.77833744255074677</v>
      </c>
      <c r="H15" s="309">
        <f>(E15-I15)/I15</f>
        <v>-1.495554310122852E-2</v>
      </c>
      <c r="I15" s="312">
        <v>6601.9000000000005</v>
      </c>
      <c r="J15" s="308">
        <v>71634.165830000027</v>
      </c>
      <c r="K15" s="309">
        <f>I15/$I$20</f>
        <v>0.77836990226016023</v>
      </c>
      <c r="L15" s="93"/>
      <c r="M15" s="93"/>
    </row>
    <row r="16" spans="1:16" ht="11.1" customHeight="1">
      <c r="A16" s="437"/>
      <c r="B16" s="437"/>
      <c r="C16" s="154" t="s">
        <v>5</v>
      </c>
      <c r="D16" s="313">
        <v>161</v>
      </c>
      <c r="E16" s="129">
        <v>529.02800000000002</v>
      </c>
      <c r="F16" s="129">
        <v>5802.649529999997</v>
      </c>
      <c r="G16" s="307">
        <f>E16/$E$20</f>
        <v>6.3317215626196854E-2</v>
      </c>
      <c r="H16" s="307">
        <f>(E16-I16)/I16</f>
        <v>-4.3449330811596562E-2</v>
      </c>
      <c r="I16" s="313">
        <v>553.05799999999999</v>
      </c>
      <c r="J16" s="129">
        <v>6000.7103399999978</v>
      </c>
      <c r="K16" s="307">
        <f>I16/$I$20</f>
        <v>6.5206031809660808E-2</v>
      </c>
      <c r="L16" s="97"/>
      <c r="M16" s="93"/>
    </row>
    <row r="17" spans="1:20" ht="11.1" customHeight="1">
      <c r="A17" s="437"/>
      <c r="B17" s="437"/>
      <c r="C17" s="154" t="s">
        <v>6</v>
      </c>
      <c r="D17" s="313">
        <v>5806</v>
      </c>
      <c r="E17" s="129">
        <v>519.5920000000001</v>
      </c>
      <c r="F17" s="129">
        <v>5699.2485099999994</v>
      </c>
      <c r="G17" s="307">
        <f>E17/$E$20</f>
        <v>6.2187859057832258E-2</v>
      </c>
      <c r="H17" s="307">
        <f t="shared" ref="H17:H20" si="1">(E17-I17)/I17</f>
        <v>-9.7460482890394204E-2</v>
      </c>
      <c r="I17" s="313">
        <v>575.70000000000005</v>
      </c>
      <c r="J17" s="129">
        <v>6246.9</v>
      </c>
      <c r="K17" s="307">
        <f>I17/$I$20</f>
        <v>6.7875543817866715E-2</v>
      </c>
      <c r="L17" s="93"/>
      <c r="M17" s="93"/>
      <c r="N17" s="93"/>
      <c r="O17" s="93"/>
    </row>
    <row r="18" spans="1:20" ht="11.1" customHeight="1">
      <c r="A18" s="437"/>
      <c r="B18" s="437"/>
      <c r="C18" s="154" t="s">
        <v>7</v>
      </c>
      <c r="D18" s="313">
        <v>76338</v>
      </c>
      <c r="E18" s="129">
        <v>623.5</v>
      </c>
      <c r="F18" s="129">
        <v>6838.2</v>
      </c>
      <c r="G18" s="307">
        <f>E18/$E$20</f>
        <v>7.4624186135580237E-2</v>
      </c>
      <c r="H18" s="307">
        <f t="shared" si="1"/>
        <v>4.2642140468227424E-2</v>
      </c>
      <c r="I18" s="313">
        <v>598</v>
      </c>
      <c r="J18" s="129">
        <v>6488.2</v>
      </c>
      <c r="K18" s="307">
        <f>I18/$I$20</f>
        <v>7.0504733720834281E-2</v>
      </c>
      <c r="L18" s="93"/>
      <c r="M18" s="93"/>
      <c r="N18" s="93"/>
      <c r="O18" s="93"/>
    </row>
    <row r="19" spans="1:20" ht="11.1" customHeight="1">
      <c r="A19" s="437"/>
      <c r="B19" s="437"/>
      <c r="C19" s="154" t="s">
        <v>93</v>
      </c>
      <c r="D19" s="313">
        <v>8</v>
      </c>
      <c r="E19" s="129">
        <v>179.91499999999999</v>
      </c>
      <c r="F19" s="129">
        <v>1973.3540600000001</v>
      </c>
      <c r="G19" s="307">
        <f>E19/$E$20</f>
        <v>2.1533296629643813E-2</v>
      </c>
      <c r="H19" s="307">
        <f t="shared" si="1"/>
        <v>0.17559232106219202</v>
      </c>
      <c r="I19" s="313">
        <v>153.042</v>
      </c>
      <c r="J19" s="129">
        <v>1660.5923300000002</v>
      </c>
      <c r="K19" s="307">
        <f>I19/$I$20</f>
        <v>1.8043788391478126E-2</v>
      </c>
      <c r="L19" s="93"/>
      <c r="M19" s="93"/>
      <c r="N19" s="93"/>
      <c r="O19" s="93"/>
    </row>
    <row r="20" spans="1:20" ht="11.1" customHeight="1">
      <c r="A20" s="442"/>
      <c r="B20" s="442"/>
      <c r="C20" s="318" t="s">
        <v>0</v>
      </c>
      <c r="D20" s="321">
        <v>82368</v>
      </c>
      <c r="E20" s="319">
        <v>8355.2000000000007</v>
      </c>
      <c r="F20" s="319">
        <v>91641.415549999991</v>
      </c>
      <c r="G20" s="320">
        <f>SUM(G15:G19)</f>
        <v>0.99999999999999989</v>
      </c>
      <c r="H20" s="320">
        <f t="shared" si="1"/>
        <v>-1.4914462902483959E-2</v>
      </c>
      <c r="I20" s="321">
        <v>8481.6999999999989</v>
      </c>
      <c r="J20" s="319">
        <v>92030.568500000023</v>
      </c>
      <c r="K20" s="320">
        <f>SUM(K15:K19)</f>
        <v>1.0000000000000002</v>
      </c>
      <c r="L20" s="93"/>
      <c r="M20" s="93"/>
      <c r="N20" s="93"/>
      <c r="O20" s="93"/>
    </row>
    <row r="21" spans="1:20" ht="11.1" customHeight="1">
      <c r="A21" s="443" t="str">
        <f>'3.1'!F5</f>
        <v>Září</v>
      </c>
      <c r="B21" s="443"/>
      <c r="C21" s="164" t="s">
        <v>4</v>
      </c>
      <c r="D21" s="312">
        <v>55</v>
      </c>
      <c r="E21" s="308">
        <v>5750.7489999999998</v>
      </c>
      <c r="F21" s="308">
        <v>63147.641340000002</v>
      </c>
      <c r="G21" s="309">
        <f>E21/$E$26</f>
        <v>0.75191864646121265</v>
      </c>
      <c r="H21" s="309">
        <f>(E21-I21)/I21</f>
        <v>-8.0846227381173252E-2</v>
      </c>
      <c r="I21" s="312">
        <v>6256.5689999999995</v>
      </c>
      <c r="J21" s="308">
        <v>68424.693960000004</v>
      </c>
      <c r="K21" s="309">
        <f>I21/$I$26</f>
        <v>0.63822352113107084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7"/>
      <c r="B22" s="437"/>
      <c r="C22" s="154" t="s">
        <v>5</v>
      </c>
      <c r="D22" s="313">
        <v>160</v>
      </c>
      <c r="E22" s="129">
        <v>558.55000000000007</v>
      </c>
      <c r="F22" s="129">
        <v>6132.8675900000044</v>
      </c>
      <c r="G22" s="307">
        <f>E22/$E$26</f>
        <v>7.3031210365973265E-2</v>
      </c>
      <c r="H22" s="307">
        <f t="shared" ref="H22:H26" si="2">(E22-I22)/I22</f>
        <v>-0.37382637989697359</v>
      </c>
      <c r="I22" s="313">
        <v>892.005</v>
      </c>
      <c r="J22" s="129">
        <v>9755.6572700000052</v>
      </c>
      <c r="K22" s="307">
        <f>I22/$I$26</f>
        <v>9.0992135140924829E-2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7"/>
      <c r="B23" s="437"/>
      <c r="C23" s="154" t="s">
        <v>6</v>
      </c>
      <c r="D23" s="313">
        <v>5798</v>
      </c>
      <c r="E23" s="129">
        <v>542.90200000000004</v>
      </c>
      <c r="F23" s="129">
        <v>5961.1479200000003</v>
      </c>
      <c r="G23" s="307">
        <f>E23/$E$26</f>
        <v>7.0985212013441254E-2</v>
      </c>
      <c r="H23" s="307">
        <f t="shared" si="2"/>
        <v>-0.54404803896867382</v>
      </c>
      <c r="I23" s="313">
        <v>1190.7</v>
      </c>
      <c r="J23" s="129">
        <v>13022.5</v>
      </c>
      <c r="K23" s="307">
        <f>I23/$I$26</f>
        <v>0.12146157848027667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7"/>
      <c r="B24" s="437"/>
      <c r="C24" s="154" t="s">
        <v>7</v>
      </c>
      <c r="D24" s="313">
        <v>76279</v>
      </c>
      <c r="E24" s="129">
        <v>620.4</v>
      </c>
      <c r="F24" s="129">
        <v>6812.4</v>
      </c>
      <c r="G24" s="307">
        <f>E24/$E$26</f>
        <v>8.1118186216184412E-2</v>
      </c>
      <c r="H24" s="307">
        <f t="shared" si="2"/>
        <v>-0.53419926420902475</v>
      </c>
      <c r="I24" s="313">
        <v>1331.9</v>
      </c>
      <c r="J24" s="129">
        <v>14566.5</v>
      </c>
      <c r="K24" s="307">
        <f>I24/$I$26</f>
        <v>0.13586518550254514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7"/>
      <c r="B25" s="437"/>
      <c r="C25" s="154" t="s">
        <v>93</v>
      </c>
      <c r="D25" s="313">
        <v>8</v>
      </c>
      <c r="E25" s="129">
        <v>175.499</v>
      </c>
      <c r="F25" s="129">
        <v>1927.11006</v>
      </c>
      <c r="G25" s="307">
        <f>E25/$E$26</f>
        <v>2.2946744943188505E-2</v>
      </c>
      <c r="H25" s="307">
        <f t="shared" si="2"/>
        <v>0.33028364386095244</v>
      </c>
      <c r="I25" s="313">
        <v>131.92599999999999</v>
      </c>
      <c r="J25" s="129">
        <v>1442.81186</v>
      </c>
      <c r="K25" s="307">
        <f>I25/$I$26</f>
        <v>1.3457579745182647E-2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42"/>
      <c r="B26" s="442"/>
      <c r="C26" s="318" t="s">
        <v>0</v>
      </c>
      <c r="D26" s="321">
        <v>82300</v>
      </c>
      <c r="E26" s="319">
        <v>7648.0999999999995</v>
      </c>
      <c r="F26" s="319">
        <v>83981.166910000014</v>
      </c>
      <c r="G26" s="320">
        <f>SUM(G21:G25)</f>
        <v>1</v>
      </c>
      <c r="H26" s="320">
        <f t="shared" si="2"/>
        <v>-0.21982842162173183</v>
      </c>
      <c r="I26" s="321">
        <v>9803.0999999999985</v>
      </c>
      <c r="J26" s="319">
        <v>107212.16309000002</v>
      </c>
      <c r="K26" s="320">
        <f>SUM(K21:K25)</f>
        <v>1.0000000000000002</v>
      </c>
    </row>
    <row r="27" spans="1:20" ht="11.1" customHeight="1">
      <c r="A27" s="500" t="str">
        <f>'3.1'!G5</f>
        <v>III. čtvrtletí</v>
      </c>
      <c r="B27" s="443"/>
      <c r="C27" s="164" t="s">
        <v>4</v>
      </c>
      <c r="D27" s="312">
        <f>D21</f>
        <v>55</v>
      </c>
      <c r="E27" s="308">
        <f>E9+E15+E21</f>
        <v>18519.019</v>
      </c>
      <c r="F27" s="308">
        <f>F9+F15+F21</f>
        <v>203133.06539</v>
      </c>
      <c r="G27" s="309">
        <f>E27/$E$32</f>
        <v>0.77427121832929169</v>
      </c>
      <c r="H27" s="309">
        <f>(E27-I27)/I27</f>
        <v>-2.5063563747795177E-2</v>
      </c>
      <c r="I27" s="312">
        <f>I9+I15+I21</f>
        <v>18995.103999999999</v>
      </c>
      <c r="J27" s="308">
        <f>J9+J15+J21</f>
        <v>206762.57520000002</v>
      </c>
      <c r="K27" s="309">
        <f>I27/$I$32</f>
        <v>0.72040110136001279</v>
      </c>
    </row>
    <row r="28" spans="1:20" ht="11.1" customHeight="1">
      <c r="A28" s="437"/>
      <c r="B28" s="437"/>
      <c r="C28" s="154" t="s">
        <v>5</v>
      </c>
      <c r="D28" s="313">
        <f>D22</f>
        <v>160</v>
      </c>
      <c r="E28" s="129">
        <f t="shared" ref="E28:F31" si="3">E10+E16+E22</f>
        <v>1578.38</v>
      </c>
      <c r="F28" s="129">
        <f t="shared" si="3"/>
        <v>17313.876530000005</v>
      </c>
      <c r="G28" s="307">
        <f>E28/$E$32</f>
        <v>6.5991303620704073E-2</v>
      </c>
      <c r="H28" s="307">
        <f t="shared" ref="H28:H31" si="4">(E28-I28)/I28</f>
        <v>-0.22145427712317195</v>
      </c>
      <c r="I28" s="313">
        <f t="shared" ref="I28:J28" si="5">I10+I16+I22</f>
        <v>2027.3440000000001</v>
      </c>
      <c r="J28" s="129">
        <f t="shared" si="5"/>
        <v>22085.496859999999</v>
      </c>
      <c r="K28" s="307">
        <f>I28/$I$32</f>
        <v>7.6888278707798269E-2</v>
      </c>
    </row>
    <row r="29" spans="1:20" ht="11.1" customHeight="1">
      <c r="A29" s="437"/>
      <c r="B29" s="437"/>
      <c r="C29" s="154" t="s">
        <v>6</v>
      </c>
      <c r="D29" s="313">
        <f>D23</f>
        <v>5798</v>
      </c>
      <c r="E29" s="129">
        <f t="shared" si="3"/>
        <v>1492.8230000000001</v>
      </c>
      <c r="F29" s="129">
        <f t="shared" si="3"/>
        <v>16376.76266</v>
      </c>
      <c r="G29" s="307">
        <f>E29/$E$32</f>
        <v>6.2414206873484403E-2</v>
      </c>
      <c r="H29" s="307">
        <f t="shared" si="4"/>
        <v>-0.3656469638380147</v>
      </c>
      <c r="I29" s="313">
        <f t="shared" ref="I29:J29" si="6">I11+I17+I23</f>
        <v>2353.3000000000002</v>
      </c>
      <c r="J29" s="129">
        <f t="shared" si="6"/>
        <v>25648.5</v>
      </c>
      <c r="K29" s="307">
        <f>I29/$I$32</f>
        <v>8.9250362189673624E-2</v>
      </c>
    </row>
    <row r="30" spans="1:20" ht="11.1" customHeight="1">
      <c r="A30" s="437"/>
      <c r="B30" s="437"/>
      <c r="C30" s="154" t="s">
        <v>7</v>
      </c>
      <c r="D30" s="313">
        <f>D24</f>
        <v>76279</v>
      </c>
      <c r="E30" s="129">
        <f t="shared" si="3"/>
        <v>1813.4</v>
      </c>
      <c r="F30" s="129">
        <f t="shared" si="3"/>
        <v>19891.099999999999</v>
      </c>
      <c r="G30" s="307">
        <f>E30/$E$32</f>
        <v>7.5817376034785514E-2</v>
      </c>
      <c r="H30" s="307">
        <f t="shared" si="4"/>
        <v>-0.28872327907432827</v>
      </c>
      <c r="I30" s="313">
        <f t="shared" ref="I30:J30" si="7">I12+I18+I24</f>
        <v>2549.5</v>
      </c>
      <c r="J30" s="129">
        <f t="shared" si="7"/>
        <v>27789.9</v>
      </c>
      <c r="K30" s="307">
        <f>I30/$I$32</f>
        <v>9.6691368887338161E-2</v>
      </c>
    </row>
    <row r="31" spans="1:20" ht="11.1" customHeight="1">
      <c r="A31" s="437"/>
      <c r="B31" s="437"/>
      <c r="C31" s="154" t="s">
        <v>93</v>
      </c>
      <c r="D31" s="313">
        <f>D25</f>
        <v>8</v>
      </c>
      <c r="E31" s="129">
        <f>E13+E19+E25</f>
        <v>514.37800000000004</v>
      </c>
      <c r="F31" s="129">
        <f t="shared" si="3"/>
        <v>5642.5153700000001</v>
      </c>
      <c r="G31" s="307">
        <f>E31/$E$32</f>
        <v>2.1505895141734257E-2</v>
      </c>
      <c r="H31" s="307">
        <f t="shared" si="4"/>
        <v>0.1633510647921983</v>
      </c>
      <c r="I31" s="313">
        <f>I13+I19+I25</f>
        <v>442.15199999999999</v>
      </c>
      <c r="J31" s="129">
        <f t="shared" ref="J31" si="8">J13+J19+J25</f>
        <v>4811.9678700000004</v>
      </c>
      <c r="K31" s="307">
        <f>I31/$I$32</f>
        <v>1.6768888855177227E-2</v>
      </c>
    </row>
    <row r="32" spans="1:20" ht="11.1" customHeight="1">
      <c r="A32" s="442"/>
      <c r="B32" s="442"/>
      <c r="C32" s="318" t="s">
        <v>0</v>
      </c>
      <c r="D32" s="321">
        <f>SUM(D27:D31)</f>
        <v>82300</v>
      </c>
      <c r="E32" s="319">
        <f>SUM(E27:E31)</f>
        <v>23918.000000000004</v>
      </c>
      <c r="F32" s="319">
        <f>SUM(F27:F31)</f>
        <v>262357.31995000003</v>
      </c>
      <c r="G32" s="320">
        <f>SUM(G27:G31)</f>
        <v>1</v>
      </c>
      <c r="H32" s="320">
        <f>(E32-I32)/I32</f>
        <v>-9.2895014297958628E-2</v>
      </c>
      <c r="I32" s="321">
        <f>SUM(I27:I31)</f>
        <v>26367.399999999998</v>
      </c>
      <c r="J32" s="319">
        <f>SUM(J27:J31)</f>
        <v>287098.43993000005</v>
      </c>
      <c r="K32" s="320">
        <f>SUM(K27:K31)</f>
        <v>1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25" t="s">
        <v>38</v>
      </c>
      <c r="B34" s="525"/>
      <c r="C34" s="525"/>
      <c r="D34" s="481">
        <f>D4</f>
        <v>2023</v>
      </c>
      <c r="E34" s="353"/>
      <c r="F34" s="342"/>
      <c r="G34" s="342"/>
      <c r="H34" s="342"/>
      <c r="I34" s="481">
        <f>D34-1</f>
        <v>2022</v>
      </c>
      <c r="J34" s="482"/>
      <c r="K34" s="482"/>
    </row>
    <row r="35" spans="1:11" ht="24.95" customHeight="1">
      <c r="A35" s="304"/>
      <c r="B35" s="272"/>
      <c r="C35" s="150"/>
      <c r="D35" s="483"/>
      <c r="E35" s="355"/>
      <c r="F35" s="356"/>
      <c r="G35" s="356"/>
      <c r="H35" s="357"/>
      <c r="I35" s="483"/>
      <c r="J35" s="484"/>
      <c r="K35" s="484"/>
    </row>
    <row r="36" spans="1:11" ht="24.95" customHeight="1">
      <c r="A36" s="130"/>
      <c r="B36" s="131"/>
      <c r="C36" s="352"/>
      <c r="D36" s="364" t="s">
        <v>159</v>
      </c>
      <c r="E36" s="479" t="s">
        <v>60</v>
      </c>
      <c r="F36" s="479"/>
      <c r="G36" s="480" t="s">
        <v>33</v>
      </c>
      <c r="H36" s="480" t="s">
        <v>270</v>
      </c>
      <c r="I36" s="478" t="s">
        <v>60</v>
      </c>
      <c r="J36" s="479"/>
      <c r="K36" s="480" t="s">
        <v>33</v>
      </c>
    </row>
    <row r="37" spans="1:11" ht="24.95" customHeight="1">
      <c r="A37" s="130"/>
      <c r="B37" s="306"/>
      <c r="C37" s="306"/>
      <c r="D37" s="365"/>
      <c r="E37" s="479"/>
      <c r="F37" s="479"/>
      <c r="G37" s="480"/>
      <c r="H37" s="480"/>
      <c r="I37" s="478"/>
      <c r="J37" s="479"/>
      <c r="K37" s="480"/>
    </row>
    <row r="38" spans="1:11" ht="15" customHeight="1">
      <c r="A38" s="524" t="s">
        <v>158</v>
      </c>
      <c r="B38" s="524"/>
      <c r="C38" s="366" t="s">
        <v>184</v>
      </c>
      <c r="D38" s="343"/>
      <c r="E38" s="219" t="s">
        <v>261</v>
      </c>
      <c r="F38" s="219" t="s">
        <v>262</v>
      </c>
      <c r="G38" s="476"/>
      <c r="H38" s="476"/>
      <c r="I38" s="221" t="s">
        <v>261</v>
      </c>
      <c r="J38" s="219" t="s">
        <v>262</v>
      </c>
      <c r="K38" s="476"/>
    </row>
    <row r="39" spans="1:11" ht="11.1" customHeight="1">
      <c r="A39" s="443" t="str">
        <f>'3.1'!D5</f>
        <v>Červenec</v>
      </c>
      <c r="B39" s="443"/>
      <c r="C39" s="164" t="s">
        <v>4</v>
      </c>
      <c r="D39" s="312">
        <v>77</v>
      </c>
      <c r="E39" s="308">
        <v>5184.2920000000004</v>
      </c>
      <c r="F39" s="308">
        <v>56813.818859999985</v>
      </c>
      <c r="G39" s="309">
        <f>E39/$E$44</f>
        <v>0.65360851256965635</v>
      </c>
      <c r="H39" s="309">
        <f>(E39-I39)/I39</f>
        <v>-0.20848594515715024</v>
      </c>
      <c r="I39" s="312">
        <v>6549.8419999999996</v>
      </c>
      <c r="J39" s="308">
        <v>71195.22735999999</v>
      </c>
      <c r="K39" s="309">
        <f>I39/$I$44</f>
        <v>0.65302512462612161</v>
      </c>
    </row>
    <row r="40" spans="1:11" ht="11.1" customHeight="1">
      <c r="A40" s="437"/>
      <c r="B40" s="437"/>
      <c r="C40" s="154" t="s">
        <v>5</v>
      </c>
      <c r="D40" s="313">
        <v>241</v>
      </c>
      <c r="E40" s="129">
        <v>772.51700000000005</v>
      </c>
      <c r="F40" s="129">
        <v>8465.4989799999948</v>
      </c>
      <c r="G40" s="307">
        <f t="shared" ref="G40" si="9">E40/$E$44</f>
        <v>9.7394916664565429E-2</v>
      </c>
      <c r="H40" s="307">
        <f>(E40-I40)/I40</f>
        <v>-0.31374766368423662</v>
      </c>
      <c r="I40" s="313">
        <v>1125.704</v>
      </c>
      <c r="J40" s="129">
        <v>12236.026040000002</v>
      </c>
      <c r="K40" s="307">
        <f t="shared" ref="K40:K43" si="10">I40/$I$44</f>
        <v>0.11223369890329013</v>
      </c>
    </row>
    <row r="41" spans="1:11" ht="11.1" customHeight="1">
      <c r="A41" s="437"/>
      <c r="B41" s="437"/>
      <c r="C41" s="154" t="s">
        <v>6</v>
      </c>
      <c r="D41" s="313">
        <v>9808</v>
      </c>
      <c r="E41" s="129">
        <v>659.74599999999998</v>
      </c>
      <c r="F41" s="129">
        <v>7229.7956000000004</v>
      </c>
      <c r="G41" s="307">
        <f>E41/$E$44</f>
        <v>8.3177336796187495E-2</v>
      </c>
      <c r="H41" s="307">
        <f t="shared" ref="H41:H43" si="11">(E41-I41)/I41</f>
        <v>-0.2900475851248599</v>
      </c>
      <c r="I41" s="313">
        <v>929.28200000000004</v>
      </c>
      <c r="J41" s="129">
        <v>10101.120869999999</v>
      </c>
      <c r="K41" s="307">
        <f t="shared" si="10"/>
        <v>9.2650249252243272E-2</v>
      </c>
    </row>
    <row r="42" spans="1:11" ht="11.1" customHeight="1">
      <c r="A42" s="437"/>
      <c r="B42" s="437"/>
      <c r="C42" s="154" t="s">
        <v>7</v>
      </c>
      <c r="D42" s="313">
        <v>105482</v>
      </c>
      <c r="E42" s="129">
        <v>1191.4000000000001</v>
      </c>
      <c r="F42" s="129">
        <v>13056.7</v>
      </c>
      <c r="G42" s="307">
        <f>E42/$E$44</f>
        <v>0.1502055019037293</v>
      </c>
      <c r="H42" s="307">
        <f t="shared" si="11"/>
        <v>-8.0993520518358522E-2</v>
      </c>
      <c r="I42" s="313">
        <v>1296.4000000000001</v>
      </c>
      <c r="J42" s="129">
        <v>14091.7</v>
      </c>
      <c r="K42" s="307">
        <f t="shared" si="10"/>
        <v>0.12925224327018944</v>
      </c>
    </row>
    <row r="43" spans="1:11" ht="11.1" customHeight="1">
      <c r="A43" s="437"/>
      <c r="B43" s="437"/>
      <c r="C43" s="154" t="s">
        <v>93</v>
      </c>
      <c r="D43" s="313">
        <v>15</v>
      </c>
      <c r="E43" s="129">
        <v>123.845</v>
      </c>
      <c r="F43" s="129">
        <v>1357.1761199999996</v>
      </c>
      <c r="G43" s="307">
        <f>E43/$E$44</f>
        <v>1.5613732065861469E-2</v>
      </c>
      <c r="H43" s="307">
        <f t="shared" si="11"/>
        <v>-3.826142329077744E-2</v>
      </c>
      <c r="I43" s="313">
        <v>128.77199999999999</v>
      </c>
      <c r="J43" s="129">
        <v>1399.7266599999998</v>
      </c>
      <c r="K43" s="307">
        <f t="shared" si="10"/>
        <v>1.2838683948155533E-2</v>
      </c>
    </row>
    <row r="44" spans="1:11" ht="11.1" customHeight="1">
      <c r="A44" s="442"/>
      <c r="B44" s="442"/>
      <c r="C44" s="318" t="s">
        <v>0</v>
      </c>
      <c r="D44" s="321">
        <v>115623</v>
      </c>
      <c r="E44" s="319">
        <v>7931.8</v>
      </c>
      <c r="F44" s="319">
        <v>86922.989559999987</v>
      </c>
      <c r="G44" s="320">
        <f>SUM(G39:G43)</f>
        <v>1</v>
      </c>
      <c r="H44" s="320">
        <f>(E44-I44)/I44</f>
        <v>-0.20919242273180458</v>
      </c>
      <c r="I44" s="321">
        <v>10030</v>
      </c>
      <c r="J44" s="319">
        <v>109023.80092999998</v>
      </c>
      <c r="K44" s="320">
        <f>SUM(K39:K43)</f>
        <v>1</v>
      </c>
    </row>
    <row r="45" spans="1:11" ht="11.1" customHeight="1">
      <c r="A45" s="443" t="str">
        <f>'3.1'!E5</f>
        <v>Srpen</v>
      </c>
      <c r="B45" s="443"/>
      <c r="C45" s="164" t="s">
        <v>4</v>
      </c>
      <c r="D45" s="312">
        <v>77</v>
      </c>
      <c r="E45" s="308">
        <v>6610.7209999999995</v>
      </c>
      <c r="F45" s="308">
        <v>72508.604089999964</v>
      </c>
      <c r="G45" s="309">
        <f>E45/$E$50</f>
        <v>0.67439820860197497</v>
      </c>
      <c r="H45" s="309">
        <f>(E45-I45)/I45</f>
        <v>-1.6787745246404744E-2</v>
      </c>
      <c r="I45" s="312">
        <v>6723.5950000000003</v>
      </c>
      <c r="J45" s="308">
        <v>72954.435500000007</v>
      </c>
      <c r="K45" s="309">
        <f>I45/$I$50</f>
        <v>0.6531249696439847</v>
      </c>
    </row>
    <row r="46" spans="1:11" ht="11.1" customHeight="1">
      <c r="A46" s="437"/>
      <c r="B46" s="437"/>
      <c r="C46" s="154" t="s">
        <v>5</v>
      </c>
      <c r="D46" s="313">
        <v>239</v>
      </c>
      <c r="E46" s="129">
        <v>929.09900000000005</v>
      </c>
      <c r="F46" s="129">
        <v>10190.630920000001</v>
      </c>
      <c r="G46" s="307">
        <f t="shared" ref="G46:G49" si="12">E46/$E$50</f>
        <v>9.4782808291846904E-2</v>
      </c>
      <c r="H46" s="307">
        <f>(E46-I46)/I46</f>
        <v>-0.28198182811595568</v>
      </c>
      <c r="I46" s="313">
        <v>1293.9770000000001</v>
      </c>
      <c r="J46" s="129">
        <v>14039.892949999994</v>
      </c>
      <c r="K46" s="307">
        <f t="shared" ref="K46:K49" si="13">I46/$I$50</f>
        <v>0.12569595415027443</v>
      </c>
    </row>
    <row r="47" spans="1:11" ht="11.1" customHeight="1">
      <c r="A47" s="437"/>
      <c r="B47" s="437"/>
      <c r="C47" s="154" t="s">
        <v>6</v>
      </c>
      <c r="D47" s="313">
        <v>9796</v>
      </c>
      <c r="E47" s="129">
        <v>824.38600000000008</v>
      </c>
      <c r="F47" s="129">
        <v>9042.1211000000003</v>
      </c>
      <c r="G47" s="307">
        <f t="shared" si="12"/>
        <v>8.4100424385864694E-2</v>
      </c>
      <c r="H47" s="307">
        <f t="shared" ref="H47:H49" si="14">(E47-I47)/I47</f>
        <v>-9.5670355057432002E-2</v>
      </c>
      <c r="I47" s="313">
        <v>911.59900000000005</v>
      </c>
      <c r="J47" s="129">
        <v>9891.6435600000004</v>
      </c>
      <c r="K47" s="307">
        <f t="shared" si="13"/>
        <v>8.855204235271262E-2</v>
      </c>
    </row>
    <row r="48" spans="1:11" ht="11.1" customHeight="1">
      <c r="A48" s="437"/>
      <c r="B48" s="437"/>
      <c r="C48" s="154" t="s">
        <v>7</v>
      </c>
      <c r="D48" s="313">
        <v>105393</v>
      </c>
      <c r="E48" s="129">
        <v>1304.4000000000001</v>
      </c>
      <c r="F48" s="129">
        <v>14307.1</v>
      </c>
      <c r="G48" s="307">
        <f t="shared" si="12"/>
        <v>0.13306945237900925</v>
      </c>
      <c r="H48" s="307">
        <f t="shared" si="14"/>
        <v>4.2602509791383733E-2</v>
      </c>
      <c r="I48" s="313">
        <v>1251.0999999999999</v>
      </c>
      <c r="J48" s="129">
        <v>13574.9</v>
      </c>
      <c r="K48" s="307">
        <f t="shared" si="13"/>
        <v>0.12153091456603039</v>
      </c>
    </row>
    <row r="49" spans="1:11" ht="11.1" customHeight="1">
      <c r="A49" s="437"/>
      <c r="B49" s="437"/>
      <c r="C49" s="154" t="s">
        <v>93</v>
      </c>
      <c r="D49" s="313">
        <v>15</v>
      </c>
      <c r="E49" s="129">
        <v>133.79400000000001</v>
      </c>
      <c r="F49" s="129">
        <v>1467.4838200000002</v>
      </c>
      <c r="G49" s="307">
        <f t="shared" si="12"/>
        <v>1.3649106341304172E-2</v>
      </c>
      <c r="H49" s="307">
        <f t="shared" si="14"/>
        <v>0.17127874707823768</v>
      </c>
      <c r="I49" s="313">
        <v>114.229</v>
      </c>
      <c r="J49" s="129">
        <v>1239.4572599999999</v>
      </c>
      <c r="K49" s="307">
        <f t="shared" si="13"/>
        <v>1.1096119286997911E-2</v>
      </c>
    </row>
    <row r="50" spans="1:11" ht="11.1" customHeight="1">
      <c r="A50" s="442"/>
      <c r="B50" s="442"/>
      <c r="C50" s="318" t="s">
        <v>0</v>
      </c>
      <c r="D50" s="321">
        <v>115520</v>
      </c>
      <c r="E50" s="319">
        <v>9802.4</v>
      </c>
      <c r="F50" s="319">
        <v>107515.93992999996</v>
      </c>
      <c r="G50" s="320">
        <f>SUM(G45:G49)</f>
        <v>1</v>
      </c>
      <c r="H50" s="320">
        <f t="shared" ref="H50" si="15">(E50-I50)/I50</f>
        <v>-4.7802224488804737E-2</v>
      </c>
      <c r="I50" s="321">
        <v>10294.5</v>
      </c>
      <c r="J50" s="319">
        <v>111700.32926999999</v>
      </c>
      <c r="K50" s="320">
        <f>SUM(K45:K49)</f>
        <v>1</v>
      </c>
    </row>
    <row r="51" spans="1:11" ht="11.1" customHeight="1">
      <c r="A51" s="443" t="str">
        <f>'3.1'!F5</f>
        <v>Září</v>
      </c>
      <c r="B51" s="443"/>
      <c r="C51" s="164" t="s">
        <v>4</v>
      </c>
      <c r="D51" s="312">
        <v>77</v>
      </c>
      <c r="E51" s="308">
        <v>6555.1310000000003</v>
      </c>
      <c r="F51" s="308">
        <v>71980.479549999989</v>
      </c>
      <c r="G51" s="309">
        <f>E51/$E$56</f>
        <v>0.66633437017158659</v>
      </c>
      <c r="H51" s="309">
        <f>(E51-I51)/I51</f>
        <v>-0.21097380497419613</v>
      </c>
      <c r="I51" s="312">
        <v>8307.875</v>
      </c>
      <c r="J51" s="308">
        <v>90858.853589999999</v>
      </c>
      <c r="K51" s="309">
        <f>I51/$I$56</f>
        <v>0.56692017414564921</v>
      </c>
    </row>
    <row r="52" spans="1:11" ht="11.1" customHeight="1">
      <c r="A52" s="437"/>
      <c r="B52" s="437"/>
      <c r="C52" s="154" t="s">
        <v>5</v>
      </c>
      <c r="D52" s="313">
        <v>239</v>
      </c>
      <c r="E52" s="129">
        <v>993.11500000000001</v>
      </c>
      <c r="F52" s="129">
        <v>10905.328769999995</v>
      </c>
      <c r="G52" s="307">
        <f t="shared" ref="G52:G55" si="16">E52/$E$56</f>
        <v>0.10095094331950882</v>
      </c>
      <c r="H52" s="307">
        <f t="shared" ref="H52:H55" si="17">(E52-I52)/I52</f>
        <v>-0.3701350469426547</v>
      </c>
      <c r="I52" s="313">
        <v>1576.711</v>
      </c>
      <c r="J52" s="129">
        <v>17243.38289999999</v>
      </c>
      <c r="K52" s="307">
        <f t="shared" ref="K52:K55" si="18">I52/$I$56</f>
        <v>0.10759300960803583</v>
      </c>
    </row>
    <row r="53" spans="1:11" ht="11.1" customHeight="1">
      <c r="A53" s="437"/>
      <c r="B53" s="437"/>
      <c r="C53" s="154" t="s">
        <v>6</v>
      </c>
      <c r="D53" s="313">
        <v>9783</v>
      </c>
      <c r="E53" s="129">
        <v>861.43</v>
      </c>
      <c r="F53" s="129">
        <v>9458.7795699999988</v>
      </c>
      <c r="G53" s="307">
        <f t="shared" si="16"/>
        <v>8.7565056517849876E-2</v>
      </c>
      <c r="H53" s="307">
        <f t="shared" si="17"/>
        <v>-0.54224665424990637</v>
      </c>
      <c r="I53" s="313">
        <v>1881.865</v>
      </c>
      <c r="J53" s="129">
        <v>20581.25591</v>
      </c>
      <c r="K53" s="307">
        <f t="shared" si="18"/>
        <v>0.1284163800633257</v>
      </c>
    </row>
    <row r="54" spans="1:11" ht="11.1" customHeight="1">
      <c r="A54" s="437"/>
      <c r="B54" s="437"/>
      <c r="C54" s="154" t="s">
        <v>7</v>
      </c>
      <c r="D54" s="313">
        <v>105312</v>
      </c>
      <c r="E54" s="129">
        <v>1298</v>
      </c>
      <c r="F54" s="129">
        <v>14253.2</v>
      </c>
      <c r="G54" s="307">
        <f t="shared" si="16"/>
        <v>0.13194275026429209</v>
      </c>
      <c r="H54" s="307">
        <f t="shared" si="17"/>
        <v>-0.53421609789356583</v>
      </c>
      <c r="I54" s="313">
        <v>2786.7</v>
      </c>
      <c r="J54" s="129">
        <v>30476.799999999999</v>
      </c>
      <c r="K54" s="307">
        <f t="shared" si="18"/>
        <v>0.19016131673763512</v>
      </c>
    </row>
    <row r="55" spans="1:11" ht="11.1" customHeight="1">
      <c r="A55" s="437"/>
      <c r="B55" s="437"/>
      <c r="C55" s="154" t="s">
        <v>93</v>
      </c>
      <c r="D55" s="313">
        <v>15</v>
      </c>
      <c r="E55" s="129">
        <v>129.92400000000001</v>
      </c>
      <c r="F55" s="129">
        <v>1426.6486299999999</v>
      </c>
      <c r="G55" s="307">
        <f t="shared" si="16"/>
        <v>1.3206879726762625E-2</v>
      </c>
      <c r="H55" s="307">
        <f t="shared" si="17"/>
        <v>0.28321267370541942</v>
      </c>
      <c r="I55" s="313">
        <v>101.249</v>
      </c>
      <c r="J55" s="129">
        <v>1107.3149599999999</v>
      </c>
      <c r="K55" s="307">
        <f t="shared" si="18"/>
        <v>6.9091194453542969E-3</v>
      </c>
    </row>
    <row r="56" spans="1:11" ht="11.1" customHeight="1">
      <c r="A56" s="442"/>
      <c r="B56" s="442"/>
      <c r="C56" s="318" t="s">
        <v>0</v>
      </c>
      <c r="D56" s="321">
        <v>115426</v>
      </c>
      <c r="E56" s="319">
        <v>9837.6</v>
      </c>
      <c r="F56" s="319">
        <v>108024.43651999997</v>
      </c>
      <c r="G56" s="320">
        <f>SUM(G51:G55)</f>
        <v>1</v>
      </c>
      <c r="H56" s="320">
        <f t="shared" ref="H56" si="19">(E56-I56)/I56</f>
        <v>-0.32869308876514891</v>
      </c>
      <c r="I56" s="321">
        <v>14654.399999999998</v>
      </c>
      <c r="J56" s="319">
        <v>160267.60735999997</v>
      </c>
      <c r="K56" s="320">
        <f>SUM(K51:K55)</f>
        <v>1.0000000000000002</v>
      </c>
    </row>
    <row r="57" spans="1:11" ht="11.1" customHeight="1">
      <c r="A57" s="500" t="str">
        <f>'3.1'!G5</f>
        <v>III. čtvrtletí</v>
      </c>
      <c r="B57" s="443"/>
      <c r="C57" s="164" t="s">
        <v>4</v>
      </c>
      <c r="D57" s="312">
        <f>D51</f>
        <v>77</v>
      </c>
      <c r="E57" s="308">
        <f>E39+E45+E51</f>
        <v>18350.144</v>
      </c>
      <c r="F57" s="308">
        <f>F39+F45+F51</f>
        <v>201302.90249999994</v>
      </c>
      <c r="G57" s="309">
        <f>E57/$E$62</f>
        <v>0.66554029842085038</v>
      </c>
      <c r="H57" s="309">
        <f>(E57-I57)/I57</f>
        <v>-0.14972064719698219</v>
      </c>
      <c r="I57" s="312">
        <f>I39+I45+I51</f>
        <v>21581.311999999998</v>
      </c>
      <c r="J57" s="308">
        <f>J39+J45+J51</f>
        <v>235008.51645</v>
      </c>
      <c r="K57" s="309">
        <f>I57/$I$62</f>
        <v>0.61698086560755205</v>
      </c>
    </row>
    <row r="58" spans="1:11" ht="11.1" customHeight="1">
      <c r="A58" s="437"/>
      <c r="B58" s="437"/>
      <c r="C58" s="154" t="s">
        <v>5</v>
      </c>
      <c r="D58" s="313">
        <f>D52</f>
        <v>239</v>
      </c>
      <c r="E58" s="129">
        <f t="shared" ref="E58:F59" si="20">E40+E46+E52</f>
        <v>2694.7309999999998</v>
      </c>
      <c r="F58" s="129">
        <f t="shared" si="20"/>
        <v>29561.458669999993</v>
      </c>
      <c r="G58" s="307">
        <f t="shared" ref="G58:G61" si="21">E58/$E$62</f>
        <v>9.7735040875097032E-2</v>
      </c>
      <c r="H58" s="307">
        <f t="shared" ref="H58:H61" si="22">(E58-I58)/I58</f>
        <v>-0.32570903955367747</v>
      </c>
      <c r="I58" s="313">
        <f t="shared" ref="I58:J58" si="23">I40+I46+I52</f>
        <v>3996.3919999999998</v>
      </c>
      <c r="J58" s="129">
        <f t="shared" si="23"/>
        <v>43519.301889999988</v>
      </c>
      <c r="K58" s="307">
        <f t="shared" ref="K58:K61" si="24">I58/$I$62</f>
        <v>0.11425150590784731</v>
      </c>
    </row>
    <row r="59" spans="1:11" ht="11.1" customHeight="1">
      <c r="A59" s="437"/>
      <c r="B59" s="437"/>
      <c r="C59" s="154" t="s">
        <v>6</v>
      </c>
      <c r="D59" s="313">
        <f>D53</f>
        <v>9783</v>
      </c>
      <c r="E59" s="129">
        <f>E41+E47+E53</f>
        <v>2345.5619999999999</v>
      </c>
      <c r="F59" s="129">
        <f t="shared" si="20"/>
        <v>25730.69627</v>
      </c>
      <c r="G59" s="307">
        <f t="shared" si="21"/>
        <v>8.5071050856309713E-2</v>
      </c>
      <c r="H59" s="307">
        <f t="shared" si="22"/>
        <v>-0.36993767503880204</v>
      </c>
      <c r="I59" s="313">
        <f>I41+I47+I53</f>
        <v>3722.7460000000001</v>
      </c>
      <c r="J59" s="129">
        <f t="shared" ref="J59" si="25">J41+J47+J53</f>
        <v>40574.020340000003</v>
      </c>
      <c r="K59" s="307">
        <f t="shared" si="24"/>
        <v>0.10642833250902689</v>
      </c>
    </row>
    <row r="60" spans="1:11" ht="11.1" customHeight="1">
      <c r="A60" s="437"/>
      <c r="B60" s="437"/>
      <c r="C60" s="154" t="s">
        <v>7</v>
      </c>
      <c r="D60" s="313">
        <f>D54</f>
        <v>105312</v>
      </c>
      <c r="E60" s="129">
        <f t="shared" ref="E60:F61" si="26">E42+E48+E54</f>
        <v>3793.8</v>
      </c>
      <c r="F60" s="129">
        <f t="shared" si="26"/>
        <v>41617</v>
      </c>
      <c r="G60" s="307">
        <f t="shared" si="21"/>
        <v>0.13759711009074491</v>
      </c>
      <c r="H60" s="307">
        <f t="shared" si="22"/>
        <v>-0.28877807356304597</v>
      </c>
      <c r="I60" s="313">
        <f t="shared" ref="I60:J60" si="27">I42+I48+I54</f>
        <v>5334.2</v>
      </c>
      <c r="J60" s="129">
        <f t="shared" si="27"/>
        <v>58143.399999999994</v>
      </c>
      <c r="K60" s="307">
        <f t="shared" si="24"/>
        <v>0.15249764858243114</v>
      </c>
    </row>
    <row r="61" spans="1:11" ht="11.1" customHeight="1">
      <c r="A61" s="437"/>
      <c r="B61" s="437"/>
      <c r="C61" s="154" t="s">
        <v>93</v>
      </c>
      <c r="D61" s="313">
        <f>D55</f>
        <v>15</v>
      </c>
      <c r="E61" s="129">
        <f>E43+E49+E55</f>
        <v>387.56299999999999</v>
      </c>
      <c r="F61" s="129">
        <f t="shared" si="26"/>
        <v>4251.3085699999992</v>
      </c>
      <c r="G61" s="307">
        <f t="shared" si="21"/>
        <v>1.4056499756998094E-2</v>
      </c>
      <c r="H61" s="307">
        <f t="shared" si="22"/>
        <v>0.12581844589687724</v>
      </c>
      <c r="I61" s="313">
        <f>I43+I49+I55</f>
        <v>344.25</v>
      </c>
      <c r="J61" s="129">
        <f t="shared" ref="J61" si="28">J43+J49+J55</f>
        <v>3746.4988799999992</v>
      </c>
      <c r="K61" s="307">
        <f t="shared" si="24"/>
        <v>9.8416473931427252E-3</v>
      </c>
    </row>
    <row r="62" spans="1:11" ht="11.1" customHeight="1">
      <c r="A62" s="442"/>
      <c r="B62" s="442"/>
      <c r="C62" s="318" t="s">
        <v>0</v>
      </c>
      <c r="D62" s="321">
        <f>SUM(D57:D61)</f>
        <v>115426</v>
      </c>
      <c r="E62" s="319">
        <f>SUM(E57:E61)</f>
        <v>27571.799999999996</v>
      </c>
      <c r="F62" s="319">
        <f>SUM(F57:F61)</f>
        <v>302463.36600999994</v>
      </c>
      <c r="G62" s="320">
        <f>SUM(G57:G61)</f>
        <v>1.0000000000000002</v>
      </c>
      <c r="H62" s="320">
        <f>(E62-I62)/I62</f>
        <v>-0.21175908905082777</v>
      </c>
      <c r="I62" s="321">
        <f>SUM(I57:I61)</f>
        <v>34978.899999999994</v>
      </c>
      <c r="J62" s="319">
        <f>SUM(J57:J61)</f>
        <v>380991.73755999992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20"/>
  <sheetViews>
    <sheetView showGridLines="0" topLeftCell="A7" zoomScaleNormal="100" zoomScaleSheetLayoutView="100" workbookViewId="0">
      <selection activeCell="G1" sqref="G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09" t="s">
        <v>305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26"/>
      <c r="B3" s="526"/>
      <c r="C3" s="526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487" t="s">
        <v>39</v>
      </c>
      <c r="B4" s="487"/>
      <c r="C4" s="487"/>
      <c r="D4" s="481">
        <f>'3.1'!A4</f>
        <v>2023</v>
      </c>
      <c r="E4" s="353"/>
      <c r="F4" s="342"/>
      <c r="G4" s="342"/>
      <c r="H4" s="342"/>
      <c r="I4" s="481">
        <f>D4-1</f>
        <v>2022</v>
      </c>
      <c r="J4" s="482"/>
      <c r="K4" s="482"/>
    </row>
    <row r="5" spans="1:16" ht="24.95" customHeight="1">
      <c r="A5" s="354"/>
      <c r="B5" s="354"/>
      <c r="C5" s="354"/>
      <c r="D5" s="483"/>
      <c r="E5" s="355"/>
      <c r="F5" s="356"/>
      <c r="G5" s="356"/>
      <c r="H5" s="357"/>
      <c r="I5" s="483"/>
      <c r="J5" s="484"/>
      <c r="K5" s="484"/>
    </row>
    <row r="6" spans="1:16" ht="24.95" customHeight="1">
      <c r="A6" s="304"/>
      <c r="B6" s="272"/>
      <c r="C6" s="305"/>
      <c r="D6" s="364" t="s">
        <v>159</v>
      </c>
      <c r="E6" s="479" t="s">
        <v>60</v>
      </c>
      <c r="F6" s="479"/>
      <c r="G6" s="480" t="s">
        <v>33</v>
      </c>
      <c r="H6" s="480" t="s">
        <v>270</v>
      </c>
      <c r="I6" s="478" t="s">
        <v>60</v>
      </c>
      <c r="J6" s="479"/>
      <c r="K6" s="480" t="s">
        <v>33</v>
      </c>
    </row>
    <row r="7" spans="1:16" ht="24.95" customHeight="1">
      <c r="A7" s="304"/>
      <c r="B7" s="306"/>
      <c r="D7" s="365"/>
      <c r="E7" s="479"/>
      <c r="F7" s="479"/>
      <c r="G7" s="480"/>
      <c r="H7" s="480"/>
      <c r="I7" s="478"/>
      <c r="J7" s="479"/>
      <c r="K7" s="480"/>
    </row>
    <row r="8" spans="1:16" ht="15" customHeight="1">
      <c r="A8" s="488" t="s">
        <v>158</v>
      </c>
      <c r="B8" s="488"/>
      <c r="C8" s="323" t="s">
        <v>184</v>
      </c>
      <c r="D8" s="343"/>
      <c r="E8" s="219" t="s">
        <v>261</v>
      </c>
      <c r="F8" s="219" t="s">
        <v>262</v>
      </c>
      <c r="G8" s="476"/>
      <c r="H8" s="476"/>
      <c r="I8" s="221" t="s">
        <v>261</v>
      </c>
      <c r="J8" s="219" t="s">
        <v>262</v>
      </c>
      <c r="K8" s="476"/>
    </row>
    <row r="9" spans="1:16" ht="11.1" customHeight="1">
      <c r="A9" s="443" t="str">
        <f>'3.1'!D5</f>
        <v>Červenec</v>
      </c>
      <c r="B9" s="443"/>
      <c r="C9" s="164" t="s">
        <v>4</v>
      </c>
      <c r="D9" s="312">
        <v>88</v>
      </c>
      <c r="E9" s="308">
        <v>4754.7560000000003</v>
      </c>
      <c r="F9" s="308">
        <v>52105.933500000028</v>
      </c>
      <c r="G9" s="309">
        <f>E9/$E$14</f>
        <v>0.62345191109945586</v>
      </c>
      <c r="H9" s="309">
        <f>(E9-I9)/I9</f>
        <v>-0.20567373516889179</v>
      </c>
      <c r="I9" s="312">
        <v>5985.8979999999992</v>
      </c>
      <c r="J9" s="308">
        <v>65066.087879999985</v>
      </c>
      <c r="K9" s="309">
        <f>I9/$I$14</f>
        <v>0.64918747153113687</v>
      </c>
    </row>
    <row r="10" spans="1:16" ht="11.1" customHeight="1">
      <c r="A10" s="437"/>
      <c r="B10" s="437"/>
      <c r="C10" s="154" t="s">
        <v>5</v>
      </c>
      <c r="D10" s="313">
        <v>281</v>
      </c>
      <c r="E10" s="129">
        <v>1029.989</v>
      </c>
      <c r="F10" s="129">
        <v>11287.22855</v>
      </c>
      <c r="G10" s="307">
        <f>E10/$E$14</f>
        <v>0.1350539565987019</v>
      </c>
      <c r="H10" s="307">
        <f>(E10-I10)/I10</f>
        <v>4.1299596214077423E-2</v>
      </c>
      <c r="I10" s="313">
        <v>989.13799999999992</v>
      </c>
      <c r="J10" s="129">
        <v>10751.436039999997</v>
      </c>
      <c r="K10" s="307">
        <f>I10/$I$14</f>
        <v>0.10727479773550529</v>
      </c>
      <c r="L10" s="93"/>
      <c r="N10" s="93"/>
      <c r="O10" s="93"/>
      <c r="P10" s="93"/>
    </row>
    <row r="11" spans="1:16" ht="11.1" customHeight="1">
      <c r="A11" s="437"/>
      <c r="B11" s="437"/>
      <c r="C11" s="154" t="s">
        <v>6</v>
      </c>
      <c r="D11" s="313">
        <v>8745</v>
      </c>
      <c r="E11" s="129">
        <v>718.178</v>
      </c>
      <c r="F11" s="129">
        <v>7870.6719000000003</v>
      </c>
      <c r="G11" s="307">
        <f>E11/$E$14</f>
        <v>9.4168753687799103E-2</v>
      </c>
      <c r="H11" s="307">
        <f t="shared" ref="H11:H13" si="0">(E11-I11)/I11</f>
        <v>-0.28987130871570749</v>
      </c>
      <c r="I11" s="313">
        <v>1011.335</v>
      </c>
      <c r="J11" s="129">
        <v>10992.510559999999</v>
      </c>
      <c r="K11" s="307">
        <f>I11/$I$14</f>
        <v>0.10968212480749628</v>
      </c>
      <c r="L11" s="93"/>
      <c r="N11" s="93"/>
      <c r="O11" s="93"/>
      <c r="P11" s="93"/>
    </row>
    <row r="12" spans="1:16" ht="11.1" customHeight="1">
      <c r="A12" s="437"/>
      <c r="B12" s="437"/>
      <c r="C12" s="154" t="s">
        <v>7</v>
      </c>
      <c r="D12" s="313">
        <v>82184</v>
      </c>
      <c r="E12" s="129">
        <v>931.3</v>
      </c>
      <c r="F12" s="129">
        <v>10206.299999999999</v>
      </c>
      <c r="G12" s="307">
        <f>E12/$E$14</f>
        <v>0.1221136825542516</v>
      </c>
      <c r="H12" s="307">
        <f t="shared" si="0"/>
        <v>-8.1014406946911408E-2</v>
      </c>
      <c r="I12" s="313">
        <v>1013.4</v>
      </c>
      <c r="J12" s="129">
        <v>11015.3</v>
      </c>
      <c r="K12" s="307">
        <f>I12/$I$14</f>
        <v>0.10990607986465091</v>
      </c>
      <c r="L12" s="93"/>
      <c r="N12" s="93"/>
      <c r="O12" s="93"/>
      <c r="P12" s="93"/>
    </row>
    <row r="13" spans="1:16" ht="11.1" customHeight="1">
      <c r="A13" s="437"/>
      <c r="B13" s="437"/>
      <c r="C13" s="154" t="s">
        <v>93</v>
      </c>
      <c r="D13" s="313">
        <v>9</v>
      </c>
      <c r="E13" s="129">
        <v>192.27699999999999</v>
      </c>
      <c r="F13" s="129">
        <v>2107.1225899999999</v>
      </c>
      <c r="G13" s="307">
        <f>E13/$E$14</f>
        <v>2.5211696059791511E-2</v>
      </c>
      <c r="H13" s="307">
        <f t="shared" si="0"/>
        <v>-0.12929461257352984</v>
      </c>
      <c r="I13" s="313">
        <v>220.82900000000001</v>
      </c>
      <c r="J13" s="129">
        <v>2400.3716800000002</v>
      </c>
      <c r="K13" s="307">
        <f>I13/$I$14</f>
        <v>2.3949526061210771E-2</v>
      </c>
      <c r="L13" s="93"/>
      <c r="N13" s="93"/>
      <c r="O13" s="93"/>
      <c r="P13" s="93"/>
    </row>
    <row r="14" spans="1:16" ht="11.1" customHeight="1">
      <c r="A14" s="442"/>
      <c r="B14" s="442"/>
      <c r="C14" s="318" t="s">
        <v>0</v>
      </c>
      <c r="D14" s="321">
        <v>91307</v>
      </c>
      <c r="E14" s="319">
        <v>7626.5000000000009</v>
      </c>
      <c r="F14" s="319">
        <v>83577.256540000031</v>
      </c>
      <c r="G14" s="320">
        <f>SUM(G9:G13)</f>
        <v>1</v>
      </c>
      <c r="H14" s="320">
        <f>(E14-I14)/I14</f>
        <v>-0.17288462789840117</v>
      </c>
      <c r="I14" s="321">
        <v>9220.5999999999985</v>
      </c>
      <c r="J14" s="319">
        <v>100225.70615999997</v>
      </c>
      <c r="K14" s="320">
        <f>SUM(K9:K13)</f>
        <v>1.0000000000000002</v>
      </c>
      <c r="L14" s="93"/>
    </row>
    <row r="15" spans="1:16" ht="11.1" customHeight="1">
      <c r="A15" s="443" t="str">
        <f>'3.1'!E5</f>
        <v>Srpen</v>
      </c>
      <c r="B15" s="443"/>
      <c r="C15" s="164" t="s">
        <v>4</v>
      </c>
      <c r="D15" s="312">
        <v>88</v>
      </c>
      <c r="E15" s="308">
        <v>5697.7369999999992</v>
      </c>
      <c r="F15" s="308">
        <v>62493.995270000014</v>
      </c>
      <c r="G15" s="309">
        <f>E15/$E$20</f>
        <v>0.63613533851375492</v>
      </c>
      <c r="H15" s="309">
        <f>(E15-I15)/I15</f>
        <v>-0.10011046188038536</v>
      </c>
      <c r="I15" s="312">
        <v>6331.5959999999995</v>
      </c>
      <c r="J15" s="308">
        <v>68701.513929999986</v>
      </c>
      <c r="K15" s="309">
        <f>I15/$I$20</f>
        <v>0.65922537117631141</v>
      </c>
      <c r="L15" s="93"/>
      <c r="M15" s="93"/>
    </row>
    <row r="16" spans="1:16" ht="11.1" customHeight="1">
      <c r="A16" s="437"/>
      <c r="B16" s="437"/>
      <c r="C16" s="154" t="s">
        <v>5</v>
      </c>
      <c r="D16" s="313">
        <v>280</v>
      </c>
      <c r="E16" s="129">
        <v>1132.105</v>
      </c>
      <c r="F16" s="129">
        <v>12417.557940000001</v>
      </c>
      <c r="G16" s="307">
        <f>E16/$E$20</f>
        <v>0.12639614594498036</v>
      </c>
      <c r="H16" s="307">
        <f>(E16-I16)/I16</f>
        <v>6.8499369530583429E-2</v>
      </c>
      <c r="I16" s="313">
        <v>1059.528</v>
      </c>
      <c r="J16" s="129">
        <v>11496.748570000003</v>
      </c>
      <c r="K16" s="307">
        <f>I16/$I$20</f>
        <v>0.11031464090123484</v>
      </c>
      <c r="L16" s="97"/>
      <c r="M16" s="93"/>
    </row>
    <row r="17" spans="1:20" ht="11.1" customHeight="1">
      <c r="A17" s="437"/>
      <c r="B17" s="437"/>
      <c r="C17" s="154" t="s">
        <v>6</v>
      </c>
      <c r="D17" s="313">
        <v>8734</v>
      </c>
      <c r="E17" s="129">
        <v>897.24199999999996</v>
      </c>
      <c r="F17" s="129">
        <v>9840.8650100000013</v>
      </c>
      <c r="G17" s="307">
        <f>E17/$E$20</f>
        <v>0.10017439264022866</v>
      </c>
      <c r="H17" s="307">
        <f t="shared" ref="H17:H20" si="1">(E17-I17)/I17</f>
        <v>-9.5640692247991724E-2</v>
      </c>
      <c r="I17" s="313">
        <v>992.13</v>
      </c>
      <c r="J17" s="129">
        <v>10764.755650000001</v>
      </c>
      <c r="K17" s="307">
        <f>I17/$I$20</f>
        <v>0.10329737833954565</v>
      </c>
      <c r="L17" s="93"/>
      <c r="M17" s="93"/>
      <c r="N17" s="93"/>
      <c r="O17" s="93"/>
    </row>
    <row r="18" spans="1:20" ht="11.1" customHeight="1">
      <c r="A18" s="437"/>
      <c r="B18" s="437"/>
      <c r="C18" s="154" t="s">
        <v>7</v>
      </c>
      <c r="D18" s="313">
        <v>82114</v>
      </c>
      <c r="E18" s="129">
        <v>1019.6</v>
      </c>
      <c r="F18" s="129">
        <v>11183.7</v>
      </c>
      <c r="G18" s="307">
        <f>E18/$E$20</f>
        <v>0.11383529832082888</v>
      </c>
      <c r="H18" s="307">
        <f t="shared" si="1"/>
        <v>4.2535787321063417E-2</v>
      </c>
      <c r="I18" s="313">
        <v>978</v>
      </c>
      <c r="J18" s="129">
        <v>10611.3</v>
      </c>
      <c r="K18" s="307">
        <f>I18/$I$20</f>
        <v>0.10182620827520149</v>
      </c>
      <c r="L18" s="93"/>
      <c r="M18" s="93"/>
      <c r="N18" s="93"/>
      <c r="O18" s="93"/>
    </row>
    <row r="19" spans="1:20" ht="11.1" customHeight="1">
      <c r="A19" s="437"/>
      <c r="B19" s="437"/>
      <c r="C19" s="154" t="s">
        <v>93</v>
      </c>
      <c r="D19" s="313">
        <v>9</v>
      </c>
      <c r="E19" s="129">
        <v>210.11600000000001</v>
      </c>
      <c r="F19" s="129">
        <v>2304.6030900000001</v>
      </c>
      <c r="G19" s="307">
        <f>E19/$E$20</f>
        <v>2.3458824580207219E-2</v>
      </c>
      <c r="H19" s="307">
        <f t="shared" si="1"/>
        <v>-0.13655453551732918</v>
      </c>
      <c r="I19" s="313">
        <v>243.346</v>
      </c>
      <c r="J19" s="129">
        <v>2640.44191</v>
      </c>
      <c r="K19" s="307">
        <f>I19/$I$20</f>
        <v>2.533640130770673E-2</v>
      </c>
      <c r="L19" s="93"/>
      <c r="M19" s="93"/>
      <c r="N19" s="93"/>
      <c r="O19" s="93"/>
    </row>
    <row r="20" spans="1:20" ht="11.1" customHeight="1">
      <c r="A20" s="442"/>
      <c r="B20" s="442"/>
      <c r="C20" s="318" t="s">
        <v>0</v>
      </c>
      <c r="D20" s="321">
        <v>91225</v>
      </c>
      <c r="E20" s="319">
        <v>8956.7999999999993</v>
      </c>
      <c r="F20" s="319">
        <v>98240.721310000023</v>
      </c>
      <c r="G20" s="320">
        <f>SUM(G15:G19)</f>
        <v>1</v>
      </c>
      <c r="H20" s="320">
        <f t="shared" si="1"/>
        <v>-6.7446848385148722E-2</v>
      </c>
      <c r="I20" s="321">
        <v>9604.5999999999985</v>
      </c>
      <c r="J20" s="319">
        <v>104214.76005999999</v>
      </c>
      <c r="K20" s="320">
        <f>SUM(K15:K19)</f>
        <v>1.0000000000000002</v>
      </c>
      <c r="L20" s="93"/>
      <c r="M20" s="93"/>
      <c r="N20" s="93"/>
      <c r="O20" s="93"/>
    </row>
    <row r="21" spans="1:20" ht="11.1" customHeight="1">
      <c r="A21" s="443" t="str">
        <f>'3.1'!F5</f>
        <v>Září</v>
      </c>
      <c r="B21" s="443"/>
      <c r="C21" s="164" t="s">
        <v>4</v>
      </c>
      <c r="D21" s="312">
        <v>88</v>
      </c>
      <c r="E21" s="308">
        <v>5951.0420000000004</v>
      </c>
      <c r="F21" s="308">
        <v>65346.576359999992</v>
      </c>
      <c r="G21" s="309">
        <f>E21/$E$26</f>
        <v>0.64631145671557499</v>
      </c>
      <c r="H21" s="309">
        <f>(E21-I21)/I21</f>
        <v>-0.24423679058801415</v>
      </c>
      <c r="I21" s="312">
        <v>7874.2150000000001</v>
      </c>
      <c r="J21" s="308">
        <v>86116.797450000056</v>
      </c>
      <c r="K21" s="309">
        <f>I21/$I$26</f>
        <v>0.56220699847921241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7"/>
      <c r="B22" s="437"/>
      <c r="C22" s="154" t="s">
        <v>5</v>
      </c>
      <c r="D22" s="313">
        <v>281</v>
      </c>
      <c r="E22" s="129">
        <v>1101.2570000000001</v>
      </c>
      <c r="F22" s="129">
        <v>12092.275880000003</v>
      </c>
      <c r="G22" s="307">
        <f>E22/$E$26</f>
        <v>0.11960174636445584</v>
      </c>
      <c r="H22" s="307">
        <f t="shared" ref="H22:H26" si="2">(E22-I22)/I22</f>
        <v>-0.34689819386251297</v>
      </c>
      <c r="I22" s="313">
        <v>1686.1950000000002</v>
      </c>
      <c r="J22" s="129">
        <v>18441.335039999994</v>
      </c>
      <c r="K22" s="307">
        <f>I22/$I$26</f>
        <v>0.12039176347110864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7"/>
      <c r="B23" s="437"/>
      <c r="C23" s="154" t="s">
        <v>6</v>
      </c>
      <c r="D23" s="313">
        <v>8722</v>
      </c>
      <c r="E23" s="129">
        <v>937.42700000000002</v>
      </c>
      <c r="F23" s="129">
        <v>10293.70774</v>
      </c>
      <c r="G23" s="307">
        <f>E23/$E$26</f>
        <v>0.1018090293993071</v>
      </c>
      <c r="H23" s="307">
        <f t="shared" si="2"/>
        <v>-0.54314775484106148</v>
      </c>
      <c r="I23" s="313">
        <v>2051.9259999999999</v>
      </c>
      <c r="J23" s="129">
        <v>22441.399170000001</v>
      </c>
      <c r="K23" s="307">
        <f>I23/$I$26</f>
        <v>0.14650440171641951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7"/>
      <c r="B24" s="437"/>
      <c r="C24" s="154" t="s">
        <v>7</v>
      </c>
      <c r="D24" s="313">
        <v>82051</v>
      </c>
      <c r="E24" s="129">
        <v>1014.7</v>
      </c>
      <c r="F24" s="129">
        <v>11141.6</v>
      </c>
      <c r="G24" s="307">
        <f>E24/$E$26</f>
        <v>0.11020124461048904</v>
      </c>
      <c r="H24" s="307">
        <f t="shared" si="2"/>
        <v>-0.53417802873800668</v>
      </c>
      <c r="I24" s="313">
        <v>2178.3000000000002</v>
      </c>
      <c r="J24" s="129">
        <v>23823.4</v>
      </c>
      <c r="K24" s="307">
        <f>I24/$I$26</f>
        <v>0.15552731348931526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7"/>
      <c r="B25" s="437"/>
      <c r="C25" s="154" t="s">
        <v>93</v>
      </c>
      <c r="D25" s="313">
        <v>9</v>
      </c>
      <c r="E25" s="129">
        <v>203.274</v>
      </c>
      <c r="F25" s="129">
        <v>2232.0825099999997</v>
      </c>
      <c r="G25" s="307">
        <f>E25/$E$26</f>
        <v>2.2076522910173004E-2</v>
      </c>
      <c r="H25" s="307">
        <f t="shared" si="2"/>
        <v>-5.5699048610078829E-2</v>
      </c>
      <c r="I25" s="313">
        <v>215.26400000000001</v>
      </c>
      <c r="J25" s="129">
        <v>2354.2397299999998</v>
      </c>
      <c r="K25" s="307">
        <f>I25/$I$26</f>
        <v>1.5369522843944342E-2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42"/>
      <c r="B26" s="442"/>
      <c r="C26" s="318" t="s">
        <v>0</v>
      </c>
      <c r="D26" s="321">
        <v>91151</v>
      </c>
      <c r="E26" s="319">
        <v>9207.7000000000007</v>
      </c>
      <c r="F26" s="319">
        <v>101106.24248999999</v>
      </c>
      <c r="G26" s="320">
        <f>SUM(G21:G25)</f>
        <v>1</v>
      </c>
      <c r="H26" s="320">
        <f t="shared" si="2"/>
        <v>-0.34258419665997886</v>
      </c>
      <c r="I26" s="321">
        <v>14005.899999999998</v>
      </c>
      <c r="J26" s="319">
        <v>153177.17139000006</v>
      </c>
      <c r="K26" s="320">
        <f>SUM(K21:K25)</f>
        <v>1.0000000000000002</v>
      </c>
    </row>
    <row r="27" spans="1:20" ht="11.1" customHeight="1">
      <c r="A27" s="500" t="str">
        <f>'3.1'!G5</f>
        <v>III. čtvrtletí</v>
      </c>
      <c r="B27" s="443"/>
      <c r="C27" s="164" t="s">
        <v>4</v>
      </c>
      <c r="D27" s="312">
        <f>D21</f>
        <v>88</v>
      </c>
      <c r="E27" s="308">
        <f>E9+E15+E21</f>
        <v>16403.535</v>
      </c>
      <c r="F27" s="308">
        <f>F9+F15+F21</f>
        <v>179946.50513000003</v>
      </c>
      <c r="G27" s="309">
        <f>E27/$E$32</f>
        <v>0.63601779690589744</v>
      </c>
      <c r="H27" s="309">
        <f>(E27-I27)/I27</f>
        <v>-0.18761037017718507</v>
      </c>
      <c r="I27" s="312">
        <f>I9+I15+I21</f>
        <v>20191.708999999999</v>
      </c>
      <c r="J27" s="308">
        <f>J9+J15+J21</f>
        <v>219884.39926000003</v>
      </c>
      <c r="K27" s="309">
        <f>I27/$I$32</f>
        <v>0.61501774232358952</v>
      </c>
    </row>
    <row r="28" spans="1:20" ht="11.1" customHeight="1">
      <c r="A28" s="437"/>
      <c r="B28" s="437"/>
      <c r="C28" s="154" t="s">
        <v>5</v>
      </c>
      <c r="D28" s="313">
        <f>D22</f>
        <v>281</v>
      </c>
      <c r="E28" s="129">
        <f t="shared" ref="E28:F31" si="3">E10+E16+E22</f>
        <v>3263.3510000000001</v>
      </c>
      <c r="F28" s="129">
        <f t="shared" si="3"/>
        <v>35797.06237</v>
      </c>
      <c r="G28" s="307">
        <f>E28/$E$32</f>
        <v>0.12653061145360786</v>
      </c>
      <c r="H28" s="307">
        <f t="shared" ref="H28:H31" si="4">(E28-I28)/I28</f>
        <v>-0.12624566215449523</v>
      </c>
      <c r="I28" s="313">
        <f t="shared" ref="I28:J28" si="5">I10+I16+I22</f>
        <v>3734.8610000000003</v>
      </c>
      <c r="J28" s="129">
        <f t="shared" si="5"/>
        <v>40689.519649999995</v>
      </c>
      <c r="K28" s="307">
        <f>I28/$I$32</f>
        <v>0.1137598496547481</v>
      </c>
    </row>
    <row r="29" spans="1:20" ht="11.1" customHeight="1">
      <c r="A29" s="437"/>
      <c r="B29" s="437"/>
      <c r="C29" s="154" t="s">
        <v>6</v>
      </c>
      <c r="D29" s="313">
        <f>D23</f>
        <v>8722</v>
      </c>
      <c r="E29" s="129">
        <f t="shared" si="3"/>
        <v>2552.8470000000002</v>
      </c>
      <c r="F29" s="129">
        <f t="shared" si="3"/>
        <v>28005.244650000001</v>
      </c>
      <c r="G29" s="307">
        <f>E29/$E$32</f>
        <v>9.8982086774456218E-2</v>
      </c>
      <c r="H29" s="307">
        <f t="shared" si="4"/>
        <v>-0.37050533475070585</v>
      </c>
      <c r="I29" s="313">
        <f t="shared" ref="I29:J29" si="6">I11+I17+I23</f>
        <v>4055.3910000000001</v>
      </c>
      <c r="J29" s="129">
        <f t="shared" si="6"/>
        <v>44198.665380000006</v>
      </c>
      <c r="K29" s="307">
        <f>I29/$I$32</f>
        <v>0.1235228487623016</v>
      </c>
    </row>
    <row r="30" spans="1:20" ht="11.1" customHeight="1">
      <c r="A30" s="437"/>
      <c r="B30" s="437"/>
      <c r="C30" s="154" t="s">
        <v>7</v>
      </c>
      <c r="D30" s="313">
        <f>D24</f>
        <v>82051</v>
      </c>
      <c r="E30" s="129">
        <f t="shared" si="3"/>
        <v>2965.6000000000004</v>
      </c>
      <c r="F30" s="129">
        <f t="shared" si="3"/>
        <v>32531.599999999999</v>
      </c>
      <c r="G30" s="307">
        <f>E30/$E$32</f>
        <v>0.11498584777635611</v>
      </c>
      <c r="H30" s="307">
        <f t="shared" si="4"/>
        <v>-0.2887737726934792</v>
      </c>
      <c r="I30" s="313">
        <f t="shared" ref="I30:J30" si="7">I12+I18+I24</f>
        <v>4169.7000000000007</v>
      </c>
      <c r="J30" s="129">
        <f t="shared" si="7"/>
        <v>45450</v>
      </c>
      <c r="K30" s="307">
        <f>I30/$I$32</f>
        <v>0.12700457797636999</v>
      </c>
    </row>
    <row r="31" spans="1:20" ht="11.1" customHeight="1">
      <c r="A31" s="437"/>
      <c r="B31" s="437"/>
      <c r="C31" s="154" t="s">
        <v>93</v>
      </c>
      <c r="D31" s="313">
        <f>D25</f>
        <v>9</v>
      </c>
      <c r="E31" s="129">
        <f>E13+E19+E25</f>
        <v>605.66700000000003</v>
      </c>
      <c r="F31" s="129">
        <f t="shared" si="3"/>
        <v>6643.8081899999997</v>
      </c>
      <c r="G31" s="307">
        <f>E31/$E$32</f>
        <v>2.3483657089682447E-2</v>
      </c>
      <c r="H31" s="307">
        <f t="shared" si="4"/>
        <v>-0.10857781198900864</v>
      </c>
      <c r="I31" s="313">
        <f>I13+I19+I25</f>
        <v>679.43900000000008</v>
      </c>
      <c r="J31" s="129">
        <f t="shared" ref="J31" si="8">J13+J19+J25</f>
        <v>7395.0533199999991</v>
      </c>
      <c r="K31" s="307">
        <f>I31/$I$32</f>
        <v>2.0694981282990826E-2</v>
      </c>
    </row>
    <row r="32" spans="1:20" ht="11.1" customHeight="1">
      <c r="A32" s="442"/>
      <c r="B32" s="442"/>
      <c r="C32" s="318" t="s">
        <v>0</v>
      </c>
      <c r="D32" s="321">
        <f>SUM(D27:D31)</f>
        <v>91151</v>
      </c>
      <c r="E32" s="319">
        <f>SUM(E27:E31)</f>
        <v>25791</v>
      </c>
      <c r="F32" s="319">
        <f>SUM(F27:F31)</f>
        <v>282924.22034000006</v>
      </c>
      <c r="G32" s="320">
        <f>SUM(G27:G31)</f>
        <v>1</v>
      </c>
      <c r="H32" s="320">
        <f>(E32-I32)/I32</f>
        <v>-0.21443387519760224</v>
      </c>
      <c r="I32" s="321">
        <f>SUM(I27:I31)</f>
        <v>32831.1</v>
      </c>
      <c r="J32" s="319">
        <f>SUM(J27:J31)</f>
        <v>357617.63761000003</v>
      </c>
      <c r="K32" s="320">
        <f>SUM(K27:K31)</f>
        <v>1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25" t="s">
        <v>40</v>
      </c>
      <c r="B34" s="525"/>
      <c r="C34" s="525"/>
      <c r="D34" s="481">
        <f>D4</f>
        <v>2023</v>
      </c>
      <c r="E34" s="353"/>
      <c r="F34" s="342"/>
      <c r="G34" s="342"/>
      <c r="H34" s="342"/>
      <c r="I34" s="481">
        <f>D34-1</f>
        <v>2022</v>
      </c>
      <c r="J34" s="482"/>
      <c r="K34" s="482"/>
    </row>
    <row r="35" spans="1:11" ht="24.95" customHeight="1">
      <c r="A35" s="304"/>
      <c r="B35" s="272"/>
      <c r="C35" s="150"/>
      <c r="D35" s="483"/>
      <c r="E35" s="355"/>
      <c r="F35" s="356"/>
      <c r="G35" s="356"/>
      <c r="H35" s="357"/>
      <c r="I35" s="483"/>
      <c r="J35" s="484"/>
      <c r="K35" s="484"/>
    </row>
    <row r="36" spans="1:11" ht="24.95" customHeight="1">
      <c r="A36" s="130"/>
      <c r="B36" s="131"/>
      <c r="C36" s="352"/>
      <c r="D36" s="364" t="s">
        <v>159</v>
      </c>
      <c r="E36" s="479" t="s">
        <v>60</v>
      </c>
      <c r="F36" s="479"/>
      <c r="G36" s="480" t="s">
        <v>33</v>
      </c>
      <c r="H36" s="480" t="s">
        <v>270</v>
      </c>
      <c r="I36" s="478" t="s">
        <v>60</v>
      </c>
      <c r="J36" s="479"/>
      <c r="K36" s="480" t="s">
        <v>33</v>
      </c>
    </row>
    <row r="37" spans="1:11" ht="24.95" customHeight="1">
      <c r="A37" s="130"/>
      <c r="B37" s="306"/>
      <c r="C37" s="306"/>
      <c r="D37" s="365"/>
      <c r="E37" s="479"/>
      <c r="F37" s="479"/>
      <c r="G37" s="480"/>
      <c r="H37" s="480"/>
      <c r="I37" s="478"/>
      <c r="J37" s="479"/>
      <c r="K37" s="480"/>
    </row>
    <row r="38" spans="1:11" ht="15" customHeight="1">
      <c r="A38" s="524" t="s">
        <v>158</v>
      </c>
      <c r="B38" s="524"/>
      <c r="C38" s="366" t="s">
        <v>184</v>
      </c>
      <c r="D38" s="343"/>
      <c r="E38" s="219" t="s">
        <v>261</v>
      </c>
      <c r="F38" s="219" t="s">
        <v>262</v>
      </c>
      <c r="G38" s="476"/>
      <c r="H38" s="476"/>
      <c r="I38" s="221" t="s">
        <v>261</v>
      </c>
      <c r="J38" s="219" t="s">
        <v>262</v>
      </c>
      <c r="K38" s="476"/>
    </row>
    <row r="39" spans="1:11" ht="11.1" customHeight="1">
      <c r="A39" s="443" t="str">
        <f>'3.1'!D5</f>
        <v>Červenec</v>
      </c>
      <c r="B39" s="443"/>
      <c r="C39" s="164" t="s">
        <v>4</v>
      </c>
      <c r="D39" s="312">
        <v>178</v>
      </c>
      <c r="E39" s="308">
        <v>26647.377</v>
      </c>
      <c r="F39" s="308">
        <v>291794.09437000006</v>
      </c>
      <c r="G39" s="309">
        <f>E39/$E$44</f>
        <v>0.79219474319170924</v>
      </c>
      <c r="H39" s="309">
        <f>(E39-I39)/I39</f>
        <v>1.6193464146004668E-2</v>
      </c>
      <c r="I39" s="312">
        <v>26222.739999999998</v>
      </c>
      <c r="J39" s="308">
        <v>284881.40342999989</v>
      </c>
      <c r="K39" s="309">
        <f>I39/$I$44</f>
        <v>0.76052444833515909</v>
      </c>
    </row>
    <row r="40" spans="1:11" ht="11.1" customHeight="1">
      <c r="A40" s="437"/>
      <c r="B40" s="437"/>
      <c r="C40" s="154" t="s">
        <v>5</v>
      </c>
      <c r="D40" s="313">
        <v>435</v>
      </c>
      <c r="E40" s="129">
        <v>1428.4280000000001</v>
      </c>
      <c r="F40" s="129">
        <v>15646.627889999989</v>
      </c>
      <c r="G40" s="307">
        <f t="shared" ref="G40" si="9">E40/$E$44</f>
        <v>4.2465461145682247E-2</v>
      </c>
      <c r="H40" s="307">
        <f>(E40-I40)/I40</f>
        <v>-0.2701843662903724</v>
      </c>
      <c r="I40" s="313">
        <v>1957.2450000000001</v>
      </c>
      <c r="J40" s="129">
        <v>21269.814530000011</v>
      </c>
      <c r="K40" s="307">
        <f t="shared" ref="K40:K43" si="10">I40/$I$44</f>
        <v>5.6764955678992687E-2</v>
      </c>
    </row>
    <row r="41" spans="1:11" ht="11.1" customHeight="1">
      <c r="A41" s="437"/>
      <c r="B41" s="437"/>
      <c r="C41" s="154" t="s">
        <v>6</v>
      </c>
      <c r="D41" s="313">
        <v>18108</v>
      </c>
      <c r="E41" s="129">
        <v>1155.9460000000001</v>
      </c>
      <c r="F41" s="129">
        <v>12664.059599999999</v>
      </c>
      <c r="G41" s="307">
        <f>E41/$E$44</f>
        <v>3.4364896200233273E-2</v>
      </c>
      <c r="H41" s="307">
        <f t="shared" ref="H41:H43" si="11">(E41-I41)/I41</f>
        <v>-0.28934352808238578</v>
      </c>
      <c r="I41" s="313">
        <v>1626.5889999999999</v>
      </c>
      <c r="J41" s="129">
        <v>17680.007000000001</v>
      </c>
      <c r="K41" s="307">
        <f t="shared" si="10"/>
        <v>4.7175112207688372E-2</v>
      </c>
    </row>
    <row r="42" spans="1:11" ht="11.1" customHeight="1">
      <c r="A42" s="437"/>
      <c r="B42" s="437"/>
      <c r="C42" s="154" t="s">
        <v>7</v>
      </c>
      <c r="D42" s="313">
        <v>351439</v>
      </c>
      <c r="E42" s="129">
        <v>2591.4</v>
      </c>
      <c r="F42" s="129">
        <v>28398.3</v>
      </c>
      <c r="G42" s="307">
        <f>E42/$E$44</f>
        <v>7.703923194793226E-2</v>
      </c>
      <c r="H42" s="307">
        <f t="shared" si="11"/>
        <v>-8.0940310772263213E-2</v>
      </c>
      <c r="I42" s="313">
        <v>2819.6209999999996</v>
      </c>
      <c r="J42" s="129">
        <v>30649.191999999999</v>
      </c>
      <c r="K42" s="307">
        <f t="shared" si="10"/>
        <v>8.1775996922489019E-2</v>
      </c>
    </row>
    <row r="43" spans="1:11" ht="11.1" customHeight="1">
      <c r="A43" s="437"/>
      <c r="B43" s="437"/>
      <c r="C43" s="154" t="s">
        <v>93</v>
      </c>
      <c r="D43" s="313">
        <v>33</v>
      </c>
      <c r="E43" s="129">
        <v>1814.2560000000001</v>
      </c>
      <c r="F43" s="129">
        <v>19878.446619999999</v>
      </c>
      <c r="G43" s="307">
        <f>E43/$E$44</f>
        <v>5.3935667514443078E-2</v>
      </c>
      <c r="H43" s="307">
        <f t="shared" si="11"/>
        <v>-2.1234699509121827E-2</v>
      </c>
      <c r="I43" s="313">
        <v>1853.617</v>
      </c>
      <c r="J43" s="129">
        <v>20127.671839999995</v>
      </c>
      <c r="K43" s="307">
        <f t="shared" si="10"/>
        <v>5.3759486855670793E-2</v>
      </c>
    </row>
    <row r="44" spans="1:11" ht="11.1" customHeight="1">
      <c r="A44" s="442"/>
      <c r="B44" s="442"/>
      <c r="C44" s="318" t="s">
        <v>0</v>
      </c>
      <c r="D44" s="321">
        <v>370193</v>
      </c>
      <c r="E44" s="319">
        <v>33637.406999999999</v>
      </c>
      <c r="F44" s="319">
        <v>368381.52848000004</v>
      </c>
      <c r="G44" s="320">
        <f>SUM(G39:G43)</f>
        <v>1.0000000000000002</v>
      </c>
      <c r="H44" s="320">
        <f>(E44-I44)/I44</f>
        <v>-2.4431832748972034E-2</v>
      </c>
      <c r="I44" s="321">
        <v>34479.811999999998</v>
      </c>
      <c r="J44" s="319">
        <v>374608.08879999991</v>
      </c>
      <c r="K44" s="320">
        <f>SUM(K39:K43)</f>
        <v>0.99999999999999989</v>
      </c>
    </row>
    <row r="45" spans="1:11" ht="11.1" customHeight="1">
      <c r="A45" s="443" t="str">
        <f>'3.1'!E5</f>
        <v>Srpen</v>
      </c>
      <c r="B45" s="443"/>
      <c r="C45" s="164" t="s">
        <v>4</v>
      </c>
      <c r="D45" s="312">
        <v>178</v>
      </c>
      <c r="E45" s="308">
        <v>23577.161</v>
      </c>
      <c r="F45" s="308">
        <v>258491.58014999999</v>
      </c>
      <c r="G45" s="309">
        <f>E45/$E$50</f>
        <v>0.74545428389039936</v>
      </c>
      <c r="H45" s="309">
        <f>(E45-I45)/I45</f>
        <v>3.7938353389424251E-2</v>
      </c>
      <c r="I45" s="312">
        <v>22715.377</v>
      </c>
      <c r="J45" s="308">
        <v>246316.32254999998</v>
      </c>
      <c r="K45" s="309">
        <f>I45/$I$50</f>
        <v>0.72169876586952386</v>
      </c>
    </row>
    <row r="46" spans="1:11" ht="11.1" customHeight="1">
      <c r="A46" s="437"/>
      <c r="B46" s="437"/>
      <c r="C46" s="154" t="s">
        <v>5</v>
      </c>
      <c r="D46" s="313">
        <v>435</v>
      </c>
      <c r="E46" s="129">
        <v>1846.0949999999998</v>
      </c>
      <c r="F46" s="129">
        <v>20241.628429999997</v>
      </c>
      <c r="G46" s="307">
        <f t="shared" ref="G46:G49" si="12">E46/$E$50</f>
        <v>5.8369174567652428E-2</v>
      </c>
      <c r="H46" s="307">
        <f>(E46-I46)/I46</f>
        <v>-0.26778001213693337</v>
      </c>
      <c r="I46" s="313">
        <v>2521.2300000000005</v>
      </c>
      <c r="J46" s="129">
        <v>27351.400289999998</v>
      </c>
      <c r="K46" s="307">
        <f t="shared" ref="K46:K49" si="13">I46/$I$50</f>
        <v>8.0102944339124113E-2</v>
      </c>
    </row>
    <row r="47" spans="1:11" ht="11.1" customHeight="1">
      <c r="A47" s="437"/>
      <c r="B47" s="437"/>
      <c r="C47" s="154" t="s">
        <v>6</v>
      </c>
      <c r="D47" s="313">
        <v>18083</v>
      </c>
      <c r="E47" s="129">
        <v>1443.06</v>
      </c>
      <c r="F47" s="129">
        <v>15825.293430000002</v>
      </c>
      <c r="G47" s="307">
        <f t="shared" si="12"/>
        <v>4.5626157403382009E-2</v>
      </c>
      <c r="H47" s="307">
        <f t="shared" ref="H47:H49" si="14">(E47-I47)/I47</f>
        <v>-9.517396015168858E-2</v>
      </c>
      <c r="I47" s="313">
        <v>1594.8480000000002</v>
      </c>
      <c r="J47" s="129">
        <v>17309.05213</v>
      </c>
      <c r="K47" s="307">
        <f t="shared" si="13"/>
        <v>5.0670514222567319E-2</v>
      </c>
    </row>
    <row r="48" spans="1:11" ht="11.1" customHeight="1">
      <c r="A48" s="437"/>
      <c r="B48" s="437"/>
      <c r="C48" s="154" t="s">
        <v>7</v>
      </c>
      <c r="D48" s="313">
        <v>351140</v>
      </c>
      <c r="E48" s="129">
        <v>2837.1</v>
      </c>
      <c r="F48" s="129">
        <v>31117.9</v>
      </c>
      <c r="G48" s="307">
        <f t="shared" si="12"/>
        <v>8.9702417896092401E-2</v>
      </c>
      <c r="H48" s="307">
        <f t="shared" si="14"/>
        <v>4.2182474319207325E-2</v>
      </c>
      <c r="I48" s="313">
        <v>2722.268</v>
      </c>
      <c r="J48" s="129">
        <v>29537.413</v>
      </c>
      <c r="K48" s="307">
        <f t="shared" si="13"/>
        <v>8.6490198070060517E-2</v>
      </c>
    </row>
    <row r="49" spans="1:11" ht="11.1" customHeight="1">
      <c r="A49" s="437"/>
      <c r="B49" s="437"/>
      <c r="C49" s="154" t="s">
        <v>93</v>
      </c>
      <c r="D49" s="313">
        <v>33</v>
      </c>
      <c r="E49" s="129">
        <v>1924.4939999999999</v>
      </c>
      <c r="F49" s="129">
        <v>21102.578430000001</v>
      </c>
      <c r="G49" s="307">
        <f t="shared" si="12"/>
        <v>6.0847966242473815E-2</v>
      </c>
      <c r="H49" s="307">
        <f t="shared" si="14"/>
        <v>1.7406241053534723E-3</v>
      </c>
      <c r="I49" s="313">
        <v>1921.15</v>
      </c>
      <c r="J49" s="129">
        <v>20821.184410000002</v>
      </c>
      <c r="K49" s="307">
        <f t="shared" si="13"/>
        <v>6.1037577498724141E-2</v>
      </c>
    </row>
    <row r="50" spans="1:11" ht="11.1" customHeight="1">
      <c r="A50" s="442"/>
      <c r="B50" s="442"/>
      <c r="C50" s="318" t="s">
        <v>0</v>
      </c>
      <c r="D50" s="321">
        <v>369869</v>
      </c>
      <c r="E50" s="319">
        <v>31627.91</v>
      </c>
      <c r="F50" s="319">
        <v>346778.98044000001</v>
      </c>
      <c r="G50" s="320">
        <f>SUM(G45:G49)</f>
        <v>1.0000000000000002</v>
      </c>
      <c r="H50" s="320">
        <f t="shared" ref="H50" si="15">(E50-I50)/I50</f>
        <v>4.8621959491304892E-3</v>
      </c>
      <c r="I50" s="321">
        <v>31474.873000000003</v>
      </c>
      <c r="J50" s="319">
        <v>341335.37238000002</v>
      </c>
      <c r="K50" s="320">
        <f>SUM(K45:K49)</f>
        <v>1</v>
      </c>
    </row>
    <row r="51" spans="1:11" ht="11.1" customHeight="1">
      <c r="A51" s="443" t="str">
        <f>'3.1'!F5</f>
        <v>Září</v>
      </c>
      <c r="B51" s="443"/>
      <c r="C51" s="164" t="s">
        <v>4</v>
      </c>
      <c r="D51" s="312">
        <v>177</v>
      </c>
      <c r="E51" s="308">
        <v>30751.841</v>
      </c>
      <c r="F51" s="308">
        <v>337458.9263799999</v>
      </c>
      <c r="G51" s="309">
        <f>E51/$E$56</f>
        <v>0.79845509875493392</v>
      </c>
      <c r="H51" s="309">
        <f>(E51-I51)/I51</f>
        <v>7.3025237089487674E-2</v>
      </c>
      <c r="I51" s="312">
        <v>28659.010000000002</v>
      </c>
      <c r="J51" s="308">
        <v>313181.49266999989</v>
      </c>
      <c r="K51" s="309">
        <f>I51/$I$56</f>
        <v>0.67820579263603031</v>
      </c>
    </row>
    <row r="52" spans="1:11" ht="11.1" customHeight="1">
      <c r="A52" s="437"/>
      <c r="B52" s="437"/>
      <c r="C52" s="154" t="s">
        <v>5</v>
      </c>
      <c r="D52" s="313">
        <v>431</v>
      </c>
      <c r="E52" s="129">
        <v>1538.758</v>
      </c>
      <c r="F52" s="129">
        <v>16889.716880000007</v>
      </c>
      <c r="G52" s="307">
        <f t="shared" ref="G52:G55" si="16">E52/$E$56</f>
        <v>3.9953028205691639E-2</v>
      </c>
      <c r="H52" s="307">
        <f t="shared" ref="H52:H55" si="17">(E52-I52)/I52</f>
        <v>-0.3470506787879456</v>
      </c>
      <c r="I52" s="313">
        <v>2356.627</v>
      </c>
      <c r="J52" s="129">
        <v>25763.214220000009</v>
      </c>
      <c r="K52" s="307">
        <f t="shared" ref="K52:K55" si="18">I52/$I$56</f>
        <v>5.576878205082695E-2</v>
      </c>
    </row>
    <row r="53" spans="1:11" ht="11.1" customHeight="1">
      <c r="A53" s="437"/>
      <c r="B53" s="437"/>
      <c r="C53" s="154" t="s">
        <v>6</v>
      </c>
      <c r="D53" s="313">
        <v>18061</v>
      </c>
      <c r="E53" s="129">
        <v>1507.6249999999998</v>
      </c>
      <c r="F53" s="129">
        <v>16553.709240000004</v>
      </c>
      <c r="G53" s="307">
        <f t="shared" si="16"/>
        <v>3.9144676517428895E-2</v>
      </c>
      <c r="H53" s="307">
        <f t="shared" si="17"/>
        <v>-0.54315944428552732</v>
      </c>
      <c r="I53" s="313">
        <v>3300.1120000000001</v>
      </c>
      <c r="J53" s="129">
        <v>36090.569069999998</v>
      </c>
      <c r="K53" s="307">
        <f t="shared" si="18"/>
        <v>7.8096035932423188E-2</v>
      </c>
    </row>
    <row r="54" spans="1:11" ht="11.1" customHeight="1">
      <c r="A54" s="437"/>
      <c r="B54" s="437"/>
      <c r="C54" s="154" t="s">
        <v>7</v>
      </c>
      <c r="D54" s="313">
        <v>350869</v>
      </c>
      <c r="E54" s="129">
        <v>2823.2</v>
      </c>
      <c r="F54" s="129">
        <v>31000.7</v>
      </c>
      <c r="G54" s="307">
        <f t="shared" si="16"/>
        <v>7.3302877535199568E-2</v>
      </c>
      <c r="H54" s="307">
        <f t="shared" si="17"/>
        <v>-0.53420227685200461</v>
      </c>
      <c r="I54" s="313">
        <v>6061</v>
      </c>
      <c r="J54" s="129">
        <v>66286.8</v>
      </c>
      <c r="K54" s="307">
        <f t="shared" si="18"/>
        <v>0.14343151801709059</v>
      </c>
    </row>
    <row r="55" spans="1:11" ht="11.1" customHeight="1">
      <c r="A55" s="437"/>
      <c r="B55" s="437"/>
      <c r="C55" s="154" t="s">
        <v>93</v>
      </c>
      <c r="D55" s="313">
        <v>33</v>
      </c>
      <c r="E55" s="129">
        <v>1892.7529999999999</v>
      </c>
      <c r="F55" s="129">
        <v>20776.691989999996</v>
      </c>
      <c r="G55" s="307">
        <f t="shared" si="16"/>
        <v>4.9144318986746108E-2</v>
      </c>
      <c r="H55" s="307">
        <f t="shared" si="17"/>
        <v>6.5955771023600467E-3</v>
      </c>
      <c r="I55" s="313">
        <v>1880.3510000000001</v>
      </c>
      <c r="J55" s="129">
        <v>20539.518949999998</v>
      </c>
      <c r="K55" s="307">
        <f t="shared" si="18"/>
        <v>4.449787136362883E-2</v>
      </c>
    </row>
    <row r="56" spans="1:11" ht="11.1" customHeight="1">
      <c r="A56" s="442"/>
      <c r="B56" s="442"/>
      <c r="C56" s="318" t="s">
        <v>0</v>
      </c>
      <c r="D56" s="321">
        <v>369571</v>
      </c>
      <c r="E56" s="319">
        <v>38514.176999999996</v>
      </c>
      <c r="F56" s="319">
        <v>422679.74448999995</v>
      </c>
      <c r="G56" s="320">
        <f>SUM(G51:G55)</f>
        <v>1.0000000000000002</v>
      </c>
      <c r="H56" s="320">
        <f t="shared" ref="H56" si="19">(E56-I56)/I56</f>
        <v>-8.8575008696763602E-2</v>
      </c>
      <c r="I56" s="321">
        <v>42257.100000000006</v>
      </c>
      <c r="J56" s="319">
        <v>461861.59490999987</v>
      </c>
      <c r="K56" s="320">
        <f>SUM(K51:K55)</f>
        <v>0.99999999999999978</v>
      </c>
    </row>
    <row r="57" spans="1:11" ht="11.1" customHeight="1">
      <c r="A57" s="500" t="str">
        <f>'3.1'!G5</f>
        <v>III. čtvrtletí</v>
      </c>
      <c r="B57" s="443"/>
      <c r="C57" s="164" t="s">
        <v>4</v>
      </c>
      <c r="D57" s="312">
        <f>D51</f>
        <v>177</v>
      </c>
      <c r="E57" s="308">
        <f>E39+E45+E51</f>
        <v>80976.379000000001</v>
      </c>
      <c r="F57" s="308">
        <f>F39+F45+F51</f>
        <v>887744.60089999996</v>
      </c>
      <c r="G57" s="309">
        <f>E57/$E$62</f>
        <v>0.78027340352998842</v>
      </c>
      <c r="H57" s="309">
        <f>(E57-I57)/I57</f>
        <v>4.3548674166763841E-2</v>
      </c>
      <c r="I57" s="312">
        <f>I39+I45+I51</f>
        <v>77597.127000000008</v>
      </c>
      <c r="J57" s="308">
        <f>J39+J45+J51</f>
        <v>844379.2186499997</v>
      </c>
      <c r="K57" s="309">
        <f>I57/$I$62</f>
        <v>0.71708573146630938</v>
      </c>
    </row>
    <row r="58" spans="1:11" ht="11.1" customHeight="1">
      <c r="A58" s="437"/>
      <c r="B58" s="437"/>
      <c r="C58" s="154" t="s">
        <v>5</v>
      </c>
      <c r="D58" s="313">
        <f>D52</f>
        <v>431</v>
      </c>
      <c r="E58" s="129">
        <f t="shared" ref="E58:F59" si="20">E40+E46+E52</f>
        <v>4813.2809999999999</v>
      </c>
      <c r="F58" s="129">
        <f t="shared" si="20"/>
        <v>52777.973199999993</v>
      </c>
      <c r="G58" s="307">
        <f t="shared" ref="G58:G61" si="21">E58/$E$62</f>
        <v>4.6379885028154023E-2</v>
      </c>
      <c r="H58" s="307">
        <f t="shared" ref="H58:H61" si="22">(E58-I58)/I58</f>
        <v>-0.29579968228711151</v>
      </c>
      <c r="I58" s="313">
        <f t="shared" ref="I58:J58" si="23">I40+I46+I52</f>
        <v>6835.1020000000008</v>
      </c>
      <c r="J58" s="129">
        <f t="shared" si="23"/>
        <v>74384.429040000017</v>
      </c>
      <c r="K58" s="307">
        <f t="shared" ref="K58:K61" si="24">I58/$I$62</f>
        <v>6.3164118399858207E-2</v>
      </c>
    </row>
    <row r="59" spans="1:11" ht="11.1" customHeight="1">
      <c r="A59" s="437"/>
      <c r="B59" s="437"/>
      <c r="C59" s="154" t="s">
        <v>6</v>
      </c>
      <c r="D59" s="313">
        <f>D53</f>
        <v>18061</v>
      </c>
      <c r="E59" s="129">
        <f>E41+E47+E53</f>
        <v>4106.6310000000003</v>
      </c>
      <c r="F59" s="129">
        <f t="shared" si="20"/>
        <v>45043.062270000002</v>
      </c>
      <c r="G59" s="307">
        <f t="shared" si="21"/>
        <v>3.9570736392297315E-2</v>
      </c>
      <c r="H59" s="307">
        <f t="shared" si="22"/>
        <v>-0.37029822209416807</v>
      </c>
      <c r="I59" s="313">
        <f>I41+I47+I53</f>
        <v>6521.549</v>
      </c>
      <c r="J59" s="129">
        <f t="shared" ref="J59" si="25">J41+J47+J53</f>
        <v>71079.628200000006</v>
      </c>
      <c r="K59" s="307">
        <f t="shared" si="24"/>
        <v>6.0266531967844351E-2</v>
      </c>
    </row>
    <row r="60" spans="1:11" ht="11.1" customHeight="1">
      <c r="A60" s="437"/>
      <c r="B60" s="437"/>
      <c r="C60" s="154" t="s">
        <v>7</v>
      </c>
      <c r="D60" s="313">
        <f>D54</f>
        <v>350869</v>
      </c>
      <c r="E60" s="129">
        <f t="shared" ref="E60:F61" si="26">E42+E48+E54</f>
        <v>8251.7000000000007</v>
      </c>
      <c r="F60" s="129">
        <f t="shared" si="26"/>
        <v>90516.9</v>
      </c>
      <c r="G60" s="307">
        <f t="shared" si="21"/>
        <v>7.9511854239721014E-2</v>
      </c>
      <c r="H60" s="307">
        <f t="shared" si="22"/>
        <v>-0.28882367141493803</v>
      </c>
      <c r="I60" s="313">
        <f t="shared" ref="I60:J60" si="27">I42+I48+I54</f>
        <v>11602.888999999999</v>
      </c>
      <c r="J60" s="129">
        <f t="shared" si="27"/>
        <v>126473.405</v>
      </c>
      <c r="K60" s="307">
        <f t="shared" si="24"/>
        <v>0.10722389432906961</v>
      </c>
    </row>
    <row r="61" spans="1:11" ht="11.1" customHeight="1">
      <c r="A61" s="437"/>
      <c r="B61" s="437"/>
      <c r="C61" s="154" t="s">
        <v>93</v>
      </c>
      <c r="D61" s="313">
        <f>D55</f>
        <v>33</v>
      </c>
      <c r="E61" s="129">
        <f>E43+E49+E55</f>
        <v>5631.5029999999997</v>
      </c>
      <c r="F61" s="129">
        <f t="shared" si="26"/>
        <v>61757.717039999989</v>
      </c>
      <c r="G61" s="307">
        <f t="shared" si="21"/>
        <v>5.4264120809839368E-2</v>
      </c>
      <c r="H61" s="307">
        <f t="shared" si="22"/>
        <v>-4.1758633506852891E-3</v>
      </c>
      <c r="I61" s="313">
        <f>I43+I49+I55</f>
        <v>5655.1180000000004</v>
      </c>
      <c r="J61" s="129">
        <f t="shared" ref="J61" si="28">J43+J49+J55</f>
        <v>61488.375199999995</v>
      </c>
      <c r="K61" s="307">
        <f t="shared" si="24"/>
        <v>5.2259723836918501E-2</v>
      </c>
    </row>
    <row r="62" spans="1:11" ht="11.1" customHeight="1">
      <c r="A62" s="442"/>
      <c r="B62" s="442"/>
      <c r="C62" s="318" t="s">
        <v>0</v>
      </c>
      <c r="D62" s="321">
        <f>SUM(D57:D61)</f>
        <v>369571</v>
      </c>
      <c r="E62" s="319">
        <f>SUM(E57:E61)</f>
        <v>103779.49399999999</v>
      </c>
      <c r="F62" s="319">
        <f>SUM(F57:F61)</f>
        <v>1137840.2534099999</v>
      </c>
      <c r="G62" s="320">
        <f>SUM(G57:G61)</f>
        <v>1.0000000000000002</v>
      </c>
      <c r="H62" s="320">
        <f>(E62-I62)/I62</f>
        <v>-4.0959411213852652E-2</v>
      </c>
      <c r="I62" s="321">
        <f>SUM(I57:I61)</f>
        <v>108211.785</v>
      </c>
      <c r="J62" s="319">
        <f>SUM(J57:J61)</f>
        <v>1177805.0560899996</v>
      </c>
      <c r="K62" s="320">
        <f>SUM(K57:K61)</f>
        <v>1.0000000000000002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20"/>
  <sheetViews>
    <sheetView showGridLines="0" topLeftCell="A13" zoomScaleNormal="100" zoomScaleSheetLayoutView="100" workbookViewId="0">
      <selection activeCell="G1" sqref="G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09" t="s">
        <v>306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26"/>
      <c r="B3" s="526"/>
      <c r="C3" s="526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487" t="s">
        <v>41</v>
      </c>
      <c r="B4" s="487"/>
      <c r="C4" s="487"/>
      <c r="D4" s="481">
        <f>'3.1'!A4</f>
        <v>2023</v>
      </c>
      <c r="E4" s="353"/>
      <c r="F4" s="342"/>
      <c r="G4" s="342"/>
      <c r="H4" s="342"/>
      <c r="I4" s="481">
        <f>D4-1</f>
        <v>2022</v>
      </c>
      <c r="J4" s="482"/>
      <c r="K4" s="482"/>
    </row>
    <row r="5" spans="1:16" ht="24.95" customHeight="1">
      <c r="A5" s="354"/>
      <c r="B5" s="354"/>
      <c r="C5" s="354"/>
      <c r="D5" s="483"/>
      <c r="E5" s="355"/>
      <c r="F5" s="356"/>
      <c r="G5" s="356"/>
      <c r="H5" s="357"/>
      <c r="I5" s="483"/>
      <c r="J5" s="484"/>
      <c r="K5" s="484"/>
    </row>
    <row r="6" spans="1:16" ht="24.95" customHeight="1">
      <c r="A6" s="304"/>
      <c r="B6" s="272"/>
      <c r="C6" s="305"/>
      <c r="D6" s="364" t="s">
        <v>159</v>
      </c>
      <c r="E6" s="479" t="s">
        <v>60</v>
      </c>
      <c r="F6" s="479"/>
      <c r="G6" s="480" t="s">
        <v>33</v>
      </c>
      <c r="H6" s="480" t="s">
        <v>270</v>
      </c>
      <c r="I6" s="478" t="s">
        <v>60</v>
      </c>
      <c r="J6" s="479"/>
      <c r="K6" s="480" t="s">
        <v>33</v>
      </c>
    </row>
    <row r="7" spans="1:16" ht="24.95" customHeight="1">
      <c r="A7" s="304"/>
      <c r="B7" s="306"/>
      <c r="D7" s="365"/>
      <c r="E7" s="479"/>
      <c r="F7" s="479"/>
      <c r="G7" s="480"/>
      <c r="H7" s="480"/>
      <c r="I7" s="478"/>
      <c r="J7" s="479"/>
      <c r="K7" s="480"/>
    </row>
    <row r="8" spans="1:16" ht="15" customHeight="1">
      <c r="A8" s="488" t="s">
        <v>158</v>
      </c>
      <c r="B8" s="488"/>
      <c r="C8" s="323" t="s">
        <v>184</v>
      </c>
      <c r="D8" s="343"/>
      <c r="E8" s="219" t="s">
        <v>261</v>
      </c>
      <c r="F8" s="219" t="s">
        <v>262</v>
      </c>
      <c r="G8" s="476"/>
      <c r="H8" s="476"/>
      <c r="I8" s="221" t="s">
        <v>261</v>
      </c>
      <c r="J8" s="219" t="s">
        <v>262</v>
      </c>
      <c r="K8" s="476"/>
    </row>
    <row r="9" spans="1:16" ht="11.1" customHeight="1">
      <c r="A9" s="443" t="str">
        <f>'3.1'!D5</f>
        <v>Červenec</v>
      </c>
      <c r="B9" s="443"/>
      <c r="C9" s="164" t="s">
        <v>4</v>
      </c>
      <c r="D9" s="312">
        <v>117</v>
      </c>
      <c r="E9" s="308">
        <v>9639.107</v>
      </c>
      <c r="F9" s="308">
        <v>105632.31628</v>
      </c>
      <c r="G9" s="309">
        <f>E9/$E$14</f>
        <v>0.70640491597839539</v>
      </c>
      <c r="H9" s="309">
        <f>(E9-I9)/I9</f>
        <v>-0.193327649281267</v>
      </c>
      <c r="I9" s="312">
        <v>11949.222</v>
      </c>
      <c r="J9" s="308">
        <v>129885.93513000001</v>
      </c>
      <c r="K9" s="309">
        <f>I9/$I$14</f>
        <v>0.71978928980181911</v>
      </c>
    </row>
    <row r="10" spans="1:16" ht="11.1" customHeight="1">
      <c r="A10" s="437"/>
      <c r="B10" s="437"/>
      <c r="C10" s="154" t="s">
        <v>5</v>
      </c>
      <c r="D10" s="313">
        <v>344</v>
      </c>
      <c r="E10" s="129">
        <v>1081.44</v>
      </c>
      <c r="F10" s="129">
        <v>11850.972209999998</v>
      </c>
      <c r="G10" s="307">
        <f>E10/$E$14</f>
        <v>7.9253662433218755E-2</v>
      </c>
      <c r="H10" s="307">
        <f>(E10-I10)/I10</f>
        <v>-0.10572984844939087</v>
      </c>
      <c r="I10" s="313">
        <v>1209.299</v>
      </c>
      <c r="J10" s="129">
        <v>13144.524780000009</v>
      </c>
      <c r="K10" s="307">
        <f>I10/$I$14</f>
        <v>7.2844949099451842E-2</v>
      </c>
      <c r="L10" s="93"/>
      <c r="N10" s="93"/>
      <c r="O10" s="93"/>
      <c r="P10" s="93"/>
    </row>
    <row r="11" spans="1:16" ht="11.1" customHeight="1">
      <c r="A11" s="437"/>
      <c r="B11" s="437"/>
      <c r="C11" s="154" t="s">
        <v>6</v>
      </c>
      <c r="D11" s="313">
        <v>13062</v>
      </c>
      <c r="E11" s="129">
        <v>859.7</v>
      </c>
      <c r="F11" s="129">
        <v>9421.6</v>
      </c>
      <c r="G11" s="307">
        <f>E11/$E$14</f>
        <v>6.3003378452654024E-2</v>
      </c>
      <c r="H11" s="307">
        <f t="shared" ref="H11:H13" si="0">(E11-I11)/I11</f>
        <v>-0.28973892927957701</v>
      </c>
      <c r="I11" s="313">
        <v>1210.4000000000001</v>
      </c>
      <c r="J11" s="129">
        <v>13156.8</v>
      </c>
      <c r="K11" s="307">
        <f>I11/$I$14</f>
        <v>7.2911270405397272E-2</v>
      </c>
      <c r="L11" s="93"/>
      <c r="N11" s="93"/>
      <c r="O11" s="93"/>
      <c r="P11" s="93"/>
    </row>
    <row r="12" spans="1:16" ht="11.1" customHeight="1">
      <c r="A12" s="437"/>
      <c r="B12" s="437"/>
      <c r="C12" s="154" t="s">
        <v>7</v>
      </c>
      <c r="D12" s="313">
        <v>169769</v>
      </c>
      <c r="E12" s="129">
        <v>1717.4</v>
      </c>
      <c r="F12" s="129">
        <v>18820.7</v>
      </c>
      <c r="G12" s="307">
        <f>E12/$E$14</f>
        <v>0.12586018629125045</v>
      </c>
      <c r="H12" s="307">
        <f t="shared" si="0"/>
        <v>-8.096537700005349E-2</v>
      </c>
      <c r="I12" s="313">
        <v>1868.7</v>
      </c>
      <c r="J12" s="129">
        <v>20312.5</v>
      </c>
      <c r="K12" s="307">
        <f>I12/$I$14</f>
        <v>0.11256550810192158</v>
      </c>
      <c r="L12" s="93"/>
      <c r="N12" s="93"/>
      <c r="O12" s="93"/>
      <c r="P12" s="93"/>
    </row>
    <row r="13" spans="1:16" ht="11.1" customHeight="1">
      <c r="A13" s="437"/>
      <c r="B13" s="437"/>
      <c r="C13" s="154" t="s">
        <v>93</v>
      </c>
      <c r="D13" s="313">
        <v>15</v>
      </c>
      <c r="E13" s="129">
        <v>347.65300000000002</v>
      </c>
      <c r="F13" s="129">
        <v>3809.8515400000001</v>
      </c>
      <c r="G13" s="307">
        <f>E13/$E$14</f>
        <v>2.5477856844481249E-2</v>
      </c>
      <c r="H13" s="307">
        <f t="shared" si="0"/>
        <v>-4.3277129388324585E-2</v>
      </c>
      <c r="I13" s="313">
        <v>363.37900000000002</v>
      </c>
      <c r="J13" s="129">
        <v>3949.85968</v>
      </c>
      <c r="K13" s="307">
        <f>I13/$I$14</f>
        <v>2.1888982591410158E-2</v>
      </c>
      <c r="L13" s="93"/>
      <c r="N13" s="93"/>
      <c r="O13" s="93"/>
      <c r="P13" s="93"/>
    </row>
    <row r="14" spans="1:16" ht="11.1" customHeight="1">
      <c r="A14" s="442"/>
      <c r="B14" s="442"/>
      <c r="C14" s="318" t="s">
        <v>0</v>
      </c>
      <c r="D14" s="321">
        <v>183307</v>
      </c>
      <c r="E14" s="319">
        <v>13645.300000000001</v>
      </c>
      <c r="F14" s="319">
        <v>149535.44003</v>
      </c>
      <c r="G14" s="320">
        <f>SUM(G9:G13)</f>
        <v>0.99999999999999989</v>
      </c>
      <c r="H14" s="320">
        <f>(E14-I14)/I14</f>
        <v>-0.17804349135594236</v>
      </c>
      <c r="I14" s="321">
        <v>16601</v>
      </c>
      <c r="J14" s="319">
        <v>180449.61959000002</v>
      </c>
      <c r="K14" s="320">
        <f>SUM(K9:K13)</f>
        <v>0.99999999999999989</v>
      </c>
      <c r="L14" s="93"/>
    </row>
    <row r="15" spans="1:16" ht="11.1" customHeight="1">
      <c r="A15" s="443" t="str">
        <f>'3.1'!E5</f>
        <v>Srpen</v>
      </c>
      <c r="B15" s="443"/>
      <c r="C15" s="164" t="s">
        <v>4</v>
      </c>
      <c r="D15" s="312">
        <v>117</v>
      </c>
      <c r="E15" s="308">
        <v>10169.388999999999</v>
      </c>
      <c r="F15" s="308">
        <v>111540.55114000003</v>
      </c>
      <c r="G15" s="309">
        <f>E15/$E$20</f>
        <v>0.68456301791279883</v>
      </c>
      <c r="H15" s="309">
        <f>(E15-I15)/I15</f>
        <v>-0.14023885041759693</v>
      </c>
      <c r="I15" s="312">
        <v>11828.156000000001</v>
      </c>
      <c r="J15" s="308">
        <v>128341.95899999996</v>
      </c>
      <c r="K15" s="309">
        <f>I15/$I$20</f>
        <v>0.71229064543713649</v>
      </c>
      <c r="L15" s="93"/>
      <c r="M15" s="93"/>
    </row>
    <row r="16" spans="1:16" ht="11.1" customHeight="1">
      <c r="A16" s="437"/>
      <c r="B16" s="437"/>
      <c r="C16" s="154" t="s">
        <v>5</v>
      </c>
      <c r="D16" s="313">
        <v>344</v>
      </c>
      <c r="E16" s="129">
        <v>1352.1220000000001</v>
      </c>
      <c r="F16" s="129">
        <v>14830.373479999998</v>
      </c>
      <c r="G16" s="307">
        <f>E16/$E$20</f>
        <v>9.1019501457392335E-2</v>
      </c>
      <c r="H16" s="307">
        <f>(E16-I16)/I16</f>
        <v>-5.0013138425609088E-2</v>
      </c>
      <c r="I16" s="313">
        <v>1423.306</v>
      </c>
      <c r="J16" s="129">
        <v>15443.683019999993</v>
      </c>
      <c r="K16" s="307">
        <f>I16/$I$20</f>
        <v>8.5711377952281745E-2</v>
      </c>
      <c r="L16" s="97"/>
      <c r="M16" s="93"/>
    </row>
    <row r="17" spans="1:20" ht="11.1" customHeight="1">
      <c r="A17" s="437"/>
      <c r="B17" s="437"/>
      <c r="C17" s="154" t="s">
        <v>6</v>
      </c>
      <c r="D17" s="313">
        <v>13045</v>
      </c>
      <c r="E17" s="129">
        <v>1074</v>
      </c>
      <c r="F17" s="129">
        <v>11779.9</v>
      </c>
      <c r="G17" s="307">
        <f>E17/$E$20</f>
        <v>7.2297429200352745E-2</v>
      </c>
      <c r="H17" s="307">
        <f t="shared" ref="H17:H20" si="1">(E17-I17)/I17</f>
        <v>-9.5502779181404818E-2</v>
      </c>
      <c r="I17" s="313">
        <v>1187.4000000000001</v>
      </c>
      <c r="J17" s="129">
        <v>12884.3</v>
      </c>
      <c r="K17" s="307">
        <f>I17/$I$20</f>
        <v>7.1505136759445503E-2</v>
      </c>
      <c r="L17" s="93"/>
      <c r="M17" s="93"/>
      <c r="N17" s="93"/>
      <c r="O17" s="93"/>
    </row>
    <row r="18" spans="1:20" ht="11.1" customHeight="1">
      <c r="A18" s="437"/>
      <c r="B18" s="437"/>
      <c r="C18" s="154" t="s">
        <v>7</v>
      </c>
      <c r="D18" s="313">
        <v>169621</v>
      </c>
      <c r="E18" s="129">
        <v>1880.3</v>
      </c>
      <c r="F18" s="129">
        <v>20623.099999999999</v>
      </c>
      <c r="G18" s="307">
        <f>E18/$E$20</f>
        <v>0.12657435393428609</v>
      </c>
      <c r="H18" s="307">
        <f t="shared" si="1"/>
        <v>4.2641676832649363E-2</v>
      </c>
      <c r="I18" s="313">
        <v>1803.4</v>
      </c>
      <c r="J18" s="129">
        <v>19567.599999999999</v>
      </c>
      <c r="K18" s="307">
        <f>I18/$I$20</f>
        <v>0.10860060942562239</v>
      </c>
      <c r="L18" s="93"/>
      <c r="M18" s="93"/>
      <c r="N18" s="93"/>
      <c r="O18" s="93"/>
    </row>
    <row r="19" spans="1:20" ht="11.1" customHeight="1">
      <c r="A19" s="437"/>
      <c r="B19" s="437"/>
      <c r="C19" s="154" t="s">
        <v>93</v>
      </c>
      <c r="D19" s="313">
        <v>15</v>
      </c>
      <c r="E19" s="129">
        <v>379.48899999999998</v>
      </c>
      <c r="F19" s="129">
        <v>4162.3382300000003</v>
      </c>
      <c r="G19" s="307">
        <f>E19/$E$20</f>
        <v>2.5545697495170078E-2</v>
      </c>
      <c r="H19" s="307">
        <f t="shared" si="1"/>
        <v>4.3877118760624653E-2</v>
      </c>
      <c r="I19" s="313">
        <v>363.53800000000001</v>
      </c>
      <c r="J19" s="129">
        <v>3944.57933</v>
      </c>
      <c r="K19" s="307">
        <f>I19/$I$20</f>
        <v>2.189223042551398E-2</v>
      </c>
      <c r="L19" s="93"/>
      <c r="M19" s="93"/>
      <c r="N19" s="93"/>
      <c r="O19" s="93"/>
    </row>
    <row r="20" spans="1:20" ht="11.1" customHeight="1">
      <c r="A20" s="442"/>
      <c r="B20" s="442"/>
      <c r="C20" s="318" t="s">
        <v>0</v>
      </c>
      <c r="D20" s="321">
        <v>183142</v>
      </c>
      <c r="E20" s="319">
        <v>14855.299999999997</v>
      </c>
      <c r="F20" s="319">
        <v>162936.26285000003</v>
      </c>
      <c r="G20" s="320">
        <f>SUM(G15:G19)</f>
        <v>1</v>
      </c>
      <c r="H20" s="320">
        <f t="shared" si="1"/>
        <v>-0.10541497549049139</v>
      </c>
      <c r="I20" s="321">
        <v>16605.8</v>
      </c>
      <c r="J20" s="319">
        <v>180182.12134999994</v>
      </c>
      <c r="K20" s="320">
        <f>SUM(K15:K19)</f>
        <v>1.0000000000000002</v>
      </c>
      <c r="L20" s="93"/>
      <c r="M20" s="93"/>
      <c r="N20" s="93"/>
      <c r="O20" s="93"/>
    </row>
    <row r="21" spans="1:20" ht="11.1" customHeight="1">
      <c r="A21" s="443" t="str">
        <f>'3.1'!F5</f>
        <v>Září</v>
      </c>
      <c r="B21" s="443"/>
      <c r="C21" s="164" t="s">
        <v>4</v>
      </c>
      <c r="D21" s="312">
        <v>118</v>
      </c>
      <c r="E21" s="308">
        <v>10259.218999999999</v>
      </c>
      <c r="F21" s="308">
        <v>112653.78897000004</v>
      </c>
      <c r="G21" s="309">
        <f>E21/$E$26</f>
        <v>0.68491594787299381</v>
      </c>
      <c r="H21" s="309">
        <f>(E21-I21)/I21</f>
        <v>-0.19641188608263505</v>
      </c>
      <c r="I21" s="312">
        <v>12766.762999999999</v>
      </c>
      <c r="J21" s="308">
        <v>139624.16363000008</v>
      </c>
      <c r="K21" s="309">
        <f>I21/$I$26</f>
        <v>0.59289290855895593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7"/>
      <c r="B22" s="437"/>
      <c r="C22" s="154" t="s">
        <v>5</v>
      </c>
      <c r="D22" s="313">
        <v>348.93900000000002</v>
      </c>
      <c r="E22" s="129">
        <v>1366.3049999999998</v>
      </c>
      <c r="F22" s="129">
        <v>15002.74566</v>
      </c>
      <c r="G22" s="307">
        <f>E22/$E$26</f>
        <v>9.1215918498144033E-2</v>
      </c>
      <c r="H22" s="307">
        <f t="shared" ref="H22:H26" si="2">(E22-I22)/I22</f>
        <v>-0.30964677064117285</v>
      </c>
      <c r="I22" s="313">
        <v>1979.1390000000001</v>
      </c>
      <c r="J22" s="129">
        <v>21644.973509999993</v>
      </c>
      <c r="K22" s="307">
        <f>I22/$I$26</f>
        <v>9.1911902661031913E-2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7"/>
      <c r="B23" s="437"/>
      <c r="C23" s="154" t="s">
        <v>6</v>
      </c>
      <c r="D23" s="313">
        <v>13029</v>
      </c>
      <c r="E23" s="129">
        <v>1122.0999999999999</v>
      </c>
      <c r="F23" s="129">
        <v>12322</v>
      </c>
      <c r="G23" s="307">
        <f>E23/$E$26</f>
        <v>7.4912543060859343E-2</v>
      </c>
      <c r="H23" s="307">
        <f t="shared" si="2"/>
        <v>-0.54310028909971908</v>
      </c>
      <c r="I23" s="313">
        <v>2455.9</v>
      </c>
      <c r="J23" s="129">
        <v>26859</v>
      </c>
      <c r="K23" s="307">
        <f>I23/$I$26</f>
        <v>0.11405284911531138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7"/>
      <c r="B24" s="437"/>
      <c r="C24" s="154" t="s">
        <v>7</v>
      </c>
      <c r="D24" s="313">
        <v>169480</v>
      </c>
      <c r="E24" s="129">
        <v>1871</v>
      </c>
      <c r="F24" s="129">
        <v>20545.400000000001</v>
      </c>
      <c r="G24" s="307">
        <f>E24/$E$26</f>
        <v>0.12490987261996957</v>
      </c>
      <c r="H24" s="307">
        <f t="shared" si="2"/>
        <v>-0.53421792924892331</v>
      </c>
      <c r="I24" s="313">
        <v>4016.9</v>
      </c>
      <c r="J24" s="129">
        <v>43931</v>
      </c>
      <c r="K24" s="307">
        <f>I24/$I$26</f>
        <v>0.18654623136581061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7"/>
      <c r="B25" s="437"/>
      <c r="C25" s="154" t="s">
        <v>93</v>
      </c>
      <c r="D25" s="313">
        <v>15</v>
      </c>
      <c r="E25" s="129">
        <v>360.17599999999999</v>
      </c>
      <c r="F25" s="129">
        <v>3954.9912100000001</v>
      </c>
      <c r="G25" s="307">
        <f>E25/$E$26</f>
        <v>2.4045717948033219E-2</v>
      </c>
      <c r="H25" s="307">
        <f t="shared" si="2"/>
        <v>0.14596974845528762</v>
      </c>
      <c r="I25" s="313">
        <v>314.298</v>
      </c>
      <c r="J25" s="129">
        <v>3437.3281399999996</v>
      </c>
      <c r="K25" s="307">
        <f>I25/$I$26</f>
        <v>1.4596108298890076E-2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42"/>
      <c r="B26" s="442"/>
      <c r="C26" s="318" t="s">
        <v>0</v>
      </c>
      <c r="D26" s="321">
        <v>182990.93900000001</v>
      </c>
      <c r="E26" s="319">
        <v>14978.8</v>
      </c>
      <c r="F26" s="319">
        <v>164478.92584000004</v>
      </c>
      <c r="G26" s="320">
        <f>SUM(G21:G25)</f>
        <v>1</v>
      </c>
      <c r="H26" s="320">
        <f t="shared" si="2"/>
        <v>-0.30437932475734925</v>
      </c>
      <c r="I26" s="321">
        <v>21533</v>
      </c>
      <c r="J26" s="319">
        <v>235496.46528000006</v>
      </c>
      <c r="K26" s="320">
        <f>SUM(K21:K25)</f>
        <v>1</v>
      </c>
    </row>
    <row r="27" spans="1:20" ht="11.1" customHeight="1">
      <c r="A27" s="500" t="str">
        <f>'3.1'!G5</f>
        <v>III. čtvrtletí</v>
      </c>
      <c r="B27" s="443"/>
      <c r="C27" s="164" t="s">
        <v>4</v>
      </c>
      <c r="D27" s="312">
        <f>D21</f>
        <v>118</v>
      </c>
      <c r="E27" s="308">
        <f>E9+E15+E21</f>
        <v>30067.714999999997</v>
      </c>
      <c r="F27" s="308">
        <f>F9+F15+F21</f>
        <v>329826.65639000008</v>
      </c>
      <c r="G27" s="309">
        <f>E27/$E$32</f>
        <v>0.69153932666964124</v>
      </c>
      <c r="H27" s="309">
        <f>(E27-I27)/I27</f>
        <v>-0.17722200666859309</v>
      </c>
      <c r="I27" s="312">
        <f>I9+I15+I21</f>
        <v>36544.141000000003</v>
      </c>
      <c r="J27" s="308">
        <f>J9+J15+J21</f>
        <v>397852.05776000005</v>
      </c>
      <c r="K27" s="309">
        <f>I27/$I$32</f>
        <v>0.66759726926294949</v>
      </c>
    </row>
    <row r="28" spans="1:20" ht="11.1" customHeight="1">
      <c r="A28" s="437"/>
      <c r="B28" s="437"/>
      <c r="C28" s="154" t="s">
        <v>5</v>
      </c>
      <c r="D28" s="313">
        <f>D22</f>
        <v>348.93900000000002</v>
      </c>
      <c r="E28" s="129">
        <f t="shared" ref="E28:F31" si="3">E10+E16+E22</f>
        <v>3799.8669999999997</v>
      </c>
      <c r="F28" s="129">
        <f t="shared" si="3"/>
        <v>41684.091349999995</v>
      </c>
      <c r="G28" s="307">
        <f>E28/$E$32</f>
        <v>8.7394651260136985E-2</v>
      </c>
      <c r="H28" s="307">
        <f t="shared" ref="H28:H31" si="4">(E28-I28)/I28</f>
        <v>-0.17604554806164452</v>
      </c>
      <c r="I28" s="313">
        <f t="shared" ref="I28:J28" si="5">I10+I16+I22</f>
        <v>4611.7440000000006</v>
      </c>
      <c r="J28" s="129">
        <f t="shared" si="5"/>
        <v>50233.18131</v>
      </c>
      <c r="K28" s="307">
        <f>I28/$I$32</f>
        <v>8.4248462727302631E-2</v>
      </c>
    </row>
    <row r="29" spans="1:20" ht="11.1" customHeight="1">
      <c r="A29" s="437"/>
      <c r="B29" s="437"/>
      <c r="C29" s="154" t="s">
        <v>6</v>
      </c>
      <c r="D29" s="313">
        <f>D23</f>
        <v>13029</v>
      </c>
      <c r="E29" s="129">
        <f t="shared" si="3"/>
        <v>3055.8</v>
      </c>
      <c r="F29" s="129">
        <f t="shared" si="3"/>
        <v>33523.5</v>
      </c>
      <c r="G29" s="307">
        <f>E29/$E$32</f>
        <v>7.0281558623164084E-2</v>
      </c>
      <c r="H29" s="307">
        <f t="shared" si="4"/>
        <v>-0.37041844366153659</v>
      </c>
      <c r="I29" s="313">
        <f t="shared" ref="I29:J29" si="6">I11+I17+I23</f>
        <v>4853.7000000000007</v>
      </c>
      <c r="J29" s="129">
        <f t="shared" si="6"/>
        <v>52900.1</v>
      </c>
      <c r="K29" s="307">
        <f>I29/$I$32</f>
        <v>8.8668573871296577E-2</v>
      </c>
    </row>
    <row r="30" spans="1:20" ht="11.1" customHeight="1">
      <c r="A30" s="437"/>
      <c r="B30" s="437"/>
      <c r="C30" s="154" t="s">
        <v>7</v>
      </c>
      <c r="D30" s="313">
        <f>D24</f>
        <v>169480</v>
      </c>
      <c r="E30" s="129">
        <f t="shared" si="3"/>
        <v>5468.7</v>
      </c>
      <c r="F30" s="129">
        <f t="shared" si="3"/>
        <v>59989.200000000004</v>
      </c>
      <c r="G30" s="307">
        <f>E30/$E$32</f>
        <v>0.12577680464771823</v>
      </c>
      <c r="H30" s="307">
        <f t="shared" si="4"/>
        <v>-0.28876316816230979</v>
      </c>
      <c r="I30" s="313">
        <f t="shared" ref="I30:J30" si="7">I12+I18+I24</f>
        <v>7689</v>
      </c>
      <c r="J30" s="129">
        <f t="shared" si="7"/>
        <v>83811.100000000006</v>
      </c>
      <c r="K30" s="307">
        <f>I30/$I$32</f>
        <v>0.14046452489778916</v>
      </c>
    </row>
    <row r="31" spans="1:20" ht="11.1" customHeight="1">
      <c r="A31" s="437"/>
      <c r="B31" s="437"/>
      <c r="C31" s="154" t="s">
        <v>93</v>
      </c>
      <c r="D31" s="313">
        <f>D25</f>
        <v>15</v>
      </c>
      <c r="E31" s="129">
        <f>E13+E19+E25</f>
        <v>1087.318</v>
      </c>
      <c r="F31" s="129">
        <f t="shared" si="3"/>
        <v>11927.180980000001</v>
      </c>
      <c r="G31" s="307">
        <f>E31/$E$32</f>
        <v>2.5007658799339461E-2</v>
      </c>
      <c r="H31" s="307">
        <f t="shared" si="4"/>
        <v>4.4278078975043419E-2</v>
      </c>
      <c r="I31" s="313">
        <f>I13+I19+I25</f>
        <v>1041.2150000000001</v>
      </c>
      <c r="J31" s="129">
        <f t="shared" ref="J31" si="8">J13+J19+J25</f>
        <v>11331.76715</v>
      </c>
      <c r="K31" s="307">
        <f>I31/$I$32</f>
        <v>1.9021169240662189E-2</v>
      </c>
    </row>
    <row r="32" spans="1:20" ht="11.1" customHeight="1">
      <c r="A32" s="442"/>
      <c r="B32" s="442"/>
      <c r="C32" s="318" t="s">
        <v>0</v>
      </c>
      <c r="D32" s="321">
        <f>SUM(D27:D31)</f>
        <v>182990.93900000001</v>
      </c>
      <c r="E32" s="319">
        <f>SUM(E27:E31)</f>
        <v>43479.399999999994</v>
      </c>
      <c r="F32" s="319">
        <f>SUM(F27:F31)</f>
        <v>476950.6287200001</v>
      </c>
      <c r="G32" s="320">
        <f>SUM(G27:G31)</f>
        <v>1</v>
      </c>
      <c r="H32" s="320">
        <f>(E32-I32)/I32</f>
        <v>-0.2057077300245892</v>
      </c>
      <c r="I32" s="321">
        <f>SUM(I27:I31)</f>
        <v>54739.8</v>
      </c>
      <c r="J32" s="319">
        <f>SUM(J27:J31)</f>
        <v>596128.20622000005</v>
      </c>
      <c r="K32" s="320">
        <f>SUM(K27:K31)</f>
        <v>1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25" t="s">
        <v>42</v>
      </c>
      <c r="B34" s="525"/>
      <c r="C34" s="525"/>
      <c r="D34" s="481">
        <f>D4</f>
        <v>2023</v>
      </c>
      <c r="E34" s="353"/>
      <c r="F34" s="342"/>
      <c r="G34" s="342"/>
      <c r="H34" s="342"/>
      <c r="I34" s="481">
        <f>D34-1</f>
        <v>2022</v>
      </c>
      <c r="J34" s="482"/>
      <c r="K34" s="482"/>
    </row>
    <row r="35" spans="1:11" ht="24.95" customHeight="1">
      <c r="A35" s="304"/>
      <c r="B35" s="272"/>
      <c r="C35" s="150"/>
      <c r="D35" s="483"/>
      <c r="E35" s="355"/>
      <c r="F35" s="356"/>
      <c r="G35" s="356"/>
      <c r="H35" s="357"/>
      <c r="I35" s="483"/>
      <c r="J35" s="484"/>
      <c r="K35" s="484"/>
    </row>
    <row r="36" spans="1:11" ht="24.95" customHeight="1">
      <c r="A36" s="130"/>
      <c r="B36" s="131"/>
      <c r="C36" s="352"/>
      <c r="D36" s="364" t="s">
        <v>159</v>
      </c>
      <c r="E36" s="479" t="s">
        <v>60</v>
      </c>
      <c r="F36" s="479"/>
      <c r="G36" s="480" t="s">
        <v>33</v>
      </c>
      <c r="H36" s="480" t="s">
        <v>270</v>
      </c>
      <c r="I36" s="478" t="s">
        <v>60</v>
      </c>
      <c r="J36" s="479"/>
      <c r="K36" s="480" t="s">
        <v>33</v>
      </c>
    </row>
    <row r="37" spans="1:11" ht="24.95" customHeight="1">
      <c r="A37" s="130"/>
      <c r="B37" s="306"/>
      <c r="C37" s="306"/>
      <c r="D37" s="365"/>
      <c r="E37" s="479"/>
      <c r="F37" s="479"/>
      <c r="G37" s="480"/>
      <c r="H37" s="480"/>
      <c r="I37" s="478"/>
      <c r="J37" s="479"/>
      <c r="K37" s="480"/>
    </row>
    <row r="38" spans="1:11" ht="15" customHeight="1">
      <c r="A38" s="524" t="s">
        <v>158</v>
      </c>
      <c r="B38" s="524"/>
      <c r="C38" s="366" t="s">
        <v>184</v>
      </c>
      <c r="D38" s="343"/>
      <c r="E38" s="219" t="s">
        <v>261</v>
      </c>
      <c r="F38" s="219" t="s">
        <v>262</v>
      </c>
      <c r="G38" s="476"/>
      <c r="H38" s="476"/>
      <c r="I38" s="221" t="s">
        <v>261</v>
      </c>
      <c r="J38" s="219" t="s">
        <v>262</v>
      </c>
      <c r="K38" s="476"/>
    </row>
    <row r="39" spans="1:11" ht="11.1" customHeight="1">
      <c r="A39" s="443" t="str">
        <f>'3.1'!D5</f>
        <v>Červenec</v>
      </c>
      <c r="B39" s="443"/>
      <c r="C39" s="164" t="s">
        <v>4</v>
      </c>
      <c r="D39" s="312">
        <v>82</v>
      </c>
      <c r="E39" s="308">
        <v>9460.6309999999994</v>
      </c>
      <c r="F39" s="308">
        <v>103676.60992000003</v>
      </c>
      <c r="G39" s="309">
        <f>E39/$E$44</f>
        <v>0.73486336802858465</v>
      </c>
      <c r="H39" s="309">
        <f>(E39-I39)/I39</f>
        <v>9.1401426318070481E-2</v>
      </c>
      <c r="I39" s="312">
        <v>8668.3330000000005</v>
      </c>
      <c r="J39" s="308">
        <v>94222.666040000011</v>
      </c>
      <c r="K39" s="309">
        <f>I39/$I$44</f>
        <v>0.69300648369482665</v>
      </c>
    </row>
    <row r="40" spans="1:11" ht="11.1" customHeight="1">
      <c r="A40" s="437"/>
      <c r="B40" s="437"/>
      <c r="C40" s="154" t="s">
        <v>5</v>
      </c>
      <c r="D40" s="313">
        <v>265</v>
      </c>
      <c r="E40" s="129">
        <v>1132.133</v>
      </c>
      <c r="F40" s="129">
        <v>12406.992080000004</v>
      </c>
      <c r="G40" s="307">
        <f t="shared" ref="G40" si="9">E40/$E$44</f>
        <v>8.7939490445859872E-2</v>
      </c>
      <c r="H40" s="307">
        <f>(E40-I40)/I40</f>
        <v>9.4333482234008788E-3</v>
      </c>
      <c r="I40" s="313">
        <v>1121.5530000000001</v>
      </c>
      <c r="J40" s="129">
        <v>12191.513059999999</v>
      </c>
      <c r="K40" s="307">
        <f t="shared" ref="K40:K43" si="10">I40/$I$44</f>
        <v>8.9664702637448732E-2</v>
      </c>
    </row>
    <row r="41" spans="1:11" ht="11.1" customHeight="1">
      <c r="A41" s="437"/>
      <c r="B41" s="437"/>
      <c r="C41" s="154" t="s">
        <v>6</v>
      </c>
      <c r="D41" s="313">
        <v>11182</v>
      </c>
      <c r="E41" s="129">
        <v>701.50400000000002</v>
      </c>
      <c r="F41" s="129">
        <v>7688.0667300000005</v>
      </c>
      <c r="G41" s="307">
        <f>E41/$E$44</f>
        <v>5.4489979804256641E-2</v>
      </c>
      <c r="H41" s="307">
        <f t="shared" ref="H41:H43" si="11">(E41-I41)/I41</f>
        <v>-0.2898520795118178</v>
      </c>
      <c r="I41" s="313">
        <v>987.82799999999997</v>
      </c>
      <c r="J41" s="129">
        <v>10737.02218</v>
      </c>
      <c r="K41" s="307">
        <f t="shared" si="10"/>
        <v>7.8973801395873136E-2</v>
      </c>
    </row>
    <row r="42" spans="1:11" ht="11.1" customHeight="1">
      <c r="A42" s="437"/>
      <c r="B42" s="437"/>
      <c r="C42" s="154" t="s">
        <v>7</v>
      </c>
      <c r="D42" s="313">
        <v>122450</v>
      </c>
      <c r="E42" s="129">
        <v>1369.1</v>
      </c>
      <c r="F42" s="129">
        <v>15003.9</v>
      </c>
      <c r="G42" s="307">
        <f>E42/$E$44</f>
        <v>0.10634612397079383</v>
      </c>
      <c r="H42" s="307">
        <f t="shared" si="11"/>
        <v>-8.0955897160502208E-2</v>
      </c>
      <c r="I42" s="313">
        <v>1489.7</v>
      </c>
      <c r="J42" s="129">
        <v>16193.2</v>
      </c>
      <c r="K42" s="307">
        <f t="shared" si="10"/>
        <v>0.11909691964535547</v>
      </c>
    </row>
    <row r="43" spans="1:11" ht="11.1" customHeight="1">
      <c r="A43" s="437"/>
      <c r="B43" s="437"/>
      <c r="C43" s="154" t="s">
        <v>93</v>
      </c>
      <c r="D43" s="313">
        <v>15</v>
      </c>
      <c r="E43" s="129">
        <v>210.63200000000001</v>
      </c>
      <c r="F43" s="129">
        <v>2308.2661699999999</v>
      </c>
      <c r="G43" s="307">
        <f>E43/$E$44</f>
        <v>1.6361037750504893E-2</v>
      </c>
      <c r="H43" s="307">
        <f t="shared" si="11"/>
        <v>-0.12559467964099197</v>
      </c>
      <c r="I43" s="313">
        <v>240.886</v>
      </c>
      <c r="J43" s="129">
        <v>2618.39626</v>
      </c>
      <c r="K43" s="307">
        <f t="shared" si="10"/>
        <v>1.9258092626496005E-2</v>
      </c>
    </row>
    <row r="44" spans="1:11" ht="11.1" customHeight="1">
      <c r="A44" s="442"/>
      <c r="B44" s="442"/>
      <c r="C44" s="318" t="s">
        <v>0</v>
      </c>
      <c r="D44" s="321">
        <v>133994</v>
      </c>
      <c r="E44" s="319">
        <v>12874</v>
      </c>
      <c r="F44" s="319">
        <v>141083.83490000005</v>
      </c>
      <c r="G44" s="320">
        <f>SUM(G39:G43)</f>
        <v>0.99999999999999989</v>
      </c>
      <c r="H44" s="320">
        <f>(E44-I44)/I44</f>
        <v>2.9236586906294132E-2</v>
      </c>
      <c r="I44" s="321">
        <v>12508.300000000001</v>
      </c>
      <c r="J44" s="319">
        <v>135962.79754000003</v>
      </c>
      <c r="K44" s="320">
        <f>SUM(K39:K43)</f>
        <v>1</v>
      </c>
    </row>
    <row r="45" spans="1:11" ht="11.1" customHeight="1">
      <c r="A45" s="443" t="str">
        <f>'3.1'!E5</f>
        <v>Srpen</v>
      </c>
      <c r="B45" s="443"/>
      <c r="C45" s="164" t="s">
        <v>4</v>
      </c>
      <c r="D45" s="312">
        <v>82</v>
      </c>
      <c r="E45" s="308">
        <v>9735.02</v>
      </c>
      <c r="F45" s="308">
        <v>106776.34076000002</v>
      </c>
      <c r="G45" s="309">
        <f>E45/$E$50</f>
        <v>0.71647408628582376</v>
      </c>
      <c r="H45" s="309">
        <f>(E45-I45)/I45</f>
        <v>0.16114860799023659</v>
      </c>
      <c r="I45" s="312">
        <v>8383.9570000000003</v>
      </c>
      <c r="J45" s="308">
        <v>90970.131060000014</v>
      </c>
      <c r="K45" s="309">
        <f>I45/$I$50</f>
        <v>0.68689992216623652</v>
      </c>
    </row>
    <row r="46" spans="1:11" ht="11.1" customHeight="1">
      <c r="A46" s="437"/>
      <c r="B46" s="437"/>
      <c r="C46" s="154" t="s">
        <v>5</v>
      </c>
      <c r="D46" s="313">
        <v>266</v>
      </c>
      <c r="E46" s="129">
        <v>1242.335</v>
      </c>
      <c r="F46" s="129">
        <v>13626.544010000001</v>
      </c>
      <c r="G46" s="307">
        <f t="shared" ref="G46:G49" si="12">E46/$E$50</f>
        <v>9.1432871631069973E-2</v>
      </c>
      <c r="H46" s="307">
        <f>(E46-I46)/I46</f>
        <v>6.1406573990931801E-2</v>
      </c>
      <c r="I46" s="313">
        <v>1170.461</v>
      </c>
      <c r="J46" s="129">
        <v>12700.444099999999</v>
      </c>
      <c r="K46" s="307">
        <f t="shared" ref="K46:K49" si="13">I46/$I$50</f>
        <v>9.5896194338617832E-2</v>
      </c>
    </row>
    <row r="47" spans="1:11" ht="11.1" customHeight="1">
      <c r="A47" s="437"/>
      <c r="B47" s="437"/>
      <c r="C47" s="154" t="s">
        <v>6</v>
      </c>
      <c r="D47" s="313">
        <v>11168</v>
      </c>
      <c r="E47" s="129">
        <v>877.03099999999995</v>
      </c>
      <c r="F47" s="129">
        <v>9619.4328399999995</v>
      </c>
      <c r="G47" s="307">
        <f t="shared" si="12"/>
        <v>6.4547374773687397E-2</v>
      </c>
      <c r="H47" s="307">
        <f t="shared" ref="H47:H49" si="14">(E47-I47)/I47</f>
        <v>-9.5320175194287871E-2</v>
      </c>
      <c r="I47" s="313">
        <v>969.43799999999999</v>
      </c>
      <c r="J47" s="129">
        <v>10519.33387</v>
      </c>
      <c r="K47" s="307">
        <f t="shared" si="13"/>
        <v>7.9426324198107412E-2</v>
      </c>
    </row>
    <row r="48" spans="1:11" ht="11.1" customHeight="1">
      <c r="A48" s="437"/>
      <c r="B48" s="437"/>
      <c r="C48" s="154" t="s">
        <v>7</v>
      </c>
      <c r="D48" s="313">
        <v>122347</v>
      </c>
      <c r="E48" s="129">
        <v>1498.9</v>
      </c>
      <c r="F48" s="129">
        <v>16440.7</v>
      </c>
      <c r="G48" s="307">
        <f t="shared" si="12"/>
        <v>0.11031543930406114</v>
      </c>
      <c r="H48" s="307">
        <f t="shared" si="14"/>
        <v>4.2567990540446576E-2</v>
      </c>
      <c r="I48" s="313">
        <v>1437.7</v>
      </c>
      <c r="J48" s="129">
        <v>15599.3</v>
      </c>
      <c r="K48" s="307">
        <f t="shared" si="13"/>
        <v>0.11779115972307566</v>
      </c>
    </row>
    <row r="49" spans="1:11" ht="11.1" customHeight="1">
      <c r="A49" s="437"/>
      <c r="B49" s="437"/>
      <c r="C49" s="154" t="s">
        <v>93</v>
      </c>
      <c r="D49" s="313">
        <v>15</v>
      </c>
      <c r="E49" s="129">
        <v>234.114</v>
      </c>
      <c r="F49" s="129">
        <v>2567.8295400000002</v>
      </c>
      <c r="G49" s="307">
        <f t="shared" si="12"/>
        <v>1.7230228005357909E-2</v>
      </c>
      <c r="H49" s="307">
        <f t="shared" si="14"/>
        <v>-4.0296133538844918E-2</v>
      </c>
      <c r="I49" s="313">
        <v>243.94399999999999</v>
      </c>
      <c r="J49" s="129">
        <v>2646.93073</v>
      </c>
      <c r="K49" s="307">
        <f t="shared" si="13"/>
        <v>1.9986399573962556E-2</v>
      </c>
    </row>
    <row r="50" spans="1:11" ht="11.1" customHeight="1">
      <c r="A50" s="442"/>
      <c r="B50" s="442"/>
      <c r="C50" s="318" t="s">
        <v>0</v>
      </c>
      <c r="D50" s="321">
        <v>133878</v>
      </c>
      <c r="E50" s="319">
        <v>13587.399999999998</v>
      </c>
      <c r="F50" s="319">
        <v>149030.84715000002</v>
      </c>
      <c r="G50" s="320">
        <f>SUM(G45:G49)</f>
        <v>1.0000000000000002</v>
      </c>
      <c r="H50" s="320">
        <f t="shared" ref="H50" si="15">(E50-I50)/I50</f>
        <v>0.11321945024783892</v>
      </c>
      <c r="I50" s="321">
        <v>12205.5</v>
      </c>
      <c r="J50" s="319">
        <v>132436.13976000002</v>
      </c>
      <c r="K50" s="320">
        <f>SUM(K45:K49)</f>
        <v>0.99999999999999989</v>
      </c>
    </row>
    <row r="51" spans="1:11" ht="11.1" customHeight="1">
      <c r="A51" s="443" t="str">
        <f>'3.1'!F5</f>
        <v>Září</v>
      </c>
      <c r="B51" s="443"/>
      <c r="C51" s="164" t="s">
        <v>4</v>
      </c>
      <c r="D51" s="312">
        <v>82</v>
      </c>
      <c r="E51" s="308">
        <v>8542.5049999999992</v>
      </c>
      <c r="F51" s="308">
        <v>93803.193769999969</v>
      </c>
      <c r="G51" s="309">
        <f>E51/$E$56</f>
        <v>0.68723240790648643</v>
      </c>
      <c r="H51" s="309">
        <f>(E51-I51)/I51</f>
        <v>-9.4129656083357161E-2</v>
      </c>
      <c r="I51" s="312">
        <v>9430.1629999999986</v>
      </c>
      <c r="J51" s="308">
        <v>103133.65403999995</v>
      </c>
      <c r="K51" s="309">
        <f>I51/$I$56</f>
        <v>0.56948179863761528</v>
      </c>
    </row>
    <row r="52" spans="1:11" ht="11.1" customHeight="1">
      <c r="A52" s="437"/>
      <c r="B52" s="437"/>
      <c r="C52" s="154" t="s">
        <v>5</v>
      </c>
      <c r="D52" s="313">
        <v>265</v>
      </c>
      <c r="E52" s="129">
        <v>1231.4839999999999</v>
      </c>
      <c r="F52" s="129">
        <v>13522.746449999988</v>
      </c>
      <c r="G52" s="307">
        <f t="shared" ref="G52:G55" si="16">E52/$E$56</f>
        <v>9.9071140680434086E-2</v>
      </c>
      <c r="H52" s="307">
        <f t="shared" ref="H52:H55" si="17">(E52-I52)/I52</f>
        <v>-0.28147308391791587</v>
      </c>
      <c r="I52" s="313">
        <v>1713.9009999999998</v>
      </c>
      <c r="J52" s="129">
        <v>18743.626329999996</v>
      </c>
      <c r="K52" s="307">
        <f t="shared" ref="K52:K55" si="18">I52/$I$56</f>
        <v>0.10350143726750083</v>
      </c>
    </row>
    <row r="53" spans="1:11" ht="11.1" customHeight="1">
      <c r="A53" s="437"/>
      <c r="B53" s="437"/>
      <c r="C53" s="154" t="s">
        <v>6</v>
      </c>
      <c r="D53" s="313">
        <v>11153</v>
      </c>
      <c r="E53" s="129">
        <v>916.94200000000001</v>
      </c>
      <c r="F53" s="129">
        <v>10069.20751</v>
      </c>
      <c r="G53" s="307">
        <f t="shared" si="16"/>
        <v>7.3766683024544852E-2</v>
      </c>
      <c r="H53" s="307">
        <f t="shared" si="17"/>
        <v>-0.5433412502483892</v>
      </c>
      <c r="I53" s="313">
        <v>2007.9369999999999</v>
      </c>
      <c r="J53" s="129">
        <v>21959.58596</v>
      </c>
      <c r="K53" s="307">
        <f t="shared" si="18"/>
        <v>0.1212580921783661</v>
      </c>
    </row>
    <row r="54" spans="1:11" ht="11.1" customHeight="1">
      <c r="A54" s="437"/>
      <c r="B54" s="437"/>
      <c r="C54" s="154" t="s">
        <v>7</v>
      </c>
      <c r="D54" s="313">
        <v>122252</v>
      </c>
      <c r="E54" s="129">
        <v>1491.6</v>
      </c>
      <c r="F54" s="129">
        <v>16378.8</v>
      </c>
      <c r="G54" s="307">
        <f t="shared" si="16"/>
        <v>0.11999710385107357</v>
      </c>
      <c r="H54" s="307">
        <f t="shared" si="17"/>
        <v>-0.53420978671579811</v>
      </c>
      <c r="I54" s="313">
        <v>3202.3</v>
      </c>
      <c r="J54" s="129">
        <v>35021.9</v>
      </c>
      <c r="K54" s="307">
        <f t="shared" si="18"/>
        <v>0.19338494613266341</v>
      </c>
    </row>
    <row r="55" spans="1:11" ht="11.1" customHeight="1">
      <c r="A55" s="437"/>
      <c r="B55" s="437"/>
      <c r="C55" s="154" t="s">
        <v>93</v>
      </c>
      <c r="D55" s="313">
        <v>15</v>
      </c>
      <c r="E55" s="129">
        <v>247.76900000000001</v>
      </c>
      <c r="F55" s="129">
        <v>2720.6838800000005</v>
      </c>
      <c r="G55" s="307">
        <f t="shared" si="16"/>
        <v>1.9932664537460881E-2</v>
      </c>
      <c r="H55" s="307">
        <f t="shared" si="17"/>
        <v>0.20922503282104843</v>
      </c>
      <c r="I55" s="313">
        <v>204.899</v>
      </c>
      <c r="J55" s="129">
        <v>2240.8886699999998</v>
      </c>
      <c r="K55" s="307">
        <f t="shared" si="18"/>
        <v>1.2373725783854293E-2</v>
      </c>
    </row>
    <row r="56" spans="1:11" ht="11.1" customHeight="1">
      <c r="A56" s="442"/>
      <c r="B56" s="442"/>
      <c r="C56" s="318" t="s">
        <v>0</v>
      </c>
      <c r="D56" s="321">
        <v>133767</v>
      </c>
      <c r="E56" s="319">
        <v>12430.300000000001</v>
      </c>
      <c r="F56" s="319">
        <v>136494.63160999995</v>
      </c>
      <c r="G56" s="320">
        <f>SUM(G51:G55)</f>
        <v>0.99999999999999978</v>
      </c>
      <c r="H56" s="320">
        <f t="shared" ref="H56" si="19">(E56-I56)/I56</f>
        <v>-0.24934175564036906</v>
      </c>
      <c r="I56" s="321">
        <v>16559.2</v>
      </c>
      <c r="J56" s="319">
        <v>181099.65499999994</v>
      </c>
      <c r="K56" s="320">
        <f>SUM(K51:K55)</f>
        <v>1</v>
      </c>
    </row>
    <row r="57" spans="1:11" ht="11.1" customHeight="1">
      <c r="A57" s="500" t="str">
        <f>'3.1'!G5</f>
        <v>III. čtvrtletí</v>
      </c>
      <c r="B57" s="443"/>
      <c r="C57" s="164" t="s">
        <v>4</v>
      </c>
      <c r="D57" s="312">
        <f>D51</f>
        <v>82</v>
      </c>
      <c r="E57" s="308">
        <f>E39+E45+E51</f>
        <v>27738.155999999995</v>
      </c>
      <c r="F57" s="308">
        <f>F39+F45+F51</f>
        <v>304256.14445000002</v>
      </c>
      <c r="G57" s="309">
        <f>E57/$E$62</f>
        <v>0.71321531329306764</v>
      </c>
      <c r="H57" s="309">
        <f>(E57-I57)/I57</f>
        <v>4.741641569230743E-2</v>
      </c>
      <c r="I57" s="312">
        <f>I39+I45+I51</f>
        <v>26482.453000000001</v>
      </c>
      <c r="J57" s="308">
        <f>J39+J45+J51</f>
        <v>288326.45113999996</v>
      </c>
      <c r="K57" s="309">
        <f>I57/$I$62</f>
        <v>0.64164109708526151</v>
      </c>
    </row>
    <row r="58" spans="1:11" ht="11.1" customHeight="1">
      <c r="A58" s="437"/>
      <c r="B58" s="437"/>
      <c r="C58" s="154" t="s">
        <v>5</v>
      </c>
      <c r="D58" s="313">
        <f>D52</f>
        <v>265</v>
      </c>
      <c r="E58" s="129">
        <f t="shared" ref="E58:F59" si="20">E40+E46+E52</f>
        <v>3605.9519999999998</v>
      </c>
      <c r="F58" s="129">
        <f t="shared" si="20"/>
        <v>39556.282539999993</v>
      </c>
      <c r="G58" s="307">
        <f t="shared" ref="G58:G61" si="21">E58/$E$62</f>
        <v>9.2717777829202638E-2</v>
      </c>
      <c r="H58" s="307">
        <f t="shared" ref="H58:H61" si="22">(E58-I58)/I58</f>
        <v>-9.9843107005515644E-2</v>
      </c>
      <c r="I58" s="313">
        <f t="shared" ref="I58:J58" si="23">I40+I46+I52</f>
        <v>4005.915</v>
      </c>
      <c r="J58" s="129">
        <f t="shared" si="23"/>
        <v>43635.58348999999</v>
      </c>
      <c r="K58" s="307">
        <f t="shared" ref="K58:K61" si="24">I58/$I$62</f>
        <v>9.7058973178591315E-2</v>
      </c>
    </row>
    <row r="59" spans="1:11" ht="11.1" customHeight="1">
      <c r="A59" s="437"/>
      <c r="B59" s="437"/>
      <c r="C59" s="154" t="s">
        <v>6</v>
      </c>
      <c r="D59" s="313">
        <f>D53</f>
        <v>11153</v>
      </c>
      <c r="E59" s="129">
        <f>E41+E47+E53</f>
        <v>2495.4769999999999</v>
      </c>
      <c r="F59" s="129">
        <f t="shared" si="20"/>
        <v>27376.70708</v>
      </c>
      <c r="G59" s="307">
        <f t="shared" si="21"/>
        <v>6.416477037517003E-2</v>
      </c>
      <c r="H59" s="307">
        <f t="shared" si="22"/>
        <v>-0.37065592858675839</v>
      </c>
      <c r="I59" s="313">
        <f>I41+I47+I53</f>
        <v>3965.203</v>
      </c>
      <c r="J59" s="129">
        <f t="shared" ref="J59" si="25">J41+J47+J53</f>
        <v>43215.942009999999</v>
      </c>
      <c r="K59" s="307">
        <f t="shared" si="24"/>
        <v>9.6072565599786774E-2</v>
      </c>
    </row>
    <row r="60" spans="1:11" ht="11.1" customHeight="1">
      <c r="A60" s="437"/>
      <c r="B60" s="437"/>
      <c r="C60" s="154" t="s">
        <v>7</v>
      </c>
      <c r="D60" s="313">
        <f>D54</f>
        <v>122252</v>
      </c>
      <c r="E60" s="129">
        <f t="shared" ref="E60:F61" si="26">E42+E48+E54</f>
        <v>4359.6000000000004</v>
      </c>
      <c r="F60" s="129">
        <f t="shared" si="26"/>
        <v>47823.399999999994</v>
      </c>
      <c r="G60" s="307">
        <f t="shared" si="21"/>
        <v>0.11209589706801196</v>
      </c>
      <c r="H60" s="307">
        <f t="shared" si="22"/>
        <v>-0.28877432827055161</v>
      </c>
      <c r="I60" s="313">
        <f t="shared" ref="I60:J60" si="27">I42+I48+I54</f>
        <v>6129.7000000000007</v>
      </c>
      <c r="J60" s="129">
        <f t="shared" si="27"/>
        <v>66814.399999999994</v>
      </c>
      <c r="K60" s="307">
        <f t="shared" si="24"/>
        <v>0.14851597896930196</v>
      </c>
    </row>
    <row r="61" spans="1:11" ht="11.1" customHeight="1">
      <c r="A61" s="437"/>
      <c r="B61" s="437"/>
      <c r="C61" s="154" t="s">
        <v>93</v>
      </c>
      <c r="D61" s="313">
        <f>D55</f>
        <v>15</v>
      </c>
      <c r="E61" s="129">
        <f>E43+E49+E55</f>
        <v>692.51499999999999</v>
      </c>
      <c r="F61" s="129">
        <f t="shared" si="26"/>
        <v>7596.7795900000001</v>
      </c>
      <c r="G61" s="307">
        <f t="shared" si="21"/>
        <v>1.7806241434547732E-2</v>
      </c>
      <c r="H61" s="307">
        <f t="shared" si="22"/>
        <v>4.0392675964037242E-3</v>
      </c>
      <c r="I61" s="313">
        <f>I43+I49+I55</f>
        <v>689.72900000000004</v>
      </c>
      <c r="J61" s="129">
        <f t="shared" ref="J61" si="28">J43+J49+J55</f>
        <v>7506.2156599999998</v>
      </c>
      <c r="K61" s="307">
        <f t="shared" si="24"/>
        <v>1.6711385167058366E-2</v>
      </c>
    </row>
    <row r="62" spans="1:11" ht="11.1" customHeight="1">
      <c r="A62" s="442"/>
      <c r="B62" s="442"/>
      <c r="C62" s="318" t="s">
        <v>0</v>
      </c>
      <c r="D62" s="321">
        <f>SUM(D57:D61)</f>
        <v>133767</v>
      </c>
      <c r="E62" s="319">
        <f>SUM(E57:E61)</f>
        <v>38891.699999999997</v>
      </c>
      <c r="F62" s="319">
        <f>SUM(F57:F61)</f>
        <v>426609.31366000004</v>
      </c>
      <c r="G62" s="320">
        <f>SUM(G57:G61)</f>
        <v>1</v>
      </c>
      <c r="H62" s="320">
        <f>(E62-I62)/I62</f>
        <v>-5.769631478206115E-2</v>
      </c>
      <c r="I62" s="321">
        <f>SUM(I57:I61)</f>
        <v>41273.000000000007</v>
      </c>
      <c r="J62" s="319">
        <f>SUM(J57:J61)</f>
        <v>449498.5922999999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20"/>
  <sheetViews>
    <sheetView showGridLines="0" topLeftCell="A7" zoomScaleNormal="100" zoomScaleSheetLayoutView="100" workbookViewId="0">
      <selection activeCell="G1" sqref="G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09" t="s">
        <v>307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26"/>
      <c r="B3" s="526"/>
      <c r="C3" s="526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487" t="s">
        <v>43</v>
      </c>
      <c r="B4" s="487"/>
      <c r="C4" s="487"/>
      <c r="D4" s="481">
        <f>'3.1'!A4</f>
        <v>2023</v>
      </c>
      <c r="E4" s="353"/>
      <c r="F4" s="342"/>
      <c r="G4" s="342"/>
      <c r="H4" s="342"/>
      <c r="I4" s="481">
        <f>D4-1</f>
        <v>2022</v>
      </c>
      <c r="J4" s="482"/>
      <c r="K4" s="482"/>
    </row>
    <row r="5" spans="1:16" ht="24.95" customHeight="1">
      <c r="A5" s="354"/>
      <c r="B5" s="354"/>
      <c r="C5" s="354"/>
      <c r="D5" s="483"/>
      <c r="E5" s="355"/>
      <c r="F5" s="356"/>
      <c r="G5" s="356"/>
      <c r="H5" s="357"/>
      <c r="I5" s="483"/>
      <c r="J5" s="484"/>
      <c r="K5" s="484"/>
    </row>
    <row r="6" spans="1:16" ht="24.95" customHeight="1">
      <c r="A6" s="304"/>
      <c r="B6" s="272"/>
      <c r="C6" s="305"/>
      <c r="D6" s="364" t="s">
        <v>159</v>
      </c>
      <c r="E6" s="479" t="s">
        <v>60</v>
      </c>
      <c r="F6" s="479"/>
      <c r="G6" s="480" t="s">
        <v>33</v>
      </c>
      <c r="H6" s="480" t="s">
        <v>270</v>
      </c>
      <c r="I6" s="478" t="s">
        <v>60</v>
      </c>
      <c r="J6" s="479"/>
      <c r="K6" s="480" t="s">
        <v>33</v>
      </c>
    </row>
    <row r="7" spans="1:16" ht="24.95" customHeight="1">
      <c r="A7" s="304"/>
      <c r="B7" s="306"/>
      <c r="D7" s="365"/>
      <c r="E7" s="479"/>
      <c r="F7" s="479"/>
      <c r="G7" s="480"/>
      <c r="H7" s="480"/>
      <c r="I7" s="478"/>
      <c r="J7" s="479"/>
      <c r="K7" s="480"/>
    </row>
    <row r="8" spans="1:16" ht="15" customHeight="1">
      <c r="A8" s="488" t="s">
        <v>158</v>
      </c>
      <c r="B8" s="488"/>
      <c r="C8" s="323" t="s">
        <v>184</v>
      </c>
      <c r="D8" s="343"/>
      <c r="E8" s="219" t="s">
        <v>261</v>
      </c>
      <c r="F8" s="219" t="s">
        <v>262</v>
      </c>
      <c r="G8" s="476"/>
      <c r="H8" s="476"/>
      <c r="I8" s="221" t="s">
        <v>261</v>
      </c>
      <c r="J8" s="219" t="s">
        <v>262</v>
      </c>
      <c r="K8" s="476"/>
    </row>
    <row r="9" spans="1:16" ht="11.1" customHeight="1">
      <c r="A9" s="443" t="str">
        <f>'3.1'!D5</f>
        <v>Červenec</v>
      </c>
      <c r="B9" s="443"/>
      <c r="C9" s="164" t="s">
        <v>4</v>
      </c>
      <c r="D9" s="312">
        <v>85</v>
      </c>
      <c r="E9" s="308">
        <v>7855.2429999999995</v>
      </c>
      <c r="F9" s="308">
        <v>86083.81727</v>
      </c>
      <c r="G9" s="309">
        <f>E9/$E$14</f>
        <v>0.71066305390196671</v>
      </c>
      <c r="H9" s="309">
        <f>(E9-I9)/I9</f>
        <v>-0.15623163544748692</v>
      </c>
      <c r="I9" s="312">
        <v>9309.7150000000001</v>
      </c>
      <c r="J9" s="308">
        <v>101194.72576999998</v>
      </c>
      <c r="K9" s="309">
        <f>I9/$I$14</f>
        <v>0.71563648243523703</v>
      </c>
    </row>
    <row r="10" spans="1:16" ht="11.1" customHeight="1">
      <c r="A10" s="437"/>
      <c r="B10" s="437"/>
      <c r="C10" s="154" t="s">
        <v>5</v>
      </c>
      <c r="D10" s="313">
        <v>325</v>
      </c>
      <c r="E10" s="129">
        <v>1011.0160000000001</v>
      </c>
      <c r="F10" s="129">
        <v>11079.954059999998</v>
      </c>
      <c r="G10" s="307">
        <f>E10/$E$14</f>
        <v>9.1466517089764235E-2</v>
      </c>
      <c r="H10" s="307">
        <f>(E10-I10)/I10</f>
        <v>-7.5207068928455495E-2</v>
      </c>
      <c r="I10" s="313">
        <v>1093.2350000000001</v>
      </c>
      <c r="J10" s="129">
        <v>11883.370899999994</v>
      </c>
      <c r="K10" s="307">
        <f>I10/$I$14</f>
        <v>8.4036820662618181E-2</v>
      </c>
      <c r="L10" s="93"/>
      <c r="N10" s="93"/>
      <c r="O10" s="93"/>
      <c r="P10" s="93"/>
    </row>
    <row r="11" spans="1:16" ht="11.1" customHeight="1">
      <c r="A11" s="437"/>
      <c r="B11" s="437"/>
      <c r="C11" s="154" t="s">
        <v>6</v>
      </c>
      <c r="D11" s="313">
        <v>11735</v>
      </c>
      <c r="E11" s="129">
        <v>770.50100000000009</v>
      </c>
      <c r="F11" s="129">
        <v>8444.2813399999995</v>
      </c>
      <c r="G11" s="307">
        <f>E11/$E$14</f>
        <v>6.9707148931550472E-2</v>
      </c>
      <c r="H11" s="307">
        <f t="shared" ref="H11:H13" si="0">(E11-I11)/I11</f>
        <v>-0.28648197640068823</v>
      </c>
      <c r="I11" s="313">
        <v>1079.8620000000001</v>
      </c>
      <c r="J11" s="129">
        <v>11738.23626</v>
      </c>
      <c r="K11" s="307">
        <f>I11/$I$14</f>
        <v>8.3008840033822737E-2</v>
      </c>
      <c r="L11" s="93"/>
      <c r="N11" s="93"/>
      <c r="O11" s="93"/>
      <c r="P11" s="93"/>
    </row>
    <row r="12" spans="1:16" ht="11.1" customHeight="1">
      <c r="A12" s="437"/>
      <c r="B12" s="437"/>
      <c r="C12" s="154" t="s">
        <v>7</v>
      </c>
      <c r="D12" s="313">
        <v>144774</v>
      </c>
      <c r="E12" s="129">
        <v>1265.5999999999999</v>
      </c>
      <c r="F12" s="129">
        <v>13869.5</v>
      </c>
      <c r="G12" s="307">
        <f>E12/$E$14</f>
        <v>0.11449870628042048</v>
      </c>
      <c r="H12" s="307">
        <f t="shared" si="0"/>
        <v>-8.0967250018154094E-2</v>
      </c>
      <c r="I12" s="313">
        <v>1377.1</v>
      </c>
      <c r="J12" s="129">
        <v>14968.8</v>
      </c>
      <c r="K12" s="307">
        <f>I12/$I$14</f>
        <v>0.10585748328080558</v>
      </c>
      <c r="L12" s="93"/>
      <c r="N12" s="93"/>
      <c r="O12" s="93"/>
      <c r="P12" s="93"/>
    </row>
    <row r="13" spans="1:16" ht="11.1" customHeight="1">
      <c r="A13" s="437"/>
      <c r="B13" s="437"/>
      <c r="C13" s="154" t="s">
        <v>93</v>
      </c>
      <c r="D13" s="313">
        <v>15</v>
      </c>
      <c r="E13" s="129">
        <v>151.04</v>
      </c>
      <c r="F13" s="129">
        <v>1655.2115499999998</v>
      </c>
      <c r="G13" s="307">
        <f>E13/$E$14</f>
        <v>1.366457379629797E-2</v>
      </c>
      <c r="H13" s="307">
        <f t="shared" si="0"/>
        <v>1.3092938398798014E-2</v>
      </c>
      <c r="I13" s="313">
        <v>149.08799999999999</v>
      </c>
      <c r="J13" s="129">
        <v>1620.5561999999995</v>
      </c>
      <c r="K13" s="307">
        <f>I13/$I$14</f>
        <v>1.1460373587516334E-2</v>
      </c>
      <c r="L13" s="93"/>
      <c r="N13" s="93"/>
      <c r="O13" s="93"/>
      <c r="P13" s="93"/>
    </row>
    <row r="14" spans="1:16" ht="11.1" customHeight="1">
      <c r="A14" s="442"/>
      <c r="B14" s="442"/>
      <c r="C14" s="318" t="s">
        <v>0</v>
      </c>
      <c r="D14" s="321">
        <v>156934</v>
      </c>
      <c r="E14" s="319">
        <v>11053.400000000001</v>
      </c>
      <c r="F14" s="319">
        <v>121132.76422</v>
      </c>
      <c r="G14" s="320">
        <f>SUM(G9:G13)</f>
        <v>0.99999999999999989</v>
      </c>
      <c r="H14" s="320">
        <f>(E14-I14)/I14</f>
        <v>-0.15032669690214467</v>
      </c>
      <c r="I14" s="321">
        <v>13009.000000000002</v>
      </c>
      <c r="J14" s="319">
        <v>141405.68912999996</v>
      </c>
      <c r="K14" s="320">
        <f>SUM(K9:K13)</f>
        <v>0.99999999999999978</v>
      </c>
      <c r="L14" s="93"/>
    </row>
    <row r="15" spans="1:16" ht="11.1" customHeight="1">
      <c r="A15" s="443" t="str">
        <f>'3.1'!E5</f>
        <v>Srpen</v>
      </c>
      <c r="B15" s="443"/>
      <c r="C15" s="164" t="s">
        <v>4</v>
      </c>
      <c r="D15" s="312">
        <v>85</v>
      </c>
      <c r="E15" s="308">
        <v>8440.0730000000003</v>
      </c>
      <c r="F15" s="308">
        <v>92572.653359999968</v>
      </c>
      <c r="G15" s="309">
        <f>E15/$E$20</f>
        <v>0.69953859032589594</v>
      </c>
      <c r="H15" s="309">
        <f>(E15-I15)/I15</f>
        <v>-0.15844121528413074</v>
      </c>
      <c r="I15" s="312">
        <v>10029.094999999999</v>
      </c>
      <c r="J15" s="308">
        <v>108821.20885000004</v>
      </c>
      <c r="K15" s="309">
        <f>I15/$I$20</f>
        <v>0.73106352735357372</v>
      </c>
      <c r="L15" s="93"/>
      <c r="M15" s="93"/>
    </row>
    <row r="16" spans="1:16" ht="11.1" customHeight="1">
      <c r="A16" s="437"/>
      <c r="B16" s="437"/>
      <c r="C16" s="154" t="s">
        <v>5</v>
      </c>
      <c r="D16" s="313">
        <v>325</v>
      </c>
      <c r="E16" s="129">
        <v>1112.7619999999999</v>
      </c>
      <c r="F16" s="129">
        <v>12204.897090000002</v>
      </c>
      <c r="G16" s="307">
        <f>E16/$E$20</f>
        <v>9.222905546530516E-2</v>
      </c>
      <c r="H16" s="307">
        <f>(E16-I16)/I16</f>
        <v>-3.1717385478049344E-2</v>
      </c>
      <c r="I16" s="313">
        <v>1149.212</v>
      </c>
      <c r="J16" s="129">
        <v>12469.220419999998</v>
      </c>
      <c r="K16" s="307">
        <f>I16/$I$20</f>
        <v>8.3770966213507311E-2</v>
      </c>
      <c r="L16" s="97"/>
      <c r="M16" s="93"/>
    </row>
    <row r="17" spans="1:20" ht="11.1" customHeight="1">
      <c r="A17" s="437"/>
      <c r="B17" s="437"/>
      <c r="C17" s="154" t="s">
        <v>6</v>
      </c>
      <c r="D17" s="313">
        <v>11720</v>
      </c>
      <c r="E17" s="129">
        <v>962.72</v>
      </c>
      <c r="F17" s="129">
        <v>10559.37903</v>
      </c>
      <c r="G17" s="307">
        <f>E17/$E$20</f>
        <v>7.979312402612472E-2</v>
      </c>
      <c r="H17" s="307">
        <f t="shared" ref="H17:H20" si="1">(E17-I17)/I17</f>
        <v>-9.6370162344000906E-2</v>
      </c>
      <c r="I17" s="313">
        <v>1065.3919999999998</v>
      </c>
      <c r="J17" s="129">
        <v>11560.08784</v>
      </c>
      <c r="K17" s="307">
        <f>I17/$I$20</f>
        <v>7.7660968764806645E-2</v>
      </c>
      <c r="L17" s="93"/>
      <c r="M17" s="93"/>
      <c r="N17" s="93"/>
      <c r="O17" s="93"/>
    </row>
    <row r="18" spans="1:20" ht="11.1" customHeight="1">
      <c r="A18" s="437"/>
      <c r="B18" s="437"/>
      <c r="C18" s="154" t="s">
        <v>7</v>
      </c>
      <c r="D18" s="313">
        <v>144652</v>
      </c>
      <c r="E18" s="129">
        <v>1385.6</v>
      </c>
      <c r="F18" s="129">
        <v>15197.7</v>
      </c>
      <c r="G18" s="307">
        <f>E18/$E$20</f>
        <v>0.11484268806153233</v>
      </c>
      <c r="H18" s="307">
        <f t="shared" si="1"/>
        <v>4.2588412340105276E-2</v>
      </c>
      <c r="I18" s="313">
        <v>1329</v>
      </c>
      <c r="J18" s="129">
        <v>14419.9</v>
      </c>
      <c r="K18" s="307">
        <f>I18/$I$20</f>
        <v>9.6876480664795733E-2</v>
      </c>
      <c r="L18" s="93"/>
      <c r="M18" s="93"/>
      <c r="N18" s="93"/>
      <c r="O18" s="93"/>
    </row>
    <row r="19" spans="1:20" ht="11.1" customHeight="1">
      <c r="A19" s="437"/>
      <c r="B19" s="437"/>
      <c r="C19" s="154" t="s">
        <v>93</v>
      </c>
      <c r="D19" s="313">
        <v>15</v>
      </c>
      <c r="E19" s="129">
        <v>164.04499999999999</v>
      </c>
      <c r="F19" s="129">
        <v>1799.2960499999999</v>
      </c>
      <c r="G19" s="307">
        <f>E19/$E$20</f>
        <v>1.3596542121141794E-2</v>
      </c>
      <c r="H19" s="307">
        <f t="shared" si="1"/>
        <v>0.12512945727395561</v>
      </c>
      <c r="I19" s="313">
        <v>145.80099999999999</v>
      </c>
      <c r="J19" s="129">
        <v>1582.02226</v>
      </c>
      <c r="K19" s="307">
        <f>I19/$I$20</f>
        <v>1.062805700331669E-2</v>
      </c>
      <c r="L19" s="93"/>
      <c r="M19" s="93"/>
      <c r="N19" s="93"/>
      <c r="O19" s="93"/>
    </row>
    <row r="20" spans="1:20" ht="11.1" customHeight="1">
      <c r="A20" s="442"/>
      <c r="B20" s="442"/>
      <c r="C20" s="318" t="s">
        <v>0</v>
      </c>
      <c r="D20" s="321">
        <v>156797</v>
      </c>
      <c r="E20" s="319">
        <v>12065.2</v>
      </c>
      <c r="F20" s="319">
        <v>132333.92552999995</v>
      </c>
      <c r="G20" s="320">
        <f>SUM(G15:G19)</f>
        <v>0.99999999999999989</v>
      </c>
      <c r="H20" s="320">
        <f t="shared" si="1"/>
        <v>-0.12051609140941048</v>
      </c>
      <c r="I20" s="321">
        <v>13718.499999999998</v>
      </c>
      <c r="J20" s="319">
        <v>148852.43937000004</v>
      </c>
      <c r="K20" s="320">
        <f>SUM(K15:K19)</f>
        <v>1</v>
      </c>
      <c r="L20" s="93"/>
      <c r="M20" s="93"/>
      <c r="N20" s="93"/>
      <c r="O20" s="93"/>
    </row>
    <row r="21" spans="1:20" ht="11.1" customHeight="1">
      <c r="A21" s="443" t="str">
        <f>'3.1'!F5</f>
        <v>Září</v>
      </c>
      <c r="B21" s="443"/>
      <c r="C21" s="164" t="s">
        <v>4</v>
      </c>
      <c r="D21" s="312">
        <v>85</v>
      </c>
      <c r="E21" s="308">
        <v>9372.6959999999999</v>
      </c>
      <c r="F21" s="308">
        <v>102918.96408999996</v>
      </c>
      <c r="G21" s="309">
        <f>E21/$E$26</f>
        <v>0.7109521895124894</v>
      </c>
      <c r="H21" s="309">
        <f>(E21-I21)/I21</f>
        <v>-0.13972872260211458</v>
      </c>
      <c r="I21" s="312">
        <v>10895.047</v>
      </c>
      <c r="J21" s="308">
        <v>119154.36731</v>
      </c>
      <c r="K21" s="309">
        <f>I21/$I$26</f>
        <v>0.60913485891278707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7"/>
      <c r="B22" s="437"/>
      <c r="C22" s="154" t="s">
        <v>5</v>
      </c>
      <c r="D22" s="313">
        <v>325</v>
      </c>
      <c r="E22" s="129">
        <v>1262.9159999999999</v>
      </c>
      <c r="F22" s="129">
        <v>13868.25479999999</v>
      </c>
      <c r="G22" s="307">
        <f>E22/$E$26</f>
        <v>9.5796651824656964E-2</v>
      </c>
      <c r="H22" s="307">
        <f t="shared" ref="H22:H26" si="2">(E22-I22)/I22</f>
        <v>-0.26302183479503582</v>
      </c>
      <c r="I22" s="313">
        <v>1713.6409999999998</v>
      </c>
      <c r="J22" s="129">
        <v>18741.336750000009</v>
      </c>
      <c r="K22" s="307">
        <f>I22/$I$26</f>
        <v>9.5808532883076808E-2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7"/>
      <c r="B23" s="437"/>
      <c r="C23" s="154" t="s">
        <v>6</v>
      </c>
      <c r="D23" s="313">
        <v>11705</v>
      </c>
      <c r="E23" s="129">
        <v>1005.9160000000001</v>
      </c>
      <c r="F23" s="129">
        <v>11045.21747</v>
      </c>
      <c r="G23" s="307">
        <f>E23/$E$26</f>
        <v>7.6302291535503275E-2</v>
      </c>
      <c r="H23" s="307">
        <f t="shared" si="2"/>
        <v>-0.54316352523732725</v>
      </c>
      <c r="I23" s="313">
        <v>2201.9169999999999</v>
      </c>
      <c r="J23" s="129">
        <v>24081.150089999999</v>
      </c>
      <c r="K23" s="307">
        <f>I23/$I$26</f>
        <v>0.12310772052040411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7"/>
      <c r="B24" s="437"/>
      <c r="C24" s="154" t="s">
        <v>7</v>
      </c>
      <c r="D24" s="313">
        <v>144540</v>
      </c>
      <c r="E24" s="129">
        <v>1378.8</v>
      </c>
      <c r="F24" s="129">
        <v>15140.5</v>
      </c>
      <c r="G24" s="307">
        <f>E24/$E$26</f>
        <v>0.10458686368359972</v>
      </c>
      <c r="H24" s="307">
        <f t="shared" si="2"/>
        <v>-0.53422066076616448</v>
      </c>
      <c r="I24" s="313">
        <v>2960.2</v>
      </c>
      <c r="J24" s="129">
        <v>32373.9</v>
      </c>
      <c r="K24" s="307">
        <f>I24/$I$26</f>
        <v>0.16550282062607277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7"/>
      <c r="B25" s="437"/>
      <c r="C25" s="154" t="s">
        <v>93</v>
      </c>
      <c r="D25" s="313">
        <v>15</v>
      </c>
      <c r="E25" s="129">
        <v>162.97200000000001</v>
      </c>
      <c r="F25" s="129">
        <v>1789.5496999999998</v>
      </c>
      <c r="G25" s="307">
        <f>E25/$E$26</f>
        <v>1.2362003443750809E-2</v>
      </c>
      <c r="H25" s="307">
        <f t="shared" si="2"/>
        <v>0.41352183529207692</v>
      </c>
      <c r="I25" s="313">
        <v>115.295</v>
      </c>
      <c r="J25" s="129">
        <v>1260.9304000000002</v>
      </c>
      <c r="K25" s="307">
        <f>I25/$I$26</f>
        <v>6.4460670576593007E-3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42"/>
      <c r="B26" s="442"/>
      <c r="C26" s="318" t="s">
        <v>0</v>
      </c>
      <c r="D26" s="321">
        <v>156670</v>
      </c>
      <c r="E26" s="319">
        <v>13183.299999999997</v>
      </c>
      <c r="F26" s="319">
        <v>144762.48605999997</v>
      </c>
      <c r="G26" s="320">
        <f>SUM(G21:G25)</f>
        <v>1.0000000000000002</v>
      </c>
      <c r="H26" s="320">
        <f t="shared" si="2"/>
        <v>-0.26293043201145033</v>
      </c>
      <c r="I26" s="321">
        <v>17886.099999999999</v>
      </c>
      <c r="J26" s="319">
        <v>195611.68455000003</v>
      </c>
      <c r="K26" s="320">
        <f>SUM(K21:K25)</f>
        <v>1</v>
      </c>
    </row>
    <row r="27" spans="1:20" ht="11.1" customHeight="1">
      <c r="A27" s="500" t="str">
        <f>'3.1'!G5</f>
        <v>III. čtvrtletí</v>
      </c>
      <c r="B27" s="443"/>
      <c r="C27" s="164" t="s">
        <v>4</v>
      </c>
      <c r="D27" s="312">
        <f>D21</f>
        <v>85</v>
      </c>
      <c r="E27" s="308">
        <f>E9+E15+E21</f>
        <v>25668.011999999999</v>
      </c>
      <c r="F27" s="308">
        <f>F9+F15+F21</f>
        <v>281575.4347199999</v>
      </c>
      <c r="G27" s="309">
        <f>E27/$E$32</f>
        <v>0.70707075938174047</v>
      </c>
      <c r="H27" s="309">
        <f>(E27-I27)/I27</f>
        <v>-0.15101761578087763</v>
      </c>
      <c r="I27" s="312">
        <f>I9+I15+I21</f>
        <v>30233.856999999996</v>
      </c>
      <c r="J27" s="308">
        <f>J9+J15+J21</f>
        <v>329170.30193000002</v>
      </c>
      <c r="K27" s="309">
        <f>I27/$I$32</f>
        <v>0.677682522818154</v>
      </c>
    </row>
    <row r="28" spans="1:20" ht="11.1" customHeight="1">
      <c r="A28" s="437"/>
      <c r="B28" s="437"/>
      <c r="C28" s="154" t="s">
        <v>5</v>
      </c>
      <c r="D28" s="313">
        <f>D22</f>
        <v>325</v>
      </c>
      <c r="E28" s="129">
        <f t="shared" ref="E28:F31" si="3">E10+E16+E22</f>
        <v>3386.6940000000004</v>
      </c>
      <c r="F28" s="129">
        <f t="shared" si="3"/>
        <v>37153.10594999999</v>
      </c>
      <c r="G28" s="307">
        <f>E28/$E$32</f>
        <v>9.3292472294838585E-2</v>
      </c>
      <c r="H28" s="307">
        <f t="shared" ref="H28:H31" si="4">(E28-I28)/I28</f>
        <v>-0.14392854759550328</v>
      </c>
      <c r="I28" s="313">
        <f t="shared" ref="I28:J28" si="5">I10+I16+I22</f>
        <v>3956.0879999999997</v>
      </c>
      <c r="J28" s="129">
        <f t="shared" si="5"/>
        <v>43093.928070000002</v>
      </c>
      <c r="K28" s="307">
        <f>I28/$I$32</f>
        <v>8.8674484910430895E-2</v>
      </c>
    </row>
    <row r="29" spans="1:20" ht="11.1" customHeight="1">
      <c r="A29" s="437"/>
      <c r="B29" s="437"/>
      <c r="C29" s="154" t="s">
        <v>6</v>
      </c>
      <c r="D29" s="313">
        <f>D23</f>
        <v>11705</v>
      </c>
      <c r="E29" s="129">
        <f t="shared" si="3"/>
        <v>2739.1370000000002</v>
      </c>
      <c r="F29" s="129">
        <f t="shared" si="3"/>
        <v>30048.877839999997</v>
      </c>
      <c r="G29" s="307">
        <f>E29/$E$32</f>
        <v>7.5454370156933945E-2</v>
      </c>
      <c r="H29" s="307">
        <f t="shared" si="4"/>
        <v>-0.36990355336838604</v>
      </c>
      <c r="I29" s="313">
        <f t="shared" ref="I29:J29" si="6">I11+I17+I23</f>
        <v>4347.1710000000003</v>
      </c>
      <c r="J29" s="129">
        <f t="shared" si="6"/>
        <v>47379.474189999994</v>
      </c>
      <c r="K29" s="307">
        <f>I29/$I$32</f>
        <v>9.7440488998870312E-2</v>
      </c>
    </row>
    <row r="30" spans="1:20" ht="11.1" customHeight="1">
      <c r="A30" s="437"/>
      <c r="B30" s="437"/>
      <c r="C30" s="154" t="s">
        <v>7</v>
      </c>
      <c r="D30" s="313">
        <f>D24</f>
        <v>144540</v>
      </c>
      <c r="E30" s="129">
        <f t="shared" si="3"/>
        <v>4030</v>
      </c>
      <c r="F30" s="129">
        <f t="shared" si="3"/>
        <v>44207.7</v>
      </c>
      <c r="G30" s="307">
        <f>E30/$E$32</f>
        <v>0.11101347312399629</v>
      </c>
      <c r="H30" s="307">
        <f t="shared" si="4"/>
        <v>-0.28877750913294381</v>
      </c>
      <c r="I30" s="313">
        <f t="shared" ref="I30:J30" si="7">I12+I18+I24</f>
        <v>5666.2999999999993</v>
      </c>
      <c r="J30" s="129">
        <f t="shared" si="7"/>
        <v>61762.6</v>
      </c>
      <c r="K30" s="307">
        <f>I30/$I$32</f>
        <v>0.12700835619631681</v>
      </c>
    </row>
    <row r="31" spans="1:20" ht="11.1" customHeight="1">
      <c r="A31" s="437"/>
      <c r="B31" s="437"/>
      <c r="C31" s="154" t="s">
        <v>93</v>
      </c>
      <c r="D31" s="313">
        <f>D25</f>
        <v>15</v>
      </c>
      <c r="E31" s="129">
        <f>E13+E19+E25</f>
        <v>478.05700000000002</v>
      </c>
      <c r="F31" s="129">
        <f t="shared" si="3"/>
        <v>5244.0572999999995</v>
      </c>
      <c r="G31" s="307">
        <f>E31/$E$32</f>
        <v>1.3168925042490891E-2</v>
      </c>
      <c r="H31" s="307">
        <f t="shared" si="4"/>
        <v>0.16546964289197039</v>
      </c>
      <c r="I31" s="313">
        <f>I13+I19+I25</f>
        <v>410.18400000000003</v>
      </c>
      <c r="J31" s="129">
        <f t="shared" ref="J31" si="8">J13+J19+J25</f>
        <v>4463.5088599999999</v>
      </c>
      <c r="K31" s="307">
        <f>I31/$I$32</f>
        <v>9.1941470762278779E-3</v>
      </c>
    </row>
    <row r="32" spans="1:20" ht="11.1" customHeight="1">
      <c r="A32" s="442"/>
      <c r="B32" s="442"/>
      <c r="C32" s="318" t="s">
        <v>0</v>
      </c>
      <c r="D32" s="321">
        <f>SUM(D27:D31)</f>
        <v>156670</v>
      </c>
      <c r="E32" s="319">
        <f>SUM(E27:E31)</f>
        <v>36301.899999999994</v>
      </c>
      <c r="F32" s="319">
        <f>SUM(F27:F31)</f>
        <v>398229.17580999987</v>
      </c>
      <c r="G32" s="320">
        <f>SUM(G27:G31)</f>
        <v>1.0000000000000002</v>
      </c>
      <c r="H32" s="320">
        <f>(E32-I32)/I32</f>
        <v>-0.18630417630498333</v>
      </c>
      <c r="I32" s="321">
        <f>SUM(I27:I31)</f>
        <v>44613.599999999999</v>
      </c>
      <c r="J32" s="319">
        <f>SUM(J27:J31)</f>
        <v>485869.81305</v>
      </c>
      <c r="K32" s="320">
        <f>SUM(K27:K31)</f>
        <v>0.99999999999999978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25" t="s">
        <v>90</v>
      </c>
      <c r="B34" s="525"/>
      <c r="C34" s="525"/>
      <c r="D34" s="481">
        <f>D4</f>
        <v>2023</v>
      </c>
      <c r="E34" s="353"/>
      <c r="F34" s="342"/>
      <c r="G34" s="342"/>
      <c r="H34" s="342"/>
      <c r="I34" s="481">
        <f>D34-1</f>
        <v>2022</v>
      </c>
      <c r="J34" s="482"/>
      <c r="K34" s="482"/>
    </row>
    <row r="35" spans="1:11" ht="24.95" customHeight="1">
      <c r="A35" s="304"/>
      <c r="B35" s="272"/>
      <c r="C35" s="150"/>
      <c r="D35" s="483"/>
      <c r="E35" s="355"/>
      <c r="F35" s="356"/>
      <c r="G35" s="356"/>
      <c r="H35" s="357"/>
      <c r="I35" s="483"/>
      <c r="J35" s="484"/>
      <c r="K35" s="484"/>
    </row>
    <row r="36" spans="1:11" ht="24.95" customHeight="1">
      <c r="A36" s="130"/>
      <c r="B36" s="131"/>
      <c r="C36" s="352"/>
      <c r="D36" s="364" t="s">
        <v>159</v>
      </c>
      <c r="E36" s="479" t="s">
        <v>60</v>
      </c>
      <c r="F36" s="479"/>
      <c r="G36" s="480" t="s">
        <v>33</v>
      </c>
      <c r="H36" s="480" t="s">
        <v>270</v>
      </c>
      <c r="I36" s="478" t="s">
        <v>60</v>
      </c>
      <c r="J36" s="479"/>
      <c r="K36" s="480" t="s">
        <v>33</v>
      </c>
    </row>
    <row r="37" spans="1:11" ht="24.95" customHeight="1">
      <c r="A37" s="130"/>
      <c r="B37" s="306"/>
      <c r="C37" s="306"/>
      <c r="D37" s="365"/>
      <c r="E37" s="479"/>
      <c r="F37" s="479"/>
      <c r="G37" s="480"/>
      <c r="H37" s="480"/>
      <c r="I37" s="478"/>
      <c r="J37" s="479"/>
      <c r="K37" s="480"/>
    </row>
    <row r="38" spans="1:11" ht="15" customHeight="1">
      <c r="A38" s="524" t="s">
        <v>158</v>
      </c>
      <c r="B38" s="524"/>
      <c r="C38" s="366" t="s">
        <v>184</v>
      </c>
      <c r="D38" s="343"/>
      <c r="E38" s="219" t="s">
        <v>261</v>
      </c>
      <c r="F38" s="219" t="s">
        <v>262</v>
      </c>
      <c r="G38" s="476"/>
      <c r="H38" s="476"/>
      <c r="I38" s="221" t="s">
        <v>261</v>
      </c>
      <c r="J38" s="219" t="s">
        <v>262</v>
      </c>
      <c r="K38" s="476"/>
    </row>
    <row r="39" spans="1:11" ht="11.1" customHeight="1">
      <c r="A39" s="443" t="str">
        <f>'3.1'!D5</f>
        <v>Červenec</v>
      </c>
      <c r="B39" s="443"/>
      <c r="C39" s="164" t="s">
        <v>4</v>
      </c>
      <c r="D39" s="312">
        <v>135</v>
      </c>
      <c r="E39" s="308">
        <v>7223.0621532150644</v>
      </c>
      <c r="F39" s="308">
        <v>79282.371977671952</v>
      </c>
      <c r="G39" s="309">
        <f>E39/$E$44</f>
        <v>0.4106517781600223</v>
      </c>
      <c r="H39" s="309">
        <f>(E39-I39)/I39</f>
        <v>7.4697212116922969E-3</v>
      </c>
      <c r="I39" s="312">
        <v>7169.5079277696077</v>
      </c>
      <c r="J39" s="308">
        <v>78492.360530000005</v>
      </c>
      <c r="K39" s="309">
        <f>I39/$I$44</f>
        <v>0.3991405020604753</v>
      </c>
    </row>
    <row r="40" spans="1:11" ht="11.1" customHeight="1">
      <c r="A40" s="437"/>
      <c r="B40" s="437"/>
      <c r="C40" s="154" t="s">
        <v>5</v>
      </c>
      <c r="D40" s="313">
        <v>1451</v>
      </c>
      <c r="E40" s="129">
        <v>2715.4840291618102</v>
      </c>
      <c r="F40" s="129">
        <v>29805.929950000002</v>
      </c>
      <c r="G40" s="307">
        <f t="shared" ref="G40" si="9">E40/$E$44</f>
        <v>0.15438304717398668</v>
      </c>
      <c r="H40" s="307">
        <f>(E40-I40)/I40</f>
        <v>-0.10520411289264921</v>
      </c>
      <c r="I40" s="313">
        <v>3034.7524706894715</v>
      </c>
      <c r="J40" s="129">
        <v>33224.724369999996</v>
      </c>
      <c r="K40" s="307">
        <f t="shared" ref="K40:K43" si="10">I40/$I$44</f>
        <v>0.16895059423654052</v>
      </c>
    </row>
    <row r="41" spans="1:11" ht="11.1" customHeight="1">
      <c r="A41" s="437"/>
      <c r="B41" s="437"/>
      <c r="C41" s="154" t="s">
        <v>6</v>
      </c>
      <c r="D41" s="313">
        <v>37586</v>
      </c>
      <c r="E41" s="129">
        <v>2433.5364468185157</v>
      </c>
      <c r="F41" s="129">
        <v>26711.192585077966</v>
      </c>
      <c r="G41" s="307">
        <f>E41/$E$44</f>
        <v>0.13835351931153334</v>
      </c>
      <c r="H41" s="307">
        <f t="shared" ref="H41:H43" si="11">(E41-I41)/I41</f>
        <v>-4.5398782004696804E-2</v>
      </c>
      <c r="I41" s="313">
        <v>2549.2702093226212</v>
      </c>
      <c r="J41" s="129">
        <v>27909.623887760899</v>
      </c>
      <c r="K41" s="307">
        <f t="shared" si="10"/>
        <v>0.14192284902785338</v>
      </c>
    </row>
    <row r="42" spans="1:11" ht="11.1" customHeight="1">
      <c r="A42" s="437"/>
      <c r="B42" s="437"/>
      <c r="C42" s="154" t="s">
        <v>7</v>
      </c>
      <c r="D42" s="313">
        <v>364699</v>
      </c>
      <c r="E42" s="129">
        <v>4140.5986174531554</v>
      </c>
      <c r="F42" s="129">
        <v>45448.395577922063</v>
      </c>
      <c r="G42" s="307">
        <f>E42/$E$44</f>
        <v>0.2354048946051539</v>
      </c>
      <c r="H42" s="307">
        <f t="shared" si="11"/>
        <v>-3.4207196675537656E-2</v>
      </c>
      <c r="I42" s="313">
        <v>4287.2535425821588</v>
      </c>
      <c r="J42" s="129">
        <v>46937.211068234639</v>
      </c>
      <c r="K42" s="307">
        <f t="shared" si="10"/>
        <v>0.23867977393800632</v>
      </c>
    </row>
    <row r="43" spans="1:11" ht="11.1" customHeight="1">
      <c r="A43" s="437"/>
      <c r="B43" s="437"/>
      <c r="C43" s="154" t="s">
        <v>93</v>
      </c>
      <c r="D43" s="313">
        <v>39</v>
      </c>
      <c r="E43" s="129">
        <v>1076.5818160341869</v>
      </c>
      <c r="F43" s="129">
        <v>11816.87016</v>
      </c>
      <c r="G43" s="307">
        <f>E43/$E$44</f>
        <v>6.1206760749303694E-2</v>
      </c>
      <c r="H43" s="307">
        <f t="shared" si="11"/>
        <v>0.16818858143044715</v>
      </c>
      <c r="I43" s="313">
        <v>921.58221125215266</v>
      </c>
      <c r="J43" s="129">
        <v>10089.559279999999</v>
      </c>
      <c r="K43" s="307">
        <f t="shared" si="10"/>
        <v>5.1306280737124496E-2</v>
      </c>
    </row>
    <row r="44" spans="1:11" ht="11.1" customHeight="1">
      <c r="A44" s="442"/>
      <c r="B44" s="442"/>
      <c r="C44" s="318" t="s">
        <v>0</v>
      </c>
      <c r="D44" s="321">
        <v>403910</v>
      </c>
      <c r="E44" s="319">
        <v>17589.263062682734</v>
      </c>
      <c r="F44" s="319">
        <v>193064.76025067197</v>
      </c>
      <c r="G44" s="320">
        <f>SUM(G39:G43)</f>
        <v>0.99999999999999978</v>
      </c>
      <c r="H44" s="320">
        <f>(E44-I44)/I44</f>
        <v>-2.0771388993076477E-2</v>
      </c>
      <c r="I44" s="321">
        <v>17962.366361616012</v>
      </c>
      <c r="J44" s="319">
        <v>196653.47913599553</v>
      </c>
      <c r="K44" s="320">
        <f>SUM(K39:K43)</f>
        <v>1</v>
      </c>
    </row>
    <row r="45" spans="1:11" ht="11.1" customHeight="1">
      <c r="A45" s="443" t="str">
        <f>'3.1'!E5</f>
        <v>Srpen</v>
      </c>
      <c r="B45" s="443"/>
      <c r="C45" s="164" t="s">
        <v>4</v>
      </c>
      <c r="D45" s="312">
        <v>135</v>
      </c>
      <c r="E45" s="308">
        <v>5644.4997052344379</v>
      </c>
      <c r="F45" s="308">
        <v>61986.21041</v>
      </c>
      <c r="G45" s="309">
        <f>E45/$E$50</f>
        <v>0.3401665634380327</v>
      </c>
      <c r="H45" s="309">
        <f>(E45-I45)/I45</f>
        <v>-0.19974347863511108</v>
      </c>
      <c r="I45" s="312">
        <v>7053.3629586765264</v>
      </c>
      <c r="J45" s="308">
        <v>76904.776819999999</v>
      </c>
      <c r="K45" s="309">
        <f>I45/$I$50</f>
        <v>0.40209207147664883</v>
      </c>
    </row>
    <row r="46" spans="1:11" ht="11.1" customHeight="1">
      <c r="A46" s="437"/>
      <c r="B46" s="437"/>
      <c r="C46" s="154" t="s">
        <v>5</v>
      </c>
      <c r="D46" s="313">
        <v>1449</v>
      </c>
      <c r="E46" s="129">
        <v>2902.9407657720799</v>
      </c>
      <c r="F46" s="129">
        <v>31879.222030000001</v>
      </c>
      <c r="G46" s="307">
        <f t="shared" ref="G46:G49" si="12">E46/$E$50</f>
        <v>0.1749461308751801</v>
      </c>
      <c r="H46" s="307">
        <f>(E46-I46)/I46</f>
        <v>-6.4302676878944282E-2</v>
      </c>
      <c r="I46" s="313">
        <v>3102.4356851734974</v>
      </c>
      <c r="J46" s="129">
        <v>33826.704290000001</v>
      </c>
      <c r="K46" s="307">
        <f t="shared" ref="K46:K49" si="13">I46/$I$50</f>
        <v>0.17686099504349892</v>
      </c>
    </row>
    <row r="47" spans="1:11" ht="11.1" customHeight="1">
      <c r="A47" s="437"/>
      <c r="B47" s="437"/>
      <c r="C47" s="154" t="s">
        <v>6</v>
      </c>
      <c r="D47" s="313">
        <v>37542</v>
      </c>
      <c r="E47" s="129">
        <v>2848.5261228844329</v>
      </c>
      <c r="F47" s="129">
        <v>31281.656794514685</v>
      </c>
      <c r="G47" s="307">
        <f t="shared" si="12"/>
        <v>0.17166682481823525</v>
      </c>
      <c r="H47" s="307">
        <f t="shared" ref="H47:H49" si="14">(E47-I47)/I47</f>
        <v>0.13456340616076704</v>
      </c>
      <c r="I47" s="313">
        <v>2510.6804145248434</v>
      </c>
      <c r="J47" s="129">
        <v>27374.634824727102</v>
      </c>
      <c r="K47" s="307">
        <f t="shared" si="13"/>
        <v>0.14312671765321575</v>
      </c>
    </row>
    <row r="48" spans="1:11" ht="11.1" customHeight="1">
      <c r="A48" s="437"/>
      <c r="B48" s="437"/>
      <c r="C48" s="154" t="s">
        <v>7</v>
      </c>
      <c r="D48" s="313">
        <v>364490</v>
      </c>
      <c r="E48" s="129">
        <v>4054.8040131028697</v>
      </c>
      <c r="F48" s="129">
        <v>44528.637630489764</v>
      </c>
      <c r="G48" s="307">
        <f t="shared" si="12"/>
        <v>0.24436333042463307</v>
      </c>
      <c r="H48" s="307">
        <f t="shared" si="14"/>
        <v>7.5163685421208376E-3</v>
      </c>
      <c r="I48" s="313">
        <v>4024.5539821553302</v>
      </c>
      <c r="J48" s="129">
        <v>43880.812132257655</v>
      </c>
      <c r="K48" s="307">
        <f t="shared" si="13"/>
        <v>0.22942832474880537</v>
      </c>
    </row>
    <row r="49" spans="1:11" ht="11.1" customHeight="1">
      <c r="A49" s="437"/>
      <c r="B49" s="437"/>
      <c r="C49" s="154" t="s">
        <v>93</v>
      </c>
      <c r="D49" s="313">
        <v>39</v>
      </c>
      <c r="E49" s="129">
        <v>1142.5701616754759</v>
      </c>
      <c r="F49" s="129">
        <v>12547.361730000001</v>
      </c>
      <c r="G49" s="307">
        <f t="shared" si="12"/>
        <v>6.8857150443918977E-2</v>
      </c>
      <c r="H49" s="307">
        <f t="shared" si="14"/>
        <v>0.34320727143045399</v>
      </c>
      <c r="I49" s="313">
        <v>850.62833263156119</v>
      </c>
      <c r="J49" s="129">
        <v>9274.6332199999997</v>
      </c>
      <c r="K49" s="307">
        <f t="shared" si="13"/>
        <v>4.8491891077831341E-2</v>
      </c>
    </row>
    <row r="50" spans="1:11" ht="11.1" customHeight="1">
      <c r="A50" s="442"/>
      <c r="B50" s="442"/>
      <c r="C50" s="318" t="s">
        <v>0</v>
      </c>
      <c r="D50" s="321">
        <v>403655</v>
      </c>
      <c r="E50" s="319">
        <v>16593.340768669295</v>
      </c>
      <c r="F50" s="319">
        <v>182223.08859500446</v>
      </c>
      <c r="G50" s="320">
        <f>SUM(G45:G49)</f>
        <v>1.0000000000000002</v>
      </c>
      <c r="H50" s="320">
        <f t="shared" ref="H50" si="15">(E50-I50)/I50</f>
        <v>-5.4061048398948278E-2</v>
      </c>
      <c r="I50" s="321">
        <v>17541.661373161754</v>
      </c>
      <c r="J50" s="319">
        <v>191261.56128698474</v>
      </c>
      <c r="K50" s="320">
        <f>SUM(K45:K49)</f>
        <v>1.0000000000000002</v>
      </c>
    </row>
    <row r="51" spans="1:11" ht="11.1" customHeight="1">
      <c r="A51" s="443" t="str">
        <f>'3.1'!F5</f>
        <v>Září</v>
      </c>
      <c r="B51" s="443"/>
      <c r="C51" s="164" t="s">
        <v>4</v>
      </c>
      <c r="D51" s="312">
        <v>135</v>
      </c>
      <c r="E51" s="308">
        <v>5728.0695472709267</v>
      </c>
      <c r="F51" s="308">
        <v>63109.368269999999</v>
      </c>
      <c r="G51" s="309">
        <f>E51/$E$56</f>
        <v>0.32801240882261834</v>
      </c>
      <c r="H51" s="309">
        <f>(E51-I51)/I51</f>
        <v>-0.31620693779073217</v>
      </c>
      <c r="I51" s="312">
        <v>8376.9050372697548</v>
      </c>
      <c r="J51" s="308">
        <v>92172.441930000001</v>
      </c>
      <c r="K51" s="309">
        <f>I51/$I$56</f>
        <v>0.28998434202133533</v>
      </c>
    </row>
    <row r="52" spans="1:11" ht="11.1" customHeight="1">
      <c r="A52" s="437"/>
      <c r="B52" s="437"/>
      <c r="C52" s="154" t="s">
        <v>5</v>
      </c>
      <c r="D52" s="313">
        <v>1449</v>
      </c>
      <c r="E52" s="129">
        <v>3207.6351825892934</v>
      </c>
      <c r="F52" s="129">
        <v>35340.354980000004</v>
      </c>
      <c r="G52" s="307">
        <f t="shared" ref="G52:G55" si="16">E52/$E$56</f>
        <v>0.18368215228227727</v>
      </c>
      <c r="H52" s="307">
        <f t="shared" ref="H52:H55" si="17">(E52-I52)/I52</f>
        <v>-0.44254082597043948</v>
      </c>
      <c r="I52" s="313">
        <v>5754.0270786165256</v>
      </c>
      <c r="J52" s="129">
        <v>63312.514560000003</v>
      </c>
      <c r="K52" s="307">
        <f t="shared" ref="K52:K55" si="18">I52/$I$56</f>
        <v>0.19918785624784774</v>
      </c>
    </row>
    <row r="53" spans="1:11" ht="11.1" customHeight="1">
      <c r="A53" s="437"/>
      <c r="B53" s="437"/>
      <c r="C53" s="154" t="s">
        <v>6</v>
      </c>
      <c r="D53" s="313">
        <v>37517</v>
      </c>
      <c r="E53" s="129">
        <v>2993.3882385412085</v>
      </c>
      <c r="F53" s="129">
        <v>32979.873620668004</v>
      </c>
      <c r="G53" s="307">
        <f t="shared" si="16"/>
        <v>0.1714135065159948</v>
      </c>
      <c r="H53" s="307">
        <f t="shared" si="17"/>
        <v>-0.48356272671358841</v>
      </c>
      <c r="I53" s="313">
        <v>5796.228106256578</v>
      </c>
      <c r="J53" s="129">
        <v>63776.859468427196</v>
      </c>
      <c r="K53" s="307">
        <f t="shared" si="18"/>
        <v>0.20064873436194575</v>
      </c>
    </row>
    <row r="54" spans="1:11" ht="11.1" customHeight="1">
      <c r="A54" s="437"/>
      <c r="B54" s="437"/>
      <c r="C54" s="154" t="s">
        <v>7</v>
      </c>
      <c r="D54" s="313">
        <v>364055</v>
      </c>
      <c r="E54" s="129">
        <v>4453.0639010802097</v>
      </c>
      <c r="F54" s="129">
        <v>49061.956879323923</v>
      </c>
      <c r="G54" s="307">
        <f t="shared" si="16"/>
        <v>0.25500043335372569</v>
      </c>
      <c r="H54" s="307">
        <f t="shared" si="17"/>
        <v>-0.45777388265151264</v>
      </c>
      <c r="I54" s="313">
        <v>8212.5588543316826</v>
      </c>
      <c r="J54" s="129">
        <v>90364.147567541178</v>
      </c>
      <c r="K54" s="307">
        <f t="shared" si="18"/>
        <v>0.28429515018843521</v>
      </c>
    </row>
    <row r="55" spans="1:11" ht="11.1" customHeight="1">
      <c r="A55" s="437"/>
      <c r="B55" s="437"/>
      <c r="C55" s="154" t="s">
        <v>93</v>
      </c>
      <c r="D55" s="313">
        <v>39</v>
      </c>
      <c r="E55" s="129">
        <v>1080.8091440039559</v>
      </c>
      <c r="F55" s="129">
        <v>11907.89371</v>
      </c>
      <c r="G55" s="307">
        <f t="shared" si="16"/>
        <v>6.1891499025383899E-2</v>
      </c>
      <c r="H55" s="307">
        <f t="shared" si="17"/>
        <v>0.44547293691185325</v>
      </c>
      <c r="I55" s="313">
        <v>747.7200827523103</v>
      </c>
      <c r="J55" s="129">
        <v>8227.2881200000011</v>
      </c>
      <c r="K55" s="307">
        <f t="shared" si="18"/>
        <v>2.5883917180435957E-2</v>
      </c>
    </row>
    <row r="56" spans="1:11" ht="11.1" customHeight="1">
      <c r="A56" s="442"/>
      <c r="B56" s="442"/>
      <c r="C56" s="318" t="s">
        <v>0</v>
      </c>
      <c r="D56" s="321">
        <v>403195</v>
      </c>
      <c r="E56" s="319">
        <v>17462.966013485595</v>
      </c>
      <c r="F56" s="319">
        <v>192399.44745999193</v>
      </c>
      <c r="G56" s="320">
        <f>SUM(G51:G55)</f>
        <v>1</v>
      </c>
      <c r="H56" s="320">
        <f t="shared" ref="H56" si="19">(E56-I56)/I56</f>
        <v>-0.39548237844032635</v>
      </c>
      <c r="I56" s="321">
        <v>28887.439159226851</v>
      </c>
      <c r="J56" s="319">
        <v>317853.25164596835</v>
      </c>
      <c r="K56" s="320">
        <f>SUM(K51:K55)</f>
        <v>1</v>
      </c>
    </row>
    <row r="57" spans="1:11" ht="11.1" customHeight="1">
      <c r="A57" s="500" t="str">
        <f>'3.1'!G5</f>
        <v>III. čtvrtletí</v>
      </c>
      <c r="B57" s="443"/>
      <c r="C57" s="164" t="s">
        <v>4</v>
      </c>
      <c r="D57" s="312">
        <f>D51</f>
        <v>135</v>
      </c>
      <c r="E57" s="308">
        <f>E39+E45+E51</f>
        <v>18595.631405720429</v>
      </c>
      <c r="F57" s="308">
        <f>F39+F45+F51</f>
        <v>204377.95065767196</v>
      </c>
      <c r="G57" s="309">
        <f>E57/$E$62</f>
        <v>0.36006246928029984</v>
      </c>
      <c r="H57" s="309">
        <f>(E57-I57)/I57</f>
        <v>-0.17717629287614164</v>
      </c>
      <c r="I57" s="312">
        <f>I39+I45+I51</f>
        <v>22599.77592371589</v>
      </c>
      <c r="J57" s="308">
        <f>J39+J45+J51</f>
        <v>247569.57928000001</v>
      </c>
      <c r="K57" s="309">
        <f>I57/$I$62</f>
        <v>0.35097470229894884</v>
      </c>
    </row>
    <row r="58" spans="1:11" ht="11.1" customHeight="1">
      <c r="A58" s="437"/>
      <c r="B58" s="437"/>
      <c r="C58" s="154" t="s">
        <v>5</v>
      </c>
      <c r="D58" s="313">
        <f>D52</f>
        <v>1449</v>
      </c>
      <c r="E58" s="129">
        <f t="shared" ref="E58:F59" si="20">E40+E46+E52</f>
        <v>8826.0599775231822</v>
      </c>
      <c r="F58" s="129">
        <f t="shared" si="20"/>
        <v>97025.506959999999</v>
      </c>
      <c r="G58" s="307">
        <f t="shared" ref="G58:G61" si="21">E58/$E$62</f>
        <v>0.17089674882163033</v>
      </c>
      <c r="H58" s="307">
        <f t="shared" ref="H58:H61" si="22">(E58-I58)/I58</f>
        <v>-0.25776635915803275</v>
      </c>
      <c r="I58" s="313">
        <f t="shared" ref="I58:J58" si="23">I40+I46+I52</f>
        <v>11891.215234479494</v>
      </c>
      <c r="J58" s="129">
        <f t="shared" si="23"/>
        <v>130363.94322000002</v>
      </c>
      <c r="K58" s="307">
        <f t="shared" ref="K58:K61" si="24">I58/$I$62</f>
        <v>0.18467066846067867</v>
      </c>
    </row>
    <row r="59" spans="1:11" ht="11.1" customHeight="1">
      <c r="A59" s="437"/>
      <c r="B59" s="437"/>
      <c r="C59" s="154" t="s">
        <v>6</v>
      </c>
      <c r="D59" s="313">
        <f>D53</f>
        <v>37517</v>
      </c>
      <c r="E59" s="129">
        <f>E41+E47+E53</f>
        <v>8275.4508082441571</v>
      </c>
      <c r="F59" s="129">
        <f t="shared" si="20"/>
        <v>90972.723000260652</v>
      </c>
      <c r="G59" s="307">
        <f t="shared" si="21"/>
        <v>0.1602354438745989</v>
      </c>
      <c r="H59" s="307">
        <f t="shared" si="22"/>
        <v>-0.23771973417345832</v>
      </c>
      <c r="I59" s="313">
        <f>I41+I47+I53</f>
        <v>10856.178730104042</v>
      </c>
      <c r="J59" s="129">
        <f t="shared" ref="J59" si="25">J41+J47+J53</f>
        <v>119061.11818091519</v>
      </c>
      <c r="K59" s="307">
        <f t="shared" si="24"/>
        <v>0.16859654320306908</v>
      </c>
    </row>
    <row r="60" spans="1:11" ht="11.1" customHeight="1">
      <c r="A60" s="437"/>
      <c r="B60" s="437"/>
      <c r="C60" s="154" t="s">
        <v>7</v>
      </c>
      <c r="D60" s="313">
        <f>D54</f>
        <v>364055</v>
      </c>
      <c r="E60" s="129">
        <f t="shared" ref="E60:F61" si="26">E42+E48+E54</f>
        <v>12648.466531636235</v>
      </c>
      <c r="F60" s="129">
        <f t="shared" si="26"/>
        <v>139038.99008773576</v>
      </c>
      <c r="G60" s="307">
        <f t="shared" si="21"/>
        <v>0.24490903226814811</v>
      </c>
      <c r="H60" s="307">
        <f t="shared" si="22"/>
        <v>-0.23455663948134201</v>
      </c>
      <c r="I60" s="313">
        <f t="shared" ref="I60:J60" si="27">I42+I48+I54</f>
        <v>16524.366379069172</v>
      </c>
      <c r="J60" s="129">
        <f t="shared" si="27"/>
        <v>181182.17076803348</v>
      </c>
      <c r="K60" s="307">
        <f t="shared" si="24"/>
        <v>0.2566235430894917</v>
      </c>
    </row>
    <row r="61" spans="1:11" ht="11.1" customHeight="1">
      <c r="A61" s="437"/>
      <c r="B61" s="437"/>
      <c r="C61" s="154" t="s">
        <v>93</v>
      </c>
      <c r="D61" s="313">
        <f>D55</f>
        <v>39</v>
      </c>
      <c r="E61" s="129">
        <f>E43+E49+E55</f>
        <v>3299.9611217136189</v>
      </c>
      <c r="F61" s="129">
        <f t="shared" si="26"/>
        <v>36272.125599999999</v>
      </c>
      <c r="G61" s="307">
        <f t="shared" si="21"/>
        <v>6.3896305755322694E-2</v>
      </c>
      <c r="H61" s="307">
        <f t="shared" si="22"/>
        <v>0.30954443222863437</v>
      </c>
      <c r="I61" s="313">
        <f>I43+I49+I55</f>
        <v>2519.930626636024</v>
      </c>
      <c r="J61" s="129">
        <f t="shared" ref="J61" si="28">J43+J49+J55</f>
        <v>27591.480619999998</v>
      </c>
      <c r="K61" s="307">
        <f t="shared" si="24"/>
        <v>3.9134542947811782E-2</v>
      </c>
    </row>
    <row r="62" spans="1:11" ht="11.1" customHeight="1">
      <c r="A62" s="442"/>
      <c r="B62" s="442"/>
      <c r="C62" s="318" t="s">
        <v>0</v>
      </c>
      <c r="D62" s="321">
        <f>SUM(D57:D61)</f>
        <v>403195</v>
      </c>
      <c r="E62" s="319">
        <f>SUM(E57:E61)</f>
        <v>51645.569844837628</v>
      </c>
      <c r="F62" s="319">
        <f>SUM(F57:F61)</f>
        <v>567687.29630566842</v>
      </c>
      <c r="G62" s="320">
        <f>SUM(G57:G61)</f>
        <v>0.99999999999999978</v>
      </c>
      <c r="H62" s="320">
        <f>(E62-I62)/I62</f>
        <v>-0.19794388393338092</v>
      </c>
      <c r="I62" s="321">
        <f>SUM(I57:I61)</f>
        <v>64391.466894004618</v>
      </c>
      <c r="J62" s="319">
        <f>SUM(J57:J61)</f>
        <v>705768.29206894874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20"/>
  <sheetViews>
    <sheetView showGridLines="0" topLeftCell="A16" zoomScaleNormal="100" zoomScaleSheetLayoutView="100" workbookViewId="0">
      <selection activeCell="G1" sqref="G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09" t="s">
        <v>308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26"/>
      <c r="B3" s="526"/>
      <c r="C3" s="526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487" t="s">
        <v>44</v>
      </c>
      <c r="B4" s="487"/>
      <c r="C4" s="487"/>
      <c r="D4" s="481">
        <f>'3.1'!A4</f>
        <v>2023</v>
      </c>
      <c r="E4" s="353"/>
      <c r="F4" s="342"/>
      <c r="G4" s="342"/>
      <c r="H4" s="342"/>
      <c r="I4" s="481">
        <f>D4-1</f>
        <v>2022</v>
      </c>
      <c r="J4" s="482"/>
      <c r="K4" s="482"/>
    </row>
    <row r="5" spans="1:16" ht="24.95" customHeight="1">
      <c r="A5" s="354"/>
      <c r="B5" s="354"/>
      <c r="C5" s="354"/>
      <c r="D5" s="483"/>
      <c r="E5" s="355"/>
      <c r="F5" s="356"/>
      <c r="G5" s="356"/>
      <c r="H5" s="357"/>
      <c r="I5" s="483"/>
      <c r="J5" s="484"/>
      <c r="K5" s="484"/>
    </row>
    <row r="6" spans="1:16" ht="24.95" customHeight="1">
      <c r="A6" s="304"/>
      <c r="B6" s="272"/>
      <c r="C6" s="305"/>
      <c r="D6" s="364" t="s">
        <v>159</v>
      </c>
      <c r="E6" s="479" t="s">
        <v>60</v>
      </c>
      <c r="F6" s="479"/>
      <c r="G6" s="480" t="s">
        <v>33</v>
      </c>
      <c r="H6" s="480" t="s">
        <v>270</v>
      </c>
      <c r="I6" s="478" t="s">
        <v>60</v>
      </c>
      <c r="J6" s="479"/>
      <c r="K6" s="480" t="s">
        <v>33</v>
      </c>
    </row>
    <row r="7" spans="1:16" ht="24.95" customHeight="1">
      <c r="A7" s="304"/>
      <c r="B7" s="306"/>
      <c r="D7" s="365"/>
      <c r="E7" s="479"/>
      <c r="F7" s="479"/>
      <c r="G7" s="480"/>
      <c r="H7" s="480"/>
      <c r="I7" s="478"/>
      <c r="J7" s="479"/>
      <c r="K7" s="480"/>
    </row>
    <row r="8" spans="1:16" ht="15" customHeight="1">
      <c r="A8" s="488" t="s">
        <v>158</v>
      </c>
      <c r="B8" s="488"/>
      <c r="C8" s="323" t="s">
        <v>184</v>
      </c>
      <c r="D8" s="343"/>
      <c r="E8" s="219" t="s">
        <v>261</v>
      </c>
      <c r="F8" s="219" t="s">
        <v>262</v>
      </c>
      <c r="G8" s="476"/>
      <c r="H8" s="476"/>
      <c r="I8" s="221" t="s">
        <v>261</v>
      </c>
      <c r="J8" s="219" t="s">
        <v>262</v>
      </c>
      <c r="K8" s="476"/>
    </row>
    <row r="9" spans="1:16" ht="11.1" customHeight="1">
      <c r="A9" s="443" t="str">
        <f>'3.1'!D5</f>
        <v>Červenec</v>
      </c>
      <c r="B9" s="443"/>
      <c r="C9" s="164" t="s">
        <v>4</v>
      </c>
      <c r="D9" s="312">
        <v>182</v>
      </c>
      <c r="E9" s="308">
        <v>31267.939999999995</v>
      </c>
      <c r="F9" s="308">
        <v>342661.29606799991</v>
      </c>
      <c r="G9" s="309">
        <f>E9/$E$14</f>
        <v>0.79632130836952408</v>
      </c>
      <c r="H9" s="309">
        <f>(E9-I9)/I9</f>
        <v>-0.16922838125136064</v>
      </c>
      <c r="I9" s="312">
        <v>37637.226999999999</v>
      </c>
      <c r="J9" s="308">
        <v>409138.83188099996</v>
      </c>
      <c r="K9" s="309">
        <f>I9/$I$14</f>
        <v>0.79961384134110147</v>
      </c>
    </row>
    <row r="10" spans="1:16" ht="11.1" customHeight="1">
      <c r="A10" s="437"/>
      <c r="B10" s="437"/>
      <c r="C10" s="154" t="s">
        <v>5</v>
      </c>
      <c r="D10" s="313">
        <v>619</v>
      </c>
      <c r="E10" s="129">
        <v>2770.6990000000001</v>
      </c>
      <c r="F10" s="129">
        <v>30363.492390000021</v>
      </c>
      <c r="G10" s="307">
        <f>E10/$E$14</f>
        <v>7.0563223953293133E-2</v>
      </c>
      <c r="H10" s="307">
        <f>(E10-I10)/I10</f>
        <v>-0.13963947878411112</v>
      </c>
      <c r="I10" s="313">
        <v>3220.393</v>
      </c>
      <c r="J10" s="129">
        <v>35005.290989999987</v>
      </c>
      <c r="K10" s="307">
        <f>I10/$I$14</f>
        <v>6.8418186530001104E-2</v>
      </c>
      <c r="L10" s="93"/>
      <c r="N10" s="93"/>
      <c r="O10" s="93"/>
      <c r="P10" s="93"/>
    </row>
    <row r="11" spans="1:16" ht="11.1" customHeight="1">
      <c r="A11" s="437"/>
      <c r="B11" s="437"/>
      <c r="C11" s="154" t="s">
        <v>6</v>
      </c>
      <c r="D11" s="313">
        <v>19052</v>
      </c>
      <c r="E11" s="129">
        <v>1335.059</v>
      </c>
      <c r="F11" s="129">
        <v>14630.887919999999</v>
      </c>
      <c r="G11" s="307">
        <f>E11/$E$14</f>
        <v>3.4000830551373346E-2</v>
      </c>
      <c r="H11" s="307">
        <f t="shared" ref="H11:H13" si="0">(E11-I11)/I11</f>
        <v>-0.28152099857171609</v>
      </c>
      <c r="I11" s="313">
        <v>1858.174</v>
      </c>
      <c r="J11" s="129">
        <v>20197.691659999997</v>
      </c>
      <c r="K11" s="307">
        <f>I11/$I$14</f>
        <v>3.9477447422472431E-2</v>
      </c>
      <c r="L11" s="93"/>
      <c r="N11" s="93"/>
      <c r="O11" s="93"/>
      <c r="P11" s="93"/>
    </row>
    <row r="12" spans="1:16" ht="11.1" customHeight="1">
      <c r="A12" s="437"/>
      <c r="B12" s="437"/>
      <c r="C12" s="154" t="s">
        <v>7</v>
      </c>
      <c r="D12" s="313">
        <v>236033</v>
      </c>
      <c r="E12" s="129">
        <v>3114.8</v>
      </c>
      <c r="F12" s="129">
        <v>34134.5</v>
      </c>
      <c r="G12" s="307">
        <f>E12/$E$14</f>
        <v>7.9326671706207511E-2</v>
      </c>
      <c r="H12" s="307">
        <f t="shared" si="0"/>
        <v>-8.0963059128997886E-2</v>
      </c>
      <c r="I12" s="313">
        <v>3389.2</v>
      </c>
      <c r="J12" s="129">
        <v>36840.1</v>
      </c>
      <c r="K12" s="307">
        <f>I12/$I$14</f>
        <v>7.2004540373637543E-2</v>
      </c>
      <c r="L12" s="93"/>
      <c r="N12" s="93"/>
      <c r="O12" s="93"/>
      <c r="P12" s="93"/>
    </row>
    <row r="13" spans="1:16" ht="11.1" customHeight="1">
      <c r="A13" s="437"/>
      <c r="B13" s="437"/>
      <c r="C13" s="154" t="s">
        <v>93</v>
      </c>
      <c r="D13" s="313">
        <v>36</v>
      </c>
      <c r="E13" s="129">
        <v>776.98400000000004</v>
      </c>
      <c r="F13" s="129">
        <v>8514.7935899999993</v>
      </c>
      <c r="G13" s="307">
        <f>E13/$E$14</f>
        <v>1.9787965419601882E-2</v>
      </c>
      <c r="H13" s="307">
        <f t="shared" si="0"/>
        <v>-0.19421732727687549</v>
      </c>
      <c r="I13" s="313">
        <v>964.26</v>
      </c>
      <c r="J13" s="129">
        <v>10481.324699999999</v>
      </c>
      <c r="K13" s="307">
        <f>I13/$I$14</f>
        <v>2.0485984332787602E-2</v>
      </c>
      <c r="L13" s="93"/>
      <c r="N13" s="93"/>
      <c r="O13" s="93"/>
      <c r="P13" s="93"/>
    </row>
    <row r="14" spans="1:16" ht="11.1" customHeight="1">
      <c r="A14" s="442"/>
      <c r="B14" s="442"/>
      <c r="C14" s="318" t="s">
        <v>0</v>
      </c>
      <c r="D14" s="321">
        <v>255922</v>
      </c>
      <c r="E14" s="319">
        <v>39265.481999999996</v>
      </c>
      <c r="F14" s="319">
        <v>430304.96996799996</v>
      </c>
      <c r="G14" s="320">
        <f>SUM(G9:G13)</f>
        <v>1</v>
      </c>
      <c r="H14" s="320">
        <f>(E14-I14)/I14</f>
        <v>-0.16579340730575415</v>
      </c>
      <c r="I14" s="321">
        <v>47069.253999999994</v>
      </c>
      <c r="J14" s="319">
        <v>511663.23923099996</v>
      </c>
      <c r="K14" s="320">
        <f>SUM(K9:K13)</f>
        <v>1.0000000000000002</v>
      </c>
      <c r="L14" s="93"/>
    </row>
    <row r="15" spans="1:16" ht="11.1" customHeight="1">
      <c r="A15" s="443" t="str">
        <f>'3.1'!E5</f>
        <v>Srpen</v>
      </c>
      <c r="B15" s="443"/>
      <c r="C15" s="164" t="s">
        <v>4</v>
      </c>
      <c r="D15" s="312">
        <v>181</v>
      </c>
      <c r="E15" s="308">
        <v>34105.631999999998</v>
      </c>
      <c r="F15" s="308">
        <v>374099.07633000007</v>
      </c>
      <c r="G15" s="309">
        <f>E15/$E$20</f>
        <v>0.78621694676571952</v>
      </c>
      <c r="H15" s="309">
        <f>(E15-I15)/I15</f>
        <v>-0.10369491344134436</v>
      </c>
      <c r="I15" s="312">
        <v>38051.364999999998</v>
      </c>
      <c r="J15" s="308">
        <v>412950.03429099999</v>
      </c>
      <c r="K15" s="309">
        <f>I15/$I$20</f>
        <v>0.80151317309683257</v>
      </c>
      <c r="L15" s="93"/>
      <c r="M15" s="93"/>
    </row>
    <row r="16" spans="1:16" ht="11.1" customHeight="1">
      <c r="A16" s="437"/>
      <c r="B16" s="437"/>
      <c r="C16" s="154" t="s">
        <v>5</v>
      </c>
      <c r="D16" s="313">
        <v>621</v>
      </c>
      <c r="E16" s="129">
        <v>3328.9569999999999</v>
      </c>
      <c r="F16" s="129">
        <v>36512.607629999933</v>
      </c>
      <c r="G16" s="307">
        <f>E16/$E$20</f>
        <v>7.6740475252133414E-2</v>
      </c>
      <c r="H16" s="307">
        <f>(E16-I16)/I16</f>
        <v>1.0128727078748307E-2</v>
      </c>
      <c r="I16" s="313">
        <v>3295.5769999999998</v>
      </c>
      <c r="J16" s="129">
        <v>35758.773350000018</v>
      </c>
      <c r="K16" s="307">
        <f>I16/$I$20</f>
        <v>6.9417966437076317E-2</v>
      </c>
      <c r="L16" s="97"/>
      <c r="M16" s="93"/>
    </row>
    <row r="17" spans="1:20" ht="11.1" customHeight="1">
      <c r="A17" s="437"/>
      <c r="B17" s="437"/>
      <c r="C17" s="154" t="s">
        <v>6</v>
      </c>
      <c r="D17" s="313">
        <v>19027</v>
      </c>
      <c r="E17" s="129">
        <v>1647.3820000000001</v>
      </c>
      <c r="F17" s="129">
        <v>18068.61637</v>
      </c>
      <c r="G17" s="307">
        <f>E17/$E$20</f>
        <v>3.7976122131289182E-2</v>
      </c>
      <c r="H17" s="307">
        <f t="shared" ref="H17:H20" si="1">(E17-I17)/I17</f>
        <v>-9.5558669094055498E-2</v>
      </c>
      <c r="I17" s="313">
        <v>1821.4360000000001</v>
      </c>
      <c r="J17" s="129">
        <v>19763.86205</v>
      </c>
      <c r="K17" s="307">
        <f>I17/$I$20</f>
        <v>3.8366690602368733E-2</v>
      </c>
      <c r="L17" s="93"/>
      <c r="M17" s="93"/>
      <c r="N17" s="93"/>
      <c r="O17" s="93"/>
    </row>
    <row r="18" spans="1:20" ht="11.1" customHeight="1">
      <c r="A18" s="437"/>
      <c r="B18" s="437"/>
      <c r="C18" s="154" t="s">
        <v>7</v>
      </c>
      <c r="D18" s="313">
        <v>235834</v>
      </c>
      <c r="E18" s="129">
        <v>3410.1</v>
      </c>
      <c r="F18" s="129">
        <v>37403.300000000003</v>
      </c>
      <c r="G18" s="307">
        <f>E18/$E$20</f>
        <v>7.8611016801148265E-2</v>
      </c>
      <c r="H18" s="307">
        <f t="shared" si="1"/>
        <v>4.2620845690524996E-2</v>
      </c>
      <c r="I18" s="313">
        <v>3270.7</v>
      </c>
      <c r="J18" s="129">
        <v>35489</v>
      </c>
      <c r="K18" s="307">
        <f>I18/$I$20</f>
        <v>6.8893957818538451E-2</v>
      </c>
      <c r="L18" s="93"/>
      <c r="M18" s="93"/>
      <c r="N18" s="93"/>
      <c r="O18" s="93"/>
    </row>
    <row r="19" spans="1:20" ht="11.1" customHeight="1">
      <c r="A19" s="437"/>
      <c r="B19" s="437"/>
      <c r="C19" s="154" t="s">
        <v>93</v>
      </c>
      <c r="D19" s="313">
        <v>36</v>
      </c>
      <c r="E19" s="129">
        <v>887.34500000000003</v>
      </c>
      <c r="F19" s="129">
        <v>9732.6265999999996</v>
      </c>
      <c r="G19" s="307">
        <f>E19/$E$20</f>
        <v>2.0455439049709662E-2</v>
      </c>
      <c r="H19" s="307">
        <f t="shared" si="1"/>
        <v>-0.1429367584504295</v>
      </c>
      <c r="I19" s="313">
        <v>1035.3320000000001</v>
      </c>
      <c r="J19" s="129">
        <v>11233.922710000001</v>
      </c>
      <c r="K19" s="307">
        <f>I19/$I$20</f>
        <v>2.1808212045183926E-2</v>
      </c>
      <c r="L19" s="93"/>
      <c r="M19" s="93"/>
      <c r="N19" s="93"/>
      <c r="O19" s="93"/>
    </row>
    <row r="20" spans="1:20" ht="11.1" customHeight="1">
      <c r="A20" s="442"/>
      <c r="B20" s="442"/>
      <c r="C20" s="318" t="s">
        <v>0</v>
      </c>
      <c r="D20" s="321">
        <v>255699</v>
      </c>
      <c r="E20" s="319">
        <v>43379.415999999997</v>
      </c>
      <c r="F20" s="319">
        <v>475816.22693</v>
      </c>
      <c r="G20" s="320">
        <f>SUM(G15:G19)</f>
        <v>1</v>
      </c>
      <c r="H20" s="320">
        <f t="shared" si="1"/>
        <v>-8.6256869753620929E-2</v>
      </c>
      <c r="I20" s="321">
        <v>47474.409999999996</v>
      </c>
      <c r="J20" s="319">
        <v>515195.59240100003</v>
      </c>
      <c r="K20" s="320">
        <f>SUM(K15:K19)</f>
        <v>1</v>
      </c>
      <c r="L20" s="93"/>
      <c r="M20" s="93"/>
      <c r="N20" s="93"/>
      <c r="O20" s="93"/>
    </row>
    <row r="21" spans="1:20" ht="11.1" customHeight="1">
      <c r="A21" s="443" t="str">
        <f>'3.1'!F5</f>
        <v>Září</v>
      </c>
      <c r="B21" s="443"/>
      <c r="C21" s="164" t="s">
        <v>4</v>
      </c>
      <c r="D21" s="312">
        <v>181</v>
      </c>
      <c r="E21" s="308">
        <v>36994.143000000004</v>
      </c>
      <c r="F21" s="308">
        <v>406208.65631500015</v>
      </c>
      <c r="G21" s="309">
        <f>E21/$E$26</f>
        <v>0.80146811909327376</v>
      </c>
      <c r="H21" s="309">
        <f>(E21-I21)/I21</f>
        <v>-3.1870808089293108E-2</v>
      </c>
      <c r="I21" s="312">
        <v>38211.989999999991</v>
      </c>
      <c r="J21" s="308">
        <v>417918.56269600004</v>
      </c>
      <c r="K21" s="309">
        <f>I21/$I$26</f>
        <v>0.7053759641766677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7"/>
      <c r="B22" s="437"/>
      <c r="C22" s="154" t="s">
        <v>5</v>
      </c>
      <c r="D22" s="313">
        <v>619</v>
      </c>
      <c r="E22" s="129">
        <v>3136.5569999999998</v>
      </c>
      <c r="F22" s="129">
        <v>34441.996550000003</v>
      </c>
      <c r="G22" s="307">
        <f>E22/$E$26</f>
        <v>6.7952660485170346E-2</v>
      </c>
      <c r="H22" s="307">
        <f t="shared" ref="H22:H26" si="2">(E22-I22)/I22</f>
        <v>-0.20221300792660032</v>
      </c>
      <c r="I22" s="313">
        <v>3931.5719999999997</v>
      </c>
      <c r="J22" s="129">
        <v>42997.45315999999</v>
      </c>
      <c r="K22" s="307">
        <f>I22/$I$26</f>
        <v>7.2575031821948827E-2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7"/>
      <c r="B23" s="437"/>
      <c r="C23" s="154" t="s">
        <v>6</v>
      </c>
      <c r="D23" s="313">
        <v>19003</v>
      </c>
      <c r="E23" s="129">
        <v>1721.2639999999999</v>
      </c>
      <c r="F23" s="129">
        <v>18900.217379999998</v>
      </c>
      <c r="G23" s="307">
        <f>E23/$E$26</f>
        <v>3.7290719791588753E-2</v>
      </c>
      <c r="H23" s="307">
        <f t="shared" si="2"/>
        <v>-0.54312045197860082</v>
      </c>
      <c r="I23" s="313">
        <v>3767.4349999999999</v>
      </c>
      <c r="J23" s="129">
        <v>41202.52837</v>
      </c>
      <c r="K23" s="307">
        <f>I23/$I$26</f>
        <v>6.9545137418855305E-2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7"/>
      <c r="B24" s="437"/>
      <c r="C24" s="154" t="s">
        <v>7</v>
      </c>
      <c r="D24" s="313">
        <v>235651</v>
      </c>
      <c r="E24" s="129">
        <v>3393.4</v>
      </c>
      <c r="F24" s="129">
        <v>37262.5</v>
      </c>
      <c r="G24" s="307">
        <f>E24/$E$26</f>
        <v>7.3517094728511895E-2</v>
      </c>
      <c r="H24" s="307">
        <f t="shared" si="2"/>
        <v>-0.53421272974345602</v>
      </c>
      <c r="I24" s="313">
        <v>7285.3</v>
      </c>
      <c r="J24" s="129">
        <v>79676.100000000006</v>
      </c>
      <c r="K24" s="307">
        <f>I24/$I$26</f>
        <v>0.13448332609257668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7"/>
      <c r="B25" s="437"/>
      <c r="C25" s="154" t="s">
        <v>93</v>
      </c>
      <c r="D25" s="313">
        <v>36</v>
      </c>
      <c r="E25" s="129">
        <v>912.60799999999995</v>
      </c>
      <c r="F25" s="129">
        <v>10021.08145</v>
      </c>
      <c r="G25" s="307">
        <f>E25/$E$26</f>
        <v>1.9771405901455111E-2</v>
      </c>
      <c r="H25" s="307">
        <f t="shared" si="2"/>
        <v>-6.515962623102628E-2</v>
      </c>
      <c r="I25" s="313">
        <v>976.21799999999996</v>
      </c>
      <c r="J25" s="129">
        <v>10676.447840000003</v>
      </c>
      <c r="K25" s="307">
        <f>I25/$I$26</f>
        <v>1.8020540489951411E-2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42"/>
      <c r="B26" s="442"/>
      <c r="C26" s="318" t="s">
        <v>0</v>
      </c>
      <c r="D26" s="321">
        <v>255490</v>
      </c>
      <c r="E26" s="319">
        <v>46157.972000000009</v>
      </c>
      <c r="F26" s="319">
        <v>506834.45169500011</v>
      </c>
      <c r="G26" s="320">
        <f>SUM(G21:G25)</f>
        <v>0.99999999999999978</v>
      </c>
      <c r="H26" s="320">
        <f t="shared" si="2"/>
        <v>-0.14794482035770323</v>
      </c>
      <c r="I26" s="321">
        <v>54172.514999999992</v>
      </c>
      <c r="J26" s="319">
        <v>592471.0920660001</v>
      </c>
      <c r="K26" s="320">
        <f>SUM(K21:K25)</f>
        <v>0.99999999999999978</v>
      </c>
    </row>
    <row r="27" spans="1:20" ht="11.1" customHeight="1">
      <c r="A27" s="500" t="str">
        <f>'3.1'!G5</f>
        <v>III. čtvrtletí</v>
      </c>
      <c r="B27" s="443"/>
      <c r="C27" s="164" t="s">
        <v>4</v>
      </c>
      <c r="D27" s="312">
        <f>D21</f>
        <v>181</v>
      </c>
      <c r="E27" s="308">
        <f>E9+E15+E21</f>
        <v>102367.715</v>
      </c>
      <c r="F27" s="308">
        <f>F9+F15+F21</f>
        <v>1122969.028713</v>
      </c>
      <c r="G27" s="309">
        <f>E27/$E$32</f>
        <v>0.79476268657678195</v>
      </c>
      <c r="H27" s="309">
        <f>(E27-I27)/I27</f>
        <v>-0.10125380219742862</v>
      </c>
      <c r="I27" s="312">
        <f>I9+I15+I21</f>
        <v>113900.58199999999</v>
      </c>
      <c r="J27" s="308">
        <f>J9+J15+J21</f>
        <v>1240007.4288679999</v>
      </c>
      <c r="K27" s="309">
        <f>I27/$I$32</f>
        <v>0.76589233777987253</v>
      </c>
    </row>
    <row r="28" spans="1:20" ht="11.1" customHeight="1">
      <c r="A28" s="437"/>
      <c r="B28" s="437"/>
      <c r="C28" s="154" t="s">
        <v>5</v>
      </c>
      <c r="D28" s="313">
        <f>D22</f>
        <v>619</v>
      </c>
      <c r="E28" s="129">
        <f t="shared" ref="E28:F31" si="3">E10+E16+E22</f>
        <v>9236.2129999999997</v>
      </c>
      <c r="F28" s="129">
        <f t="shared" si="3"/>
        <v>101318.09656999997</v>
      </c>
      <c r="G28" s="307">
        <f>E28/$E$32</f>
        <v>7.1708130416659188E-2</v>
      </c>
      <c r="H28" s="307">
        <f t="shared" ref="H28:H31" si="4">(E28-I28)/I28</f>
        <v>-0.1159439225034941</v>
      </c>
      <c r="I28" s="313">
        <f t="shared" ref="I28:J28" si="5">I10+I16+I22</f>
        <v>10447.541999999999</v>
      </c>
      <c r="J28" s="129">
        <f t="shared" si="5"/>
        <v>113761.5175</v>
      </c>
      <c r="K28" s="307">
        <f>I28/$I$32</f>
        <v>7.025154942960174E-2</v>
      </c>
    </row>
    <row r="29" spans="1:20" ht="11.1" customHeight="1">
      <c r="A29" s="437"/>
      <c r="B29" s="437"/>
      <c r="C29" s="154" t="s">
        <v>6</v>
      </c>
      <c r="D29" s="313">
        <f>D23</f>
        <v>19003</v>
      </c>
      <c r="E29" s="129">
        <f t="shared" si="3"/>
        <v>4703.7049999999999</v>
      </c>
      <c r="F29" s="129">
        <f t="shared" si="3"/>
        <v>51599.721669999999</v>
      </c>
      <c r="G29" s="307">
        <f>E29/$E$32</f>
        <v>3.6518635027309558E-2</v>
      </c>
      <c r="H29" s="307">
        <f t="shared" si="4"/>
        <v>-0.36837967274267847</v>
      </c>
      <c r="I29" s="313">
        <f t="shared" ref="I29:J29" si="6">I11+I17+I23</f>
        <v>7447.0450000000001</v>
      </c>
      <c r="J29" s="129">
        <f t="shared" si="6"/>
        <v>81164.082079999993</v>
      </c>
      <c r="K29" s="307">
        <f>I29/$I$32</f>
        <v>5.0075553649075399E-2</v>
      </c>
    </row>
    <row r="30" spans="1:20" ht="11.1" customHeight="1">
      <c r="A30" s="437"/>
      <c r="B30" s="437"/>
      <c r="C30" s="154" t="s">
        <v>7</v>
      </c>
      <c r="D30" s="313">
        <f>D24</f>
        <v>235651</v>
      </c>
      <c r="E30" s="129">
        <f t="shared" si="3"/>
        <v>9918.2999999999993</v>
      </c>
      <c r="F30" s="129">
        <f t="shared" si="3"/>
        <v>108800.3</v>
      </c>
      <c r="G30" s="307">
        <f>E30/$E$32</f>
        <v>7.7003718938871465E-2</v>
      </c>
      <c r="H30" s="307">
        <f t="shared" si="4"/>
        <v>-0.28876602702005</v>
      </c>
      <c r="I30" s="313">
        <f t="shared" ref="I30:J30" si="7">I12+I18+I24</f>
        <v>13945.2</v>
      </c>
      <c r="J30" s="129">
        <f t="shared" si="7"/>
        <v>152005.20000000001</v>
      </c>
      <c r="K30" s="307">
        <f>I30/$I$32</f>
        <v>9.3770564129407874E-2</v>
      </c>
    </row>
    <row r="31" spans="1:20" ht="11.1" customHeight="1">
      <c r="A31" s="437"/>
      <c r="B31" s="437"/>
      <c r="C31" s="154" t="s">
        <v>93</v>
      </c>
      <c r="D31" s="313">
        <f>D25</f>
        <v>36</v>
      </c>
      <c r="E31" s="129">
        <f>E13+E19+E25</f>
        <v>2576.9369999999999</v>
      </c>
      <c r="F31" s="129">
        <f t="shared" si="3"/>
        <v>28268.501639999995</v>
      </c>
      <c r="G31" s="307">
        <f>E31/$E$32</f>
        <v>2.0006829040377747E-2</v>
      </c>
      <c r="H31" s="307">
        <f t="shared" si="4"/>
        <v>-0.13403846347717094</v>
      </c>
      <c r="I31" s="313">
        <f>I13+I19+I25</f>
        <v>2975.81</v>
      </c>
      <c r="J31" s="129">
        <f t="shared" ref="J31" si="8">J13+J19+J25</f>
        <v>32391.695250000004</v>
      </c>
      <c r="K31" s="307">
        <f>I31/$I$32</f>
        <v>2.0009995012042366E-2</v>
      </c>
    </row>
    <row r="32" spans="1:20" ht="11.1" customHeight="1">
      <c r="A32" s="442"/>
      <c r="B32" s="442"/>
      <c r="C32" s="318" t="s">
        <v>0</v>
      </c>
      <c r="D32" s="321">
        <f>SUM(D27:D31)</f>
        <v>255490</v>
      </c>
      <c r="E32" s="319">
        <f>SUM(E27:E31)</f>
        <v>128802.87000000001</v>
      </c>
      <c r="F32" s="319">
        <f>SUM(F27:F31)</f>
        <v>1412955.6485929999</v>
      </c>
      <c r="G32" s="320">
        <f>SUM(G27:G31)</f>
        <v>1</v>
      </c>
      <c r="H32" s="320">
        <f>(E32-I32)/I32</f>
        <v>-0.13390142978323827</v>
      </c>
      <c r="I32" s="321">
        <f>SUM(I27:I31)</f>
        <v>148716.179</v>
      </c>
      <c r="J32" s="319">
        <f>SUM(J27:J31)</f>
        <v>1619329.9236980001</v>
      </c>
      <c r="K32" s="320">
        <f>SUM(K27:K31)</f>
        <v>1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25" t="s">
        <v>45</v>
      </c>
      <c r="B34" s="525"/>
      <c r="C34" s="525"/>
      <c r="D34" s="481">
        <f>D4</f>
        <v>2023</v>
      </c>
      <c r="E34" s="353"/>
      <c r="F34" s="342"/>
      <c r="G34" s="342"/>
      <c r="H34" s="342"/>
      <c r="I34" s="481">
        <f>D34-1</f>
        <v>2022</v>
      </c>
      <c r="J34" s="482"/>
      <c r="K34" s="482"/>
    </row>
    <row r="35" spans="1:11" ht="24.95" customHeight="1">
      <c r="A35" s="304"/>
      <c r="B35" s="272"/>
      <c r="C35" s="150"/>
      <c r="D35" s="483"/>
      <c r="E35" s="355"/>
      <c r="F35" s="356"/>
      <c r="G35" s="356"/>
      <c r="H35" s="357"/>
      <c r="I35" s="483"/>
      <c r="J35" s="484"/>
      <c r="K35" s="484"/>
    </row>
    <row r="36" spans="1:11" ht="24.95" customHeight="1">
      <c r="A36" s="130"/>
      <c r="B36" s="131"/>
      <c r="C36" s="352"/>
      <c r="D36" s="364" t="s">
        <v>159</v>
      </c>
      <c r="E36" s="479" t="s">
        <v>60</v>
      </c>
      <c r="F36" s="479"/>
      <c r="G36" s="480" t="s">
        <v>33</v>
      </c>
      <c r="H36" s="480" t="s">
        <v>270</v>
      </c>
      <c r="I36" s="478" t="s">
        <v>60</v>
      </c>
      <c r="J36" s="479"/>
      <c r="K36" s="480" t="s">
        <v>33</v>
      </c>
    </row>
    <row r="37" spans="1:11" ht="24.95" customHeight="1">
      <c r="A37" s="130"/>
      <c r="B37" s="306"/>
      <c r="C37" s="306"/>
      <c r="D37" s="365"/>
      <c r="E37" s="479"/>
      <c r="F37" s="479"/>
      <c r="G37" s="480"/>
      <c r="H37" s="480"/>
      <c r="I37" s="478"/>
      <c r="J37" s="479"/>
      <c r="K37" s="480"/>
    </row>
    <row r="38" spans="1:11" ht="15" customHeight="1">
      <c r="A38" s="524" t="s">
        <v>158</v>
      </c>
      <c r="B38" s="524"/>
      <c r="C38" s="366" t="s">
        <v>184</v>
      </c>
      <c r="D38" s="343"/>
      <c r="E38" s="219" t="s">
        <v>261</v>
      </c>
      <c r="F38" s="219" t="s">
        <v>262</v>
      </c>
      <c r="G38" s="476"/>
      <c r="H38" s="476"/>
      <c r="I38" s="221" t="s">
        <v>261</v>
      </c>
      <c r="J38" s="219" t="s">
        <v>262</v>
      </c>
      <c r="K38" s="476"/>
    </row>
    <row r="39" spans="1:11" ht="11.1" customHeight="1">
      <c r="A39" s="443" t="str">
        <f>'3.1'!D5</f>
        <v>Červenec</v>
      </c>
      <c r="B39" s="443"/>
      <c r="C39" s="164" t="s">
        <v>4</v>
      </c>
      <c r="D39" s="312">
        <v>127</v>
      </c>
      <c r="E39" s="308">
        <v>73959.684999999998</v>
      </c>
      <c r="F39" s="308">
        <v>810965.80286099995</v>
      </c>
      <c r="G39" s="309">
        <f>E39/$E$44</f>
        <v>0.94859025497640059</v>
      </c>
      <c r="H39" s="309">
        <f>(E39-I39)/I39</f>
        <v>0.29183183617490366</v>
      </c>
      <c r="I39" s="312">
        <v>57251.790000000008</v>
      </c>
      <c r="J39" s="308">
        <v>623586.81385000015</v>
      </c>
      <c r="K39" s="309">
        <f>I39/$I$44</f>
        <v>0.92709137664538588</v>
      </c>
    </row>
    <row r="40" spans="1:11" ht="11.1" customHeight="1">
      <c r="A40" s="437"/>
      <c r="B40" s="437"/>
      <c r="C40" s="154" t="s">
        <v>5</v>
      </c>
      <c r="D40" s="313">
        <v>302</v>
      </c>
      <c r="E40" s="129">
        <v>1155.98</v>
      </c>
      <c r="F40" s="129">
        <v>12667.86031</v>
      </c>
      <c r="G40" s="307">
        <f t="shared" ref="G40" si="9">E40/$E$44</f>
        <v>1.4826339010876257E-2</v>
      </c>
      <c r="H40" s="307">
        <f>(E40-I40)/I40</f>
        <v>-3.8490970309152002E-2</v>
      </c>
      <c r="I40" s="313">
        <v>1202.2559999999999</v>
      </c>
      <c r="J40" s="129">
        <v>13068.064170000014</v>
      </c>
      <c r="K40" s="307">
        <f t="shared" ref="K40:K43" si="10">I40/$I$44</f>
        <v>1.946840736543215E-2</v>
      </c>
    </row>
    <row r="41" spans="1:11" ht="11.1" customHeight="1">
      <c r="A41" s="437"/>
      <c r="B41" s="437"/>
      <c r="C41" s="154" t="s">
        <v>6</v>
      </c>
      <c r="D41" s="313">
        <v>12820</v>
      </c>
      <c r="E41" s="129">
        <v>868.04200000000003</v>
      </c>
      <c r="F41" s="129">
        <v>9466.9491899999994</v>
      </c>
      <c r="G41" s="307">
        <f>E41/$E$44</f>
        <v>1.113331110199056E-2</v>
      </c>
      <c r="H41" s="307">
        <f t="shared" ref="H41:H43" si="11">(E41-I41)/I41</f>
        <v>-0.24800640376463745</v>
      </c>
      <c r="I41" s="313">
        <v>1154.3210000000001</v>
      </c>
      <c r="J41" s="129">
        <v>12531.668310000001</v>
      </c>
      <c r="K41" s="307">
        <f t="shared" si="10"/>
        <v>1.8692184907767573E-2</v>
      </c>
    </row>
    <row r="42" spans="1:11" ht="11.1" customHeight="1">
      <c r="A42" s="437"/>
      <c r="B42" s="437"/>
      <c r="C42" s="154" t="s">
        <v>7</v>
      </c>
      <c r="D42" s="313">
        <v>204612</v>
      </c>
      <c r="E42" s="129">
        <v>1600.6</v>
      </c>
      <c r="F42" s="129">
        <v>17541</v>
      </c>
      <c r="G42" s="307">
        <f>E42/$E$44</f>
        <v>2.052893494767084E-2</v>
      </c>
      <c r="H42" s="307">
        <f t="shared" si="11"/>
        <v>-8.0960036747818098E-2</v>
      </c>
      <c r="I42" s="313">
        <v>1741.6</v>
      </c>
      <c r="J42" s="129">
        <v>18931.3</v>
      </c>
      <c r="K42" s="307">
        <f t="shared" si="10"/>
        <v>2.8202128554681065E-2</v>
      </c>
    </row>
    <row r="43" spans="1:11" ht="11.1" customHeight="1">
      <c r="A43" s="437"/>
      <c r="B43" s="437"/>
      <c r="C43" s="154" t="s">
        <v>93</v>
      </c>
      <c r="D43" s="313">
        <v>19</v>
      </c>
      <c r="E43" s="129">
        <v>383.69299999999998</v>
      </c>
      <c r="F43" s="129">
        <v>4204.8019299999996</v>
      </c>
      <c r="G43" s="307">
        <f>E43/$E$44</f>
        <v>4.9211599630617688E-3</v>
      </c>
      <c r="H43" s="307">
        <f t="shared" si="11"/>
        <v>-5.082167144521664E-2</v>
      </c>
      <c r="I43" s="313">
        <v>404.23700000000002</v>
      </c>
      <c r="J43" s="129">
        <v>4393.9867300000005</v>
      </c>
      <c r="K43" s="307">
        <f t="shared" si="10"/>
        <v>6.5459025267332396E-3</v>
      </c>
    </row>
    <row r="44" spans="1:11" ht="11.1" customHeight="1">
      <c r="A44" s="442"/>
      <c r="B44" s="442"/>
      <c r="C44" s="318" t="s">
        <v>0</v>
      </c>
      <c r="D44" s="321">
        <v>217880</v>
      </c>
      <c r="E44" s="319">
        <v>77968</v>
      </c>
      <c r="F44" s="319">
        <v>854846.41429099988</v>
      </c>
      <c r="G44" s="320">
        <f>SUM(G39:G43)</f>
        <v>1</v>
      </c>
      <c r="H44" s="320">
        <f>(E44-I44)/I44</f>
        <v>0.262553720229314</v>
      </c>
      <c r="I44" s="321">
        <v>61754.204000000012</v>
      </c>
      <c r="J44" s="319">
        <v>672511.83306000021</v>
      </c>
      <c r="K44" s="320">
        <f>SUM(K39:K43)</f>
        <v>0.99999999999999989</v>
      </c>
    </row>
    <row r="45" spans="1:11" ht="11.1" customHeight="1">
      <c r="A45" s="443" t="str">
        <f>'3.1'!E5</f>
        <v>Srpen</v>
      </c>
      <c r="B45" s="443"/>
      <c r="C45" s="164" t="s">
        <v>4</v>
      </c>
      <c r="D45" s="312">
        <v>127</v>
      </c>
      <c r="E45" s="308">
        <v>68127.804999999993</v>
      </c>
      <c r="F45" s="308">
        <v>747317.65871300001</v>
      </c>
      <c r="G45" s="309">
        <f>E45/$E$50</f>
        <v>0.93785499361307478</v>
      </c>
      <c r="H45" s="309">
        <f>(E45-I45)/I45</f>
        <v>-0.14382669418222122</v>
      </c>
      <c r="I45" s="312">
        <v>79572.447</v>
      </c>
      <c r="J45" s="308">
        <v>864289.59721000004</v>
      </c>
      <c r="K45" s="309">
        <f>I45/$I$50</f>
        <v>0.9450337326406606</v>
      </c>
    </row>
    <row r="46" spans="1:11" ht="11.1" customHeight="1">
      <c r="A46" s="437"/>
      <c r="B46" s="437"/>
      <c r="C46" s="154" t="s">
        <v>5</v>
      </c>
      <c r="D46" s="313">
        <v>303</v>
      </c>
      <c r="E46" s="129">
        <v>1272.846</v>
      </c>
      <c r="F46" s="129">
        <v>13961.076889999998</v>
      </c>
      <c r="G46" s="307">
        <f t="shared" ref="G46:G49" si="12">E46/$E$50</f>
        <v>1.7522140588566267E-2</v>
      </c>
      <c r="H46" s="307">
        <f>(E46-I46)/I46</f>
        <v>-0.11371142211171095</v>
      </c>
      <c r="I46" s="313">
        <v>1436.153</v>
      </c>
      <c r="J46" s="129">
        <v>15583.583069999997</v>
      </c>
      <c r="K46" s="307">
        <f t="shared" ref="K46:K49" si="13">I46/$I$50</f>
        <v>1.705631888174914E-2</v>
      </c>
    </row>
    <row r="47" spans="1:11" ht="11.1" customHeight="1">
      <c r="A47" s="437"/>
      <c r="B47" s="437"/>
      <c r="C47" s="154" t="s">
        <v>6</v>
      </c>
      <c r="D47" s="313">
        <v>12803</v>
      </c>
      <c r="E47" s="129">
        <v>1074.999</v>
      </c>
      <c r="F47" s="129">
        <v>11736.684289999999</v>
      </c>
      <c r="G47" s="307">
        <f t="shared" si="12"/>
        <v>1.4798556628663757E-2</v>
      </c>
      <c r="H47" s="307">
        <f t="shared" ref="H47:H49" si="14">(E47-I47)/I47</f>
        <v>-3.9745635081563542E-2</v>
      </c>
      <c r="I47" s="313">
        <v>1119.4939999999999</v>
      </c>
      <c r="J47" s="129">
        <v>12135.291799999999</v>
      </c>
      <c r="K47" s="307">
        <f t="shared" si="13"/>
        <v>1.3295551832015718E-2</v>
      </c>
    </row>
    <row r="48" spans="1:11" ht="11.1" customHeight="1">
      <c r="A48" s="437"/>
      <c r="B48" s="437"/>
      <c r="C48" s="154" t="s">
        <v>7</v>
      </c>
      <c r="D48" s="313">
        <v>204439</v>
      </c>
      <c r="E48" s="129">
        <v>1752.4</v>
      </c>
      <c r="F48" s="129">
        <v>19220.8</v>
      </c>
      <c r="G48" s="307">
        <f t="shared" si="12"/>
        <v>2.4123734660283749E-2</v>
      </c>
      <c r="H48" s="307">
        <f t="shared" si="14"/>
        <v>4.2598762494050535E-2</v>
      </c>
      <c r="I48" s="313">
        <v>1680.8</v>
      </c>
      <c r="J48" s="129">
        <v>18237.099999999999</v>
      </c>
      <c r="K48" s="307">
        <f t="shared" si="13"/>
        <v>1.9961843046279855E-2</v>
      </c>
    </row>
    <row r="49" spans="1:11" ht="11.1" customHeight="1">
      <c r="A49" s="437"/>
      <c r="B49" s="437"/>
      <c r="C49" s="154" t="s">
        <v>93</v>
      </c>
      <c r="D49" s="313">
        <v>19</v>
      </c>
      <c r="E49" s="129">
        <v>414.10199999999998</v>
      </c>
      <c r="F49" s="129">
        <v>4541.9787000000006</v>
      </c>
      <c r="G49" s="307">
        <f t="shared" si="12"/>
        <v>5.7005745094115615E-3</v>
      </c>
      <c r="H49" s="307">
        <f t="shared" si="14"/>
        <v>5.7062193042466035E-2</v>
      </c>
      <c r="I49" s="313">
        <v>391.74799999999999</v>
      </c>
      <c r="J49" s="129">
        <v>4250.6844600000004</v>
      </c>
      <c r="K49" s="307">
        <f t="shared" si="13"/>
        <v>4.6525535992944077E-3</v>
      </c>
    </row>
    <row r="50" spans="1:11" ht="11.1" customHeight="1">
      <c r="A50" s="442"/>
      <c r="B50" s="442"/>
      <c r="C50" s="318" t="s">
        <v>0</v>
      </c>
      <c r="D50" s="321">
        <v>217691</v>
      </c>
      <c r="E50" s="319">
        <v>72642.151999999987</v>
      </c>
      <c r="F50" s="319">
        <v>796778.19859300007</v>
      </c>
      <c r="G50" s="320">
        <f>SUM(G45:G49)</f>
        <v>1.0000000000000002</v>
      </c>
      <c r="H50" s="320">
        <f t="shared" ref="H50" si="15">(E50-I50)/I50</f>
        <v>-0.13727318136125413</v>
      </c>
      <c r="I50" s="321">
        <v>84200.642000000022</v>
      </c>
      <c r="J50" s="319">
        <v>914496.25654000009</v>
      </c>
      <c r="K50" s="320">
        <f>SUM(K45:K49)</f>
        <v>0.99999999999999978</v>
      </c>
    </row>
    <row r="51" spans="1:11" ht="11.1" customHeight="1">
      <c r="A51" s="443" t="str">
        <f>'3.1'!F5</f>
        <v>Září</v>
      </c>
      <c r="B51" s="443"/>
      <c r="C51" s="164" t="s">
        <v>4</v>
      </c>
      <c r="D51" s="312">
        <v>127</v>
      </c>
      <c r="E51" s="308">
        <v>72727.725999999995</v>
      </c>
      <c r="F51" s="308">
        <v>799530.36504499987</v>
      </c>
      <c r="G51" s="309">
        <f>E51/$E$56</f>
        <v>0.94108679733892231</v>
      </c>
      <c r="H51" s="309">
        <f>(E51-I51)/I51</f>
        <v>6.0309978842123295E-2</v>
      </c>
      <c r="I51" s="312">
        <v>68591.004000000001</v>
      </c>
      <c r="J51" s="308">
        <v>752024.15427000006</v>
      </c>
      <c r="K51" s="309">
        <f>I51/$I$56</f>
        <v>0.89296885392620773</v>
      </c>
    </row>
    <row r="52" spans="1:11" ht="11.1" customHeight="1">
      <c r="A52" s="437"/>
      <c r="B52" s="437"/>
      <c r="C52" s="154" t="s">
        <v>5</v>
      </c>
      <c r="D52" s="313">
        <v>305</v>
      </c>
      <c r="E52" s="129">
        <v>1277.498</v>
      </c>
      <c r="F52" s="129">
        <v>14027.831389999996</v>
      </c>
      <c r="G52" s="307">
        <f t="shared" ref="G52:G55" si="16">E52/$E$56</f>
        <v>1.6530648867350516E-2</v>
      </c>
      <c r="H52" s="307">
        <f t="shared" ref="H52:H55" si="17">(E52-I52)/I52</f>
        <v>-0.31841800168915224</v>
      </c>
      <c r="I52" s="313">
        <v>1874.3130000000001</v>
      </c>
      <c r="J52" s="129">
        <v>20498.249800000001</v>
      </c>
      <c r="K52" s="307">
        <f t="shared" ref="K52:K55" si="18">I52/$I$56</f>
        <v>2.4401204733918054E-2</v>
      </c>
    </row>
    <row r="53" spans="1:11" ht="11.1" customHeight="1">
      <c r="A53" s="437"/>
      <c r="B53" s="437"/>
      <c r="C53" s="154" t="s">
        <v>6</v>
      </c>
      <c r="D53" s="313">
        <v>12787</v>
      </c>
      <c r="E53" s="129">
        <v>1117.9759999999999</v>
      </c>
      <c r="F53" s="129">
        <v>12221.156340000001</v>
      </c>
      <c r="G53" s="307">
        <f t="shared" si="16"/>
        <v>1.4466456071261997E-2</v>
      </c>
      <c r="H53" s="307">
        <f t="shared" si="17"/>
        <v>-0.50167886123597893</v>
      </c>
      <c r="I53" s="313">
        <v>2243.4850000000001</v>
      </c>
      <c r="J53" s="129">
        <v>24522.499540000001</v>
      </c>
      <c r="K53" s="307">
        <f t="shared" si="18"/>
        <v>2.9207361205131774E-2</v>
      </c>
    </row>
    <row r="54" spans="1:11" ht="11.1" customHeight="1">
      <c r="A54" s="437"/>
      <c r="B54" s="437"/>
      <c r="C54" s="154" t="s">
        <v>7</v>
      </c>
      <c r="D54" s="313">
        <v>204281</v>
      </c>
      <c r="E54" s="129">
        <v>1743.8</v>
      </c>
      <c r="F54" s="129">
        <v>19148.400000000001</v>
      </c>
      <c r="G54" s="307">
        <f t="shared" si="16"/>
        <v>2.2564532778044138E-2</v>
      </c>
      <c r="H54" s="307">
        <f t="shared" si="17"/>
        <v>-0.53421657139804479</v>
      </c>
      <c r="I54" s="313">
        <v>3743.8</v>
      </c>
      <c r="J54" s="129">
        <v>40943.800000000003</v>
      </c>
      <c r="K54" s="307">
        <f t="shared" si="18"/>
        <v>4.8739580999994356E-2</v>
      </c>
    </row>
    <row r="55" spans="1:11" ht="11.1" customHeight="1">
      <c r="A55" s="437"/>
      <c r="B55" s="437"/>
      <c r="C55" s="154" t="s">
        <v>93</v>
      </c>
      <c r="D55" s="313">
        <v>19</v>
      </c>
      <c r="E55" s="129">
        <v>413.572</v>
      </c>
      <c r="F55" s="129">
        <v>4541.3231100000012</v>
      </c>
      <c r="G55" s="307">
        <f t="shared" si="16"/>
        <v>5.3515649444209603E-3</v>
      </c>
      <c r="H55" s="307">
        <f t="shared" si="17"/>
        <v>0.14973089582777338</v>
      </c>
      <c r="I55" s="313">
        <v>359.71199999999999</v>
      </c>
      <c r="J55" s="129">
        <v>3934.0026899999998</v>
      </c>
      <c r="K55" s="307">
        <f t="shared" si="18"/>
        <v>4.6829991347481078E-3</v>
      </c>
    </row>
    <row r="56" spans="1:11" ht="11.1" customHeight="1">
      <c r="A56" s="442"/>
      <c r="B56" s="442"/>
      <c r="C56" s="318" t="s">
        <v>0</v>
      </c>
      <c r="D56" s="321">
        <v>217519</v>
      </c>
      <c r="E56" s="319">
        <v>77280.572</v>
      </c>
      <c r="F56" s="319">
        <v>849469.07588499982</v>
      </c>
      <c r="G56" s="320">
        <f>SUM(G51:G55)</f>
        <v>0.99999999999999989</v>
      </c>
      <c r="H56" s="320">
        <f t="shared" ref="H56" si="19">(E56-I56)/I56</f>
        <v>6.0961319300965417E-3</v>
      </c>
      <c r="I56" s="321">
        <v>76812.313999999998</v>
      </c>
      <c r="J56" s="319">
        <v>841922.70630000008</v>
      </c>
      <c r="K56" s="320">
        <f>SUM(K51:K55)</f>
        <v>1</v>
      </c>
    </row>
    <row r="57" spans="1:11" ht="11.1" customHeight="1">
      <c r="A57" s="500" t="str">
        <f>'3.1'!G5</f>
        <v>III. čtvrtletí</v>
      </c>
      <c r="B57" s="443"/>
      <c r="C57" s="164" t="s">
        <v>4</v>
      </c>
      <c r="D57" s="312">
        <f>D51</f>
        <v>127</v>
      </c>
      <c r="E57" s="308">
        <f>E39+E45+E51</f>
        <v>214815.21599999999</v>
      </c>
      <c r="F57" s="308">
        <f>F39+F45+F51</f>
        <v>2357813.8266189997</v>
      </c>
      <c r="G57" s="309">
        <f>E57/$E$62</f>
        <v>0.94262378138743386</v>
      </c>
      <c r="H57" s="309">
        <f>(E57-I57)/I57</f>
        <v>4.5760844980338854E-2</v>
      </c>
      <c r="I57" s="312">
        <f>I39+I45+I51</f>
        <v>205415.24100000004</v>
      </c>
      <c r="J57" s="308">
        <f>J39+J45+J51</f>
        <v>2239900.5653300006</v>
      </c>
      <c r="K57" s="309">
        <f>I57/$I$62</f>
        <v>0.92210737435446055</v>
      </c>
    </row>
    <row r="58" spans="1:11" ht="11.1" customHeight="1">
      <c r="A58" s="437"/>
      <c r="B58" s="437"/>
      <c r="C58" s="154" t="s">
        <v>5</v>
      </c>
      <c r="D58" s="313">
        <f>D52</f>
        <v>305</v>
      </c>
      <c r="E58" s="129">
        <f t="shared" ref="E58:F59" si="20">E40+E46+E52</f>
        <v>3706.3240000000001</v>
      </c>
      <c r="F58" s="129">
        <f t="shared" si="20"/>
        <v>40656.768589999992</v>
      </c>
      <c r="G58" s="307">
        <f t="shared" ref="G58:G61" si="21">E58/$E$62</f>
        <v>1.626360184805065E-2</v>
      </c>
      <c r="H58" s="307">
        <f t="shared" ref="H58:H61" si="22">(E58-I58)/I58</f>
        <v>-0.17869436672589176</v>
      </c>
      <c r="I58" s="313">
        <f t="shared" ref="I58:J58" si="23">I40+I46+I52</f>
        <v>4512.7219999999998</v>
      </c>
      <c r="J58" s="129">
        <f t="shared" si="23"/>
        <v>49149.897040000011</v>
      </c>
      <c r="K58" s="307">
        <f t="shared" ref="K58:K61" si="24">I58/$I$62</f>
        <v>2.0257572974400711E-2</v>
      </c>
    </row>
    <row r="59" spans="1:11" ht="11.1" customHeight="1">
      <c r="A59" s="437"/>
      <c r="B59" s="437"/>
      <c r="C59" s="154" t="s">
        <v>6</v>
      </c>
      <c r="D59" s="313">
        <f>D53</f>
        <v>12787</v>
      </c>
      <c r="E59" s="129">
        <f>E41+E47+E53</f>
        <v>3061.0169999999998</v>
      </c>
      <c r="F59" s="129">
        <f t="shared" si="20"/>
        <v>33424.789819999998</v>
      </c>
      <c r="G59" s="307">
        <f t="shared" si="21"/>
        <v>1.3431950832715773E-2</v>
      </c>
      <c r="H59" s="307">
        <f t="shared" si="22"/>
        <v>-0.32237907599672377</v>
      </c>
      <c r="I59" s="313">
        <f>I41+I47+I53</f>
        <v>4517.3</v>
      </c>
      <c r="J59" s="129">
        <f t="shared" ref="J59" si="25">J41+J47+J53</f>
        <v>49189.459650000004</v>
      </c>
      <c r="K59" s="307">
        <f t="shared" si="24"/>
        <v>2.0278123579795151E-2</v>
      </c>
    </row>
    <row r="60" spans="1:11" ht="11.1" customHeight="1">
      <c r="A60" s="437"/>
      <c r="B60" s="437"/>
      <c r="C60" s="154" t="s">
        <v>7</v>
      </c>
      <c r="D60" s="313">
        <f>D54</f>
        <v>204281</v>
      </c>
      <c r="E60" s="129">
        <f t="shared" ref="E60:F61" si="26">E42+E48+E54</f>
        <v>5096.8</v>
      </c>
      <c r="F60" s="129">
        <f t="shared" si="26"/>
        <v>55910.200000000004</v>
      </c>
      <c r="G60" s="307">
        <f t="shared" si="21"/>
        <v>2.2365105128192935E-2</v>
      </c>
      <c r="H60" s="307">
        <f t="shared" si="22"/>
        <v>-0.2887722921492562</v>
      </c>
      <c r="I60" s="313">
        <f t="shared" ref="I60:J60" si="27">I42+I48+I54</f>
        <v>7166.2</v>
      </c>
      <c r="J60" s="129">
        <f t="shared" si="27"/>
        <v>78112.2</v>
      </c>
      <c r="K60" s="307">
        <f t="shared" si="24"/>
        <v>3.2169014499264605E-2</v>
      </c>
    </row>
    <row r="61" spans="1:11" ht="11.1" customHeight="1">
      <c r="A61" s="437"/>
      <c r="B61" s="437"/>
      <c r="C61" s="154" t="s">
        <v>93</v>
      </c>
      <c r="D61" s="313">
        <f>D55</f>
        <v>19</v>
      </c>
      <c r="E61" s="129">
        <f>E43+E49+E55</f>
        <v>1211.367</v>
      </c>
      <c r="F61" s="129">
        <f t="shared" si="26"/>
        <v>13288.103740000002</v>
      </c>
      <c r="G61" s="307">
        <f t="shared" si="21"/>
        <v>5.3155608036069089E-3</v>
      </c>
      <c r="H61" s="307">
        <f t="shared" si="22"/>
        <v>4.8170065337194645E-2</v>
      </c>
      <c r="I61" s="313">
        <f>I43+I49+I55</f>
        <v>1155.6970000000001</v>
      </c>
      <c r="J61" s="129">
        <f t="shared" ref="J61" si="28">J43+J49+J55</f>
        <v>12578.67388</v>
      </c>
      <c r="K61" s="307">
        <f t="shared" si="24"/>
        <v>5.1879145920790118E-3</v>
      </c>
    </row>
    <row r="62" spans="1:11" ht="11.1" customHeight="1">
      <c r="A62" s="442"/>
      <c r="B62" s="442"/>
      <c r="C62" s="318" t="s">
        <v>0</v>
      </c>
      <c r="D62" s="321">
        <f>SUM(D57:D61)</f>
        <v>217519</v>
      </c>
      <c r="E62" s="319">
        <f>SUM(E57:E61)</f>
        <v>227890.72399999996</v>
      </c>
      <c r="F62" s="319">
        <f>SUM(F57:F61)</f>
        <v>2501093.6887690001</v>
      </c>
      <c r="G62" s="320">
        <f>SUM(G57:G61)</f>
        <v>1</v>
      </c>
      <c r="H62" s="320">
        <f>(E62-I62)/I62</f>
        <v>2.2999637828124777E-2</v>
      </c>
      <c r="I62" s="321">
        <f>SUM(I57:I61)</f>
        <v>222767.16000000003</v>
      </c>
      <c r="J62" s="319">
        <f>SUM(J57:J61)</f>
        <v>2428930.7959000012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20"/>
  <sheetViews>
    <sheetView showGridLines="0" topLeftCell="A7" zoomScaleNormal="100" zoomScaleSheetLayoutView="100" workbookViewId="0">
      <selection activeCell="G1" sqref="G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09" t="s">
        <v>309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26"/>
      <c r="B3" s="526"/>
      <c r="C3" s="526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487" t="s">
        <v>46</v>
      </c>
      <c r="B4" s="487"/>
      <c r="C4" s="487"/>
      <c r="D4" s="481">
        <f>'3.1'!A4</f>
        <v>2023</v>
      </c>
      <c r="E4" s="353"/>
      <c r="F4" s="342"/>
      <c r="G4" s="342"/>
      <c r="H4" s="342"/>
      <c r="I4" s="481">
        <f>D4-1</f>
        <v>2022</v>
      </c>
      <c r="J4" s="482"/>
      <c r="K4" s="482"/>
    </row>
    <row r="5" spans="1:16" ht="24.95" customHeight="1">
      <c r="A5" s="354"/>
      <c r="B5" s="354"/>
      <c r="C5" s="354"/>
      <c r="D5" s="483"/>
      <c r="E5" s="355"/>
      <c r="F5" s="356"/>
      <c r="G5" s="356"/>
      <c r="H5" s="357"/>
      <c r="I5" s="483"/>
      <c r="J5" s="484"/>
      <c r="K5" s="484"/>
    </row>
    <row r="6" spans="1:16" ht="24.95" customHeight="1">
      <c r="A6" s="304"/>
      <c r="B6" s="272"/>
      <c r="C6" s="305"/>
      <c r="D6" s="364" t="s">
        <v>159</v>
      </c>
      <c r="E6" s="479" t="s">
        <v>60</v>
      </c>
      <c r="F6" s="479"/>
      <c r="G6" s="480" t="s">
        <v>33</v>
      </c>
      <c r="H6" s="480" t="s">
        <v>270</v>
      </c>
      <c r="I6" s="478" t="s">
        <v>60</v>
      </c>
      <c r="J6" s="479"/>
      <c r="K6" s="480" t="s">
        <v>33</v>
      </c>
    </row>
    <row r="7" spans="1:16" ht="24.95" customHeight="1">
      <c r="A7" s="304"/>
      <c r="B7" s="306"/>
      <c r="D7" s="365"/>
      <c r="E7" s="479"/>
      <c r="F7" s="479"/>
      <c r="G7" s="480"/>
      <c r="H7" s="480"/>
      <c r="I7" s="478"/>
      <c r="J7" s="479"/>
      <c r="K7" s="480"/>
    </row>
    <row r="8" spans="1:16" ht="15" customHeight="1">
      <c r="A8" s="488" t="s">
        <v>158</v>
      </c>
      <c r="B8" s="488"/>
      <c r="C8" s="323" t="s">
        <v>184</v>
      </c>
      <c r="D8" s="343"/>
      <c r="E8" s="219" t="s">
        <v>261</v>
      </c>
      <c r="F8" s="219" t="s">
        <v>262</v>
      </c>
      <c r="G8" s="476"/>
      <c r="H8" s="476"/>
      <c r="I8" s="221" t="s">
        <v>261</v>
      </c>
      <c r="J8" s="219" t="s">
        <v>262</v>
      </c>
      <c r="K8" s="476"/>
    </row>
    <row r="9" spans="1:16" ht="11.1" customHeight="1">
      <c r="A9" s="443" t="str">
        <f>'3.1'!D5</f>
        <v>Červenec</v>
      </c>
      <c r="B9" s="443"/>
      <c r="C9" s="164" t="s">
        <v>4</v>
      </c>
      <c r="D9" s="312">
        <v>92</v>
      </c>
      <c r="E9" s="308">
        <v>5165.4051800000007</v>
      </c>
      <c r="F9" s="308">
        <v>56605.812079999989</v>
      </c>
      <c r="G9" s="309">
        <f>E9/$E$14</f>
        <v>0.6297866529685261</v>
      </c>
      <c r="H9" s="309">
        <f>(E9-I9)/I9</f>
        <v>-9.9451419773020605E-2</v>
      </c>
      <c r="I9" s="312">
        <v>5735.8429000000006</v>
      </c>
      <c r="J9" s="308">
        <v>62310.183520000013</v>
      </c>
      <c r="K9" s="309">
        <f>I9/$I$14</f>
        <v>0.62168661884665155</v>
      </c>
    </row>
    <row r="10" spans="1:16" ht="11.1" customHeight="1">
      <c r="A10" s="437"/>
      <c r="B10" s="437"/>
      <c r="C10" s="154" t="s">
        <v>5</v>
      </c>
      <c r="D10" s="313">
        <v>313</v>
      </c>
      <c r="E10" s="129">
        <v>977.79477000000009</v>
      </c>
      <c r="F10" s="129">
        <v>10715.348590000005</v>
      </c>
      <c r="G10" s="307">
        <f>E10/$E$14</f>
        <v>0.11921661012629986</v>
      </c>
      <c r="H10" s="307">
        <f>(E10-I10)/I10</f>
        <v>-9.0198270565409119E-2</v>
      </c>
      <c r="I10" s="313">
        <v>1074.7339100000002</v>
      </c>
      <c r="J10" s="129">
        <v>11673.432520000004</v>
      </c>
      <c r="K10" s="307">
        <f>I10/$I$14</f>
        <v>0.11648640004902183</v>
      </c>
      <c r="L10" s="93"/>
      <c r="N10" s="93"/>
      <c r="O10" s="93"/>
      <c r="P10" s="93"/>
    </row>
    <row r="11" spans="1:16" ht="11.1" customHeight="1">
      <c r="A11" s="437"/>
      <c r="B11" s="437"/>
      <c r="C11" s="154" t="s">
        <v>6</v>
      </c>
      <c r="D11" s="313">
        <v>10714</v>
      </c>
      <c r="E11" s="129">
        <v>708.64792</v>
      </c>
      <c r="F11" s="129">
        <v>7765.8012100000005</v>
      </c>
      <c r="G11" s="307">
        <f>E11/$E$14</f>
        <v>8.6401160435183477E-2</v>
      </c>
      <c r="H11" s="307">
        <f t="shared" ref="H11:H13" si="0">(E11-I11)/I11</f>
        <v>-0.2667795987014453</v>
      </c>
      <c r="I11" s="313">
        <v>966.48690999999985</v>
      </c>
      <c r="J11" s="129">
        <v>10500.712380000001</v>
      </c>
      <c r="K11" s="307">
        <f>I11/$I$14</f>
        <v>0.10475391144995409</v>
      </c>
      <c r="L11" s="93"/>
      <c r="N11" s="93"/>
      <c r="O11" s="93"/>
      <c r="P11" s="93"/>
    </row>
    <row r="12" spans="1:16" ht="11.1" customHeight="1">
      <c r="A12" s="437"/>
      <c r="B12" s="437"/>
      <c r="C12" s="154" t="s">
        <v>7</v>
      </c>
      <c r="D12" s="313">
        <v>107405</v>
      </c>
      <c r="E12" s="129">
        <v>1172.0914899999998</v>
      </c>
      <c r="F12" s="129">
        <v>12845.018040000001</v>
      </c>
      <c r="G12" s="307">
        <f>E12/$E$14</f>
        <v>0.14290603558421963</v>
      </c>
      <c r="H12" s="307">
        <f t="shared" si="0"/>
        <v>-7.7375267625891184E-2</v>
      </c>
      <c r="I12" s="313">
        <v>1270.3881099999999</v>
      </c>
      <c r="J12" s="129">
        <v>13804.43527</v>
      </c>
      <c r="K12" s="307">
        <f>I12/$I$14</f>
        <v>0.13769262905176288</v>
      </c>
      <c r="L12" s="93"/>
      <c r="N12" s="93"/>
      <c r="O12" s="93"/>
      <c r="P12" s="93"/>
    </row>
    <row r="13" spans="1:16" ht="11.1" customHeight="1">
      <c r="A13" s="437"/>
      <c r="B13" s="437"/>
      <c r="C13" s="154" t="s">
        <v>93</v>
      </c>
      <c r="D13" s="313">
        <v>15</v>
      </c>
      <c r="E13" s="129">
        <v>177.89400000000001</v>
      </c>
      <c r="F13" s="129">
        <v>1949.5284799999999</v>
      </c>
      <c r="G13" s="307">
        <f>E13/$E$14</f>
        <v>2.1689540885770933E-2</v>
      </c>
      <c r="H13" s="307">
        <f t="shared" si="0"/>
        <v>-5.1171920876465502E-3</v>
      </c>
      <c r="I13" s="313">
        <v>178.809</v>
      </c>
      <c r="J13" s="129">
        <v>1941.0045299999997</v>
      </c>
      <c r="K13" s="307">
        <f>I13/$I$14</f>
        <v>1.9380440602609759E-2</v>
      </c>
      <c r="L13" s="93"/>
      <c r="N13" s="93"/>
      <c r="O13" s="93"/>
      <c r="P13" s="93"/>
    </row>
    <row r="14" spans="1:16" ht="11.1" customHeight="1">
      <c r="A14" s="442"/>
      <c r="B14" s="442"/>
      <c r="C14" s="318" t="s">
        <v>0</v>
      </c>
      <c r="D14" s="321">
        <v>118539</v>
      </c>
      <c r="E14" s="319">
        <v>8201.8333600000005</v>
      </c>
      <c r="F14" s="319">
        <v>89881.508399999992</v>
      </c>
      <c r="G14" s="320">
        <f>SUM(G9:G13)</f>
        <v>1.0000000000000002</v>
      </c>
      <c r="H14" s="320">
        <f>(E14-I14)/I14</f>
        <v>-0.11103387264632522</v>
      </c>
      <c r="I14" s="321">
        <v>9226.2608299999993</v>
      </c>
      <c r="J14" s="319">
        <v>100229.76822000003</v>
      </c>
      <c r="K14" s="320">
        <f>SUM(K9:K13)</f>
        <v>1</v>
      </c>
      <c r="L14" s="93"/>
    </row>
    <row r="15" spans="1:16" ht="11.1" customHeight="1">
      <c r="A15" s="443" t="str">
        <f>'3.1'!E5</f>
        <v>Srpen</v>
      </c>
      <c r="B15" s="443"/>
      <c r="C15" s="164" t="s">
        <v>4</v>
      </c>
      <c r="D15" s="312">
        <v>91</v>
      </c>
      <c r="E15" s="308">
        <v>6178.9463999999989</v>
      </c>
      <c r="F15" s="308">
        <v>67771.215220000013</v>
      </c>
      <c r="G15" s="309">
        <f>E15/$E$20</f>
        <v>0.63165590695881102</v>
      </c>
      <c r="H15" s="309">
        <f>(E15-I15)/I15</f>
        <v>-4.4376210069700994E-2</v>
      </c>
      <c r="I15" s="312">
        <v>6465.8775400000004</v>
      </c>
      <c r="J15" s="308">
        <v>70172.428880000021</v>
      </c>
      <c r="K15" s="309">
        <f>I15/$I$20</f>
        <v>0.63915023309798735</v>
      </c>
      <c r="L15" s="93"/>
      <c r="M15" s="93"/>
    </row>
    <row r="16" spans="1:16" ht="11.1" customHeight="1">
      <c r="A16" s="437"/>
      <c r="B16" s="437"/>
      <c r="C16" s="154" t="s">
        <v>5</v>
      </c>
      <c r="D16" s="313">
        <v>313</v>
      </c>
      <c r="E16" s="129">
        <v>1260.3293800000001</v>
      </c>
      <c r="F16" s="129">
        <v>13823.00029</v>
      </c>
      <c r="G16" s="307">
        <f>E16/$E$20</f>
        <v>0.128839845186347</v>
      </c>
      <c r="H16" s="307">
        <f>(E16-I16)/I16</f>
        <v>-3.9651560211327007E-2</v>
      </c>
      <c r="I16" s="313">
        <v>1312.3667699999999</v>
      </c>
      <c r="J16" s="129">
        <v>14245.72985</v>
      </c>
      <c r="K16" s="307">
        <f>I16/$I$20</f>
        <v>0.12972709763933335</v>
      </c>
      <c r="L16" s="97"/>
      <c r="M16" s="93"/>
    </row>
    <row r="17" spans="1:20" ht="11.1" customHeight="1">
      <c r="A17" s="437"/>
      <c r="B17" s="437"/>
      <c r="C17" s="154" t="s">
        <v>6</v>
      </c>
      <c r="D17" s="313">
        <v>10699</v>
      </c>
      <c r="E17" s="129">
        <v>875.91643999999997</v>
      </c>
      <c r="F17" s="129">
        <v>9607.2530100000004</v>
      </c>
      <c r="G17" s="307">
        <f>E17/$E$20</f>
        <v>8.9542416702034028E-2</v>
      </c>
      <c r="H17" s="307">
        <f t="shared" ref="H17:H20" si="1">(E17-I17)/I17</f>
        <v>-7.151761323681724E-2</v>
      </c>
      <c r="I17" s="313">
        <v>943.38508999999999</v>
      </c>
      <c r="J17" s="129">
        <v>10237.169690000001</v>
      </c>
      <c r="K17" s="307">
        <f>I17/$I$20</f>
        <v>9.3253359106251446E-2</v>
      </c>
      <c r="L17" s="93"/>
      <c r="M17" s="93"/>
      <c r="N17" s="93"/>
      <c r="O17" s="93"/>
    </row>
    <row r="18" spans="1:20" ht="11.1" customHeight="1">
      <c r="A18" s="437"/>
      <c r="B18" s="437"/>
      <c r="C18" s="154" t="s">
        <v>7</v>
      </c>
      <c r="D18" s="313">
        <v>107319</v>
      </c>
      <c r="E18" s="129">
        <v>1286.9785999999999</v>
      </c>
      <c r="F18" s="129">
        <v>14115.826220000001</v>
      </c>
      <c r="G18" s="307">
        <f>E18/$E$20</f>
        <v>0.13156411824831185</v>
      </c>
      <c r="H18" s="307">
        <f t="shared" si="1"/>
        <v>5.3071970434418532E-2</v>
      </c>
      <c r="I18" s="313">
        <v>1222.1183700000001</v>
      </c>
      <c r="J18" s="129">
        <v>13262.554099999999</v>
      </c>
      <c r="K18" s="307">
        <f>I18/$I$20</f>
        <v>0.1208060678889431</v>
      </c>
      <c r="L18" s="93"/>
      <c r="M18" s="93"/>
      <c r="N18" s="93"/>
      <c r="O18" s="93"/>
    </row>
    <row r="19" spans="1:20" ht="11.1" customHeight="1">
      <c r="A19" s="437"/>
      <c r="B19" s="437"/>
      <c r="C19" s="154" t="s">
        <v>93</v>
      </c>
      <c r="D19" s="313">
        <v>15</v>
      </c>
      <c r="E19" s="129">
        <v>179.96899999999999</v>
      </c>
      <c r="F19" s="129">
        <v>1973.8873799999997</v>
      </c>
      <c r="G19" s="307">
        <f>E19/$E$20</f>
        <v>1.839771290449619E-2</v>
      </c>
      <c r="H19" s="307">
        <f t="shared" si="1"/>
        <v>4.2585361897368751E-2</v>
      </c>
      <c r="I19" s="313">
        <v>172.61799999999999</v>
      </c>
      <c r="J19" s="129">
        <v>1873.6717899999999</v>
      </c>
      <c r="K19" s="307">
        <f>I19/$I$20</f>
        <v>1.7063242267484759E-2</v>
      </c>
      <c r="L19" s="93"/>
      <c r="M19" s="93"/>
      <c r="N19" s="93"/>
      <c r="O19" s="93"/>
    </row>
    <row r="20" spans="1:20" ht="11.1" customHeight="1">
      <c r="A20" s="442"/>
      <c r="B20" s="442"/>
      <c r="C20" s="318" t="s">
        <v>0</v>
      </c>
      <c r="D20" s="321">
        <v>118437</v>
      </c>
      <c r="E20" s="319">
        <v>9782.1398199999985</v>
      </c>
      <c r="F20" s="319">
        <v>107291.18212000001</v>
      </c>
      <c r="G20" s="320">
        <f>SUM(G15:G19)</f>
        <v>1</v>
      </c>
      <c r="H20" s="320">
        <f t="shared" si="1"/>
        <v>-3.3038144092332661E-2</v>
      </c>
      <c r="I20" s="321">
        <v>10116.36577</v>
      </c>
      <c r="J20" s="319">
        <v>109791.55431000001</v>
      </c>
      <c r="K20" s="320">
        <f>SUM(K15:K19)</f>
        <v>1</v>
      </c>
      <c r="L20" s="93"/>
      <c r="M20" s="93"/>
      <c r="N20" s="93"/>
      <c r="O20" s="93"/>
    </row>
    <row r="21" spans="1:20" ht="11.1" customHeight="1">
      <c r="A21" s="443" t="str">
        <f>'3.1'!F5</f>
        <v>Září</v>
      </c>
      <c r="B21" s="443"/>
      <c r="C21" s="164" t="s">
        <v>4</v>
      </c>
      <c r="D21" s="312">
        <v>91</v>
      </c>
      <c r="E21" s="308">
        <v>5831.6105900000002</v>
      </c>
      <c r="F21" s="308">
        <v>64021.706350000008</v>
      </c>
      <c r="G21" s="309">
        <f>E21/$E$26</f>
        <v>0.62052647323601107</v>
      </c>
      <c r="H21" s="309">
        <f>(E21-I21)/I21</f>
        <v>-0.13434885525481297</v>
      </c>
      <c r="I21" s="312">
        <v>6736.6751899999999</v>
      </c>
      <c r="J21" s="308">
        <v>73622.063370000018</v>
      </c>
      <c r="K21" s="309">
        <f>I21/$I$26</f>
        <v>0.50427439717311451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7"/>
      <c r="B22" s="437"/>
      <c r="C22" s="154" t="s">
        <v>5</v>
      </c>
      <c r="D22" s="313">
        <v>313</v>
      </c>
      <c r="E22" s="129">
        <v>1193.98035</v>
      </c>
      <c r="F22" s="129">
        <v>13106.91522000001</v>
      </c>
      <c r="G22" s="307">
        <f>E22/$E$26</f>
        <v>0.12704833497783297</v>
      </c>
      <c r="H22" s="307">
        <f t="shared" ref="H22:H26" si="2">(E22-I22)/I22</f>
        <v>-0.28402181924846548</v>
      </c>
      <c r="I22" s="313">
        <v>1667.62114</v>
      </c>
      <c r="J22" s="129">
        <v>18222.159999999993</v>
      </c>
      <c r="K22" s="307">
        <f>I22/$I$26</f>
        <v>0.12482992297668459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7"/>
      <c r="B23" s="437"/>
      <c r="C23" s="154" t="s">
        <v>6</v>
      </c>
      <c r="D23" s="313">
        <v>10684</v>
      </c>
      <c r="E23" s="129">
        <v>911.23850000000004</v>
      </c>
      <c r="F23" s="129">
        <v>10005.07884</v>
      </c>
      <c r="G23" s="307">
        <f>E23/$E$26</f>
        <v>9.6962512149130459E-2</v>
      </c>
      <c r="H23" s="307">
        <f t="shared" si="2"/>
        <v>-0.54820576872334414</v>
      </c>
      <c r="I23" s="313">
        <v>2016.9325699999999</v>
      </c>
      <c r="J23" s="129">
        <v>22044.189780000001</v>
      </c>
      <c r="K23" s="307">
        <f>I23/$I$26</f>
        <v>0.15097765992716217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7"/>
      <c r="B24" s="437"/>
      <c r="C24" s="154" t="s">
        <v>7</v>
      </c>
      <c r="D24" s="313">
        <v>107236</v>
      </c>
      <c r="E24" s="129">
        <v>1283.8149100000001</v>
      </c>
      <c r="F24" s="129">
        <v>14095.646620000001</v>
      </c>
      <c r="G24" s="307">
        <f>E24/$E$26</f>
        <v>0.1366073962064924</v>
      </c>
      <c r="H24" s="307">
        <f t="shared" si="2"/>
        <v>-0.53826083362718602</v>
      </c>
      <c r="I24" s="313">
        <v>2780.3898899999999</v>
      </c>
      <c r="J24" s="129">
        <v>30393.232769999999</v>
      </c>
      <c r="K24" s="307">
        <f>I24/$I$26</f>
        <v>0.20812632287322319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7"/>
      <c r="B25" s="437"/>
      <c r="C25" s="154" t="s">
        <v>93</v>
      </c>
      <c r="D25" s="313">
        <v>15</v>
      </c>
      <c r="E25" s="129">
        <v>177.19900000000001</v>
      </c>
      <c r="F25" s="129">
        <v>1945.1139099999998</v>
      </c>
      <c r="G25" s="307">
        <f>E25/$E$26</f>
        <v>1.8855283430533026E-2</v>
      </c>
      <c r="H25" s="307">
        <f t="shared" si="2"/>
        <v>0.12488017927085533</v>
      </c>
      <c r="I25" s="313">
        <v>157.52699999999999</v>
      </c>
      <c r="J25" s="129">
        <v>1719.5150099999998</v>
      </c>
      <c r="K25" s="307">
        <f>I25/$I$26</f>
        <v>1.1791697049815638E-2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42"/>
      <c r="B26" s="442"/>
      <c r="C26" s="318" t="s">
        <v>0</v>
      </c>
      <c r="D26" s="321">
        <v>118339</v>
      </c>
      <c r="E26" s="319">
        <v>9397.843350000001</v>
      </c>
      <c r="F26" s="319">
        <v>103174.46094000002</v>
      </c>
      <c r="G26" s="320">
        <f>SUM(G21:G25)</f>
        <v>0.99999999999999989</v>
      </c>
      <c r="H26" s="320">
        <f t="shared" si="2"/>
        <v>-0.2965236327434374</v>
      </c>
      <c r="I26" s="321">
        <v>13359.145789999999</v>
      </c>
      <c r="J26" s="319">
        <v>146001.16093000001</v>
      </c>
      <c r="K26" s="320">
        <f>SUM(K21:K25)</f>
        <v>1</v>
      </c>
    </row>
    <row r="27" spans="1:20" ht="11.1" customHeight="1">
      <c r="A27" s="500" t="str">
        <f>'3.1'!G5</f>
        <v>III. čtvrtletí</v>
      </c>
      <c r="B27" s="443"/>
      <c r="C27" s="164" t="s">
        <v>4</v>
      </c>
      <c r="D27" s="312">
        <f>D21</f>
        <v>91</v>
      </c>
      <c r="E27" s="308">
        <f>E9+E15+E21</f>
        <v>17175.962169999999</v>
      </c>
      <c r="F27" s="308">
        <f>F9+F15+F21</f>
        <v>188398.73365000001</v>
      </c>
      <c r="G27" s="309">
        <f>E27/$E$32</f>
        <v>0.62727621270786449</v>
      </c>
      <c r="H27" s="309">
        <f>(E27-I27)/I27</f>
        <v>-9.3061392022466702E-2</v>
      </c>
      <c r="I27" s="312">
        <f>I9+I15+I21</f>
        <v>18938.395629999999</v>
      </c>
      <c r="J27" s="308">
        <f>J9+J15+J21</f>
        <v>206104.67577000006</v>
      </c>
      <c r="K27" s="309">
        <f>I27/$I$32</f>
        <v>0.57912444023343645</v>
      </c>
    </row>
    <row r="28" spans="1:20" ht="11.1" customHeight="1">
      <c r="A28" s="437"/>
      <c r="B28" s="437"/>
      <c r="C28" s="154" t="s">
        <v>5</v>
      </c>
      <c r="D28" s="313">
        <f>D22</f>
        <v>313</v>
      </c>
      <c r="E28" s="129">
        <f t="shared" ref="E28:F31" si="3">E10+E16+E22</f>
        <v>3432.1045000000004</v>
      </c>
      <c r="F28" s="129">
        <f t="shared" si="3"/>
        <v>37645.264100000015</v>
      </c>
      <c r="G28" s="307">
        <f>E28/$E$32</f>
        <v>0.12534246938071936</v>
      </c>
      <c r="H28" s="307">
        <f t="shared" ref="H28:H31" si="4">(E28-I28)/I28</f>
        <v>-0.15355364625235854</v>
      </c>
      <c r="I28" s="313">
        <f t="shared" ref="I28:J28" si="5">I10+I16+I22</f>
        <v>4054.7218199999998</v>
      </c>
      <c r="J28" s="129">
        <f t="shared" si="5"/>
        <v>44141.322369999994</v>
      </c>
      <c r="K28" s="307">
        <f>I28/$I$32</f>
        <v>0.12399088867855702</v>
      </c>
    </row>
    <row r="29" spans="1:20" ht="11.1" customHeight="1">
      <c r="A29" s="437"/>
      <c r="B29" s="437"/>
      <c r="C29" s="154" t="s">
        <v>6</v>
      </c>
      <c r="D29" s="313">
        <f>D23</f>
        <v>10684</v>
      </c>
      <c r="E29" s="129">
        <f t="shared" si="3"/>
        <v>2495.8028599999998</v>
      </c>
      <c r="F29" s="129">
        <f t="shared" si="3"/>
        <v>27378.13306</v>
      </c>
      <c r="G29" s="307">
        <f>E29/$E$32</f>
        <v>9.1148184316608594E-2</v>
      </c>
      <c r="H29" s="307">
        <f t="shared" si="4"/>
        <v>-0.36441887659308703</v>
      </c>
      <c r="I29" s="313">
        <f t="shared" ref="I29:J29" si="6">I11+I17+I23</f>
        <v>3926.8045699999998</v>
      </c>
      <c r="J29" s="129">
        <f t="shared" si="6"/>
        <v>42782.07185</v>
      </c>
      <c r="K29" s="307">
        <f>I29/$I$32</f>
        <v>0.12007925818726548</v>
      </c>
    </row>
    <row r="30" spans="1:20" ht="11.1" customHeight="1">
      <c r="A30" s="437"/>
      <c r="B30" s="437"/>
      <c r="C30" s="154" t="s">
        <v>7</v>
      </c>
      <c r="D30" s="313">
        <f>D24</f>
        <v>107236</v>
      </c>
      <c r="E30" s="129">
        <f t="shared" si="3"/>
        <v>3742.8849999999998</v>
      </c>
      <c r="F30" s="129">
        <f t="shared" si="3"/>
        <v>41056.490880000005</v>
      </c>
      <c r="G30" s="307">
        <f>E30/$E$32</f>
        <v>0.1366923555235727</v>
      </c>
      <c r="H30" s="307">
        <f t="shared" si="4"/>
        <v>-0.29016526452235214</v>
      </c>
      <c r="I30" s="313">
        <f t="shared" ref="I30:J30" si="7">I12+I18+I24</f>
        <v>5272.8963700000004</v>
      </c>
      <c r="J30" s="129">
        <f t="shared" si="7"/>
        <v>57460.222139999998</v>
      </c>
      <c r="K30" s="307">
        <f>I30/$I$32</f>
        <v>0.16124191395853577</v>
      </c>
    </row>
    <row r="31" spans="1:20" ht="11.1" customHeight="1">
      <c r="A31" s="437"/>
      <c r="B31" s="437"/>
      <c r="C31" s="154" t="s">
        <v>93</v>
      </c>
      <c r="D31" s="313">
        <f>D25</f>
        <v>15</v>
      </c>
      <c r="E31" s="129">
        <f>E13+E19+E25</f>
        <v>535.06200000000001</v>
      </c>
      <c r="F31" s="129">
        <f t="shared" si="3"/>
        <v>5868.5297699999992</v>
      </c>
      <c r="G31" s="307">
        <f>E31/$E$32</f>
        <v>1.9540778071234853E-2</v>
      </c>
      <c r="H31" s="307">
        <f t="shared" si="4"/>
        <v>5.129736675613121E-2</v>
      </c>
      <c r="I31" s="313">
        <f>I13+I19+I25</f>
        <v>508.95400000000001</v>
      </c>
      <c r="J31" s="129">
        <f t="shared" ref="J31" si="8">J13+J19+J25</f>
        <v>5534.1913299999997</v>
      </c>
      <c r="K31" s="307">
        <f>I31/$I$32</f>
        <v>1.5563498942205193E-2</v>
      </c>
    </row>
    <row r="32" spans="1:20" ht="11.1" customHeight="1">
      <c r="A32" s="442"/>
      <c r="B32" s="442"/>
      <c r="C32" s="318" t="s">
        <v>0</v>
      </c>
      <c r="D32" s="321">
        <f>SUM(D27:D31)</f>
        <v>118339</v>
      </c>
      <c r="E32" s="319">
        <f>SUM(E27:E31)</f>
        <v>27381.81653</v>
      </c>
      <c r="F32" s="319">
        <f>SUM(F27:F31)</f>
        <v>300347.15146000008</v>
      </c>
      <c r="G32" s="320">
        <f>SUM(G27:G31)</f>
        <v>1</v>
      </c>
      <c r="H32" s="320">
        <f>(E32-I32)/I32</f>
        <v>-0.16268096409437463</v>
      </c>
      <c r="I32" s="321">
        <f>SUM(I27:I31)</f>
        <v>32701.772390000002</v>
      </c>
      <c r="J32" s="319">
        <f>SUM(J27:J31)</f>
        <v>356022.48346000008</v>
      </c>
      <c r="K32" s="320">
        <f>SUM(K27:K31)</f>
        <v>0.99999999999999989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25" t="s">
        <v>47</v>
      </c>
      <c r="B34" s="525"/>
      <c r="C34" s="525"/>
      <c r="D34" s="481">
        <f>D4</f>
        <v>2023</v>
      </c>
      <c r="E34" s="353"/>
      <c r="F34" s="342"/>
      <c r="G34" s="342"/>
      <c r="H34" s="342"/>
      <c r="I34" s="481">
        <f>D34-1</f>
        <v>2022</v>
      </c>
      <c r="J34" s="482"/>
      <c r="K34" s="482"/>
    </row>
    <row r="35" spans="1:11" ht="24.95" customHeight="1">
      <c r="A35" s="304"/>
      <c r="B35" s="272"/>
      <c r="C35" s="150"/>
      <c r="D35" s="483"/>
      <c r="E35" s="355"/>
      <c r="F35" s="356"/>
      <c r="G35" s="356"/>
      <c r="H35" s="357"/>
      <c r="I35" s="483"/>
      <c r="J35" s="484"/>
      <c r="K35" s="484"/>
    </row>
    <row r="36" spans="1:11" ht="24.95" customHeight="1">
      <c r="A36" s="130"/>
      <c r="B36" s="131"/>
      <c r="C36" s="352"/>
      <c r="D36" s="364" t="s">
        <v>159</v>
      </c>
      <c r="E36" s="479" t="s">
        <v>60</v>
      </c>
      <c r="F36" s="479"/>
      <c r="G36" s="480" t="s">
        <v>33</v>
      </c>
      <c r="H36" s="480" t="s">
        <v>270</v>
      </c>
      <c r="I36" s="478" t="s">
        <v>60</v>
      </c>
      <c r="J36" s="479"/>
      <c r="K36" s="480" t="s">
        <v>33</v>
      </c>
    </row>
    <row r="37" spans="1:11" ht="24.95" customHeight="1">
      <c r="A37" s="130"/>
      <c r="B37" s="306"/>
      <c r="C37" s="306"/>
      <c r="D37" s="365"/>
      <c r="E37" s="479"/>
      <c r="F37" s="479"/>
      <c r="G37" s="480"/>
      <c r="H37" s="480"/>
      <c r="I37" s="478"/>
      <c r="J37" s="479"/>
      <c r="K37" s="480"/>
    </row>
    <row r="38" spans="1:11" ht="15" customHeight="1">
      <c r="A38" s="524" t="s">
        <v>158</v>
      </c>
      <c r="B38" s="524"/>
      <c r="C38" s="366" t="s">
        <v>184</v>
      </c>
      <c r="D38" s="343"/>
      <c r="E38" s="219" t="s">
        <v>261</v>
      </c>
      <c r="F38" s="219" t="s">
        <v>262</v>
      </c>
      <c r="G38" s="476"/>
      <c r="H38" s="476"/>
      <c r="I38" s="221" t="s">
        <v>261</v>
      </c>
      <c r="J38" s="219" t="s">
        <v>262</v>
      </c>
      <c r="K38" s="476"/>
    </row>
    <row r="39" spans="1:11" ht="11.1" customHeight="1">
      <c r="A39" s="443" t="str">
        <f>'3.1'!D5</f>
        <v>Červenec</v>
      </c>
      <c r="B39" s="443"/>
      <c r="C39" s="164" t="s">
        <v>4</v>
      </c>
      <c r="D39" s="312">
        <v>72</v>
      </c>
      <c r="E39" s="308">
        <v>7375.2109999999993</v>
      </c>
      <c r="F39" s="308">
        <v>80823.393039999981</v>
      </c>
      <c r="G39" s="309">
        <f>E39/$E$44</f>
        <v>0.66914759839590632</v>
      </c>
      <c r="H39" s="309">
        <f>(E39-I39)/I39</f>
        <v>-0.10344283903509158</v>
      </c>
      <c r="I39" s="312">
        <v>8226.1470000000008</v>
      </c>
      <c r="J39" s="308">
        <v>89416.541079999981</v>
      </c>
      <c r="K39" s="309">
        <f>I39/$I$44</f>
        <v>0.65925732695405481</v>
      </c>
    </row>
    <row r="40" spans="1:11" ht="11.1" customHeight="1">
      <c r="A40" s="437"/>
      <c r="B40" s="437"/>
      <c r="C40" s="154" t="s">
        <v>5</v>
      </c>
      <c r="D40" s="313">
        <v>302</v>
      </c>
      <c r="E40" s="129">
        <v>974.08499999999992</v>
      </c>
      <c r="F40" s="129">
        <v>10674.904109999996</v>
      </c>
      <c r="G40" s="307">
        <f t="shared" ref="G40" si="9">E40/$E$44</f>
        <v>8.8378032626249797E-2</v>
      </c>
      <c r="H40" s="307">
        <f>(E40-I40)/I40</f>
        <v>-9.5237033713876498E-2</v>
      </c>
      <c r="I40" s="313">
        <v>1076.6189999999999</v>
      </c>
      <c r="J40" s="129">
        <v>11703.068970000004</v>
      </c>
      <c r="K40" s="307">
        <f t="shared" ref="K40:K43" si="10">I40/$I$44</f>
        <v>8.6282066693914819E-2</v>
      </c>
    </row>
    <row r="41" spans="1:11" ht="11.1" customHeight="1">
      <c r="A41" s="437"/>
      <c r="B41" s="437"/>
      <c r="C41" s="154" t="s">
        <v>6</v>
      </c>
      <c r="D41" s="313">
        <v>10687</v>
      </c>
      <c r="E41" s="129">
        <v>806.37</v>
      </c>
      <c r="F41" s="129">
        <v>8837.0928399999993</v>
      </c>
      <c r="G41" s="307">
        <f>E41/$E$44</f>
        <v>7.3161371100909117E-2</v>
      </c>
      <c r="H41" s="307">
        <f t="shared" ref="H41:H43" si="11">(E41-I41)/I41</f>
        <v>-0.28993348162159016</v>
      </c>
      <c r="I41" s="313">
        <v>1135.626</v>
      </c>
      <c r="J41" s="129">
        <v>12344.53227</v>
      </c>
      <c r="K41" s="307">
        <f t="shared" si="10"/>
        <v>9.1010987425768741E-2</v>
      </c>
    </row>
    <row r="42" spans="1:11" ht="11.1" customHeight="1">
      <c r="A42" s="437"/>
      <c r="B42" s="437"/>
      <c r="C42" s="154" t="s">
        <v>7</v>
      </c>
      <c r="D42" s="313">
        <v>142318</v>
      </c>
      <c r="E42" s="129">
        <v>1679.7</v>
      </c>
      <c r="F42" s="129">
        <v>18407.900000000001</v>
      </c>
      <c r="G42" s="307">
        <f>E42/$E$44</f>
        <v>0.15239797492242649</v>
      </c>
      <c r="H42" s="307">
        <f t="shared" si="11"/>
        <v>-8.0976090167970666E-2</v>
      </c>
      <c r="I42" s="313">
        <v>1827.7</v>
      </c>
      <c r="J42" s="129">
        <v>19866.900000000001</v>
      </c>
      <c r="K42" s="307">
        <f t="shared" si="10"/>
        <v>0.14647496774296956</v>
      </c>
    </row>
    <row r="43" spans="1:11" ht="11.1" customHeight="1">
      <c r="A43" s="437"/>
      <c r="B43" s="437"/>
      <c r="C43" s="154" t="s">
        <v>93</v>
      </c>
      <c r="D43" s="313">
        <v>11</v>
      </c>
      <c r="E43" s="129">
        <v>186.434</v>
      </c>
      <c r="F43" s="129">
        <v>2043.0869900000002</v>
      </c>
      <c r="G43" s="307">
        <f>E43/$E$44</f>
        <v>1.6915022954508339E-2</v>
      </c>
      <c r="H43" s="307">
        <f t="shared" si="11"/>
        <v>-0.11979717479981869</v>
      </c>
      <c r="I43" s="313">
        <v>211.80799999999999</v>
      </c>
      <c r="J43" s="129">
        <v>2302.3157999999999</v>
      </c>
      <c r="K43" s="307">
        <f t="shared" si="10"/>
        <v>1.6974651183292059E-2</v>
      </c>
    </row>
    <row r="44" spans="1:11" ht="11.1" customHeight="1">
      <c r="A44" s="442"/>
      <c r="B44" s="442"/>
      <c r="C44" s="318" t="s">
        <v>0</v>
      </c>
      <c r="D44" s="321">
        <v>153390</v>
      </c>
      <c r="E44" s="319">
        <v>11021.8</v>
      </c>
      <c r="F44" s="319">
        <v>120786.37697999996</v>
      </c>
      <c r="G44" s="320">
        <f>SUM(G39:G43)</f>
        <v>1</v>
      </c>
      <c r="H44" s="320">
        <f>(E44-I44)/I44</f>
        <v>-0.11669431554989237</v>
      </c>
      <c r="I44" s="321">
        <v>12477.900000000001</v>
      </c>
      <c r="J44" s="319">
        <v>135633.35811999999</v>
      </c>
      <c r="K44" s="320">
        <f>SUM(K39:K43)</f>
        <v>1</v>
      </c>
    </row>
    <row r="45" spans="1:11" ht="11.1" customHeight="1">
      <c r="A45" s="443" t="str">
        <f>'3.1'!E5</f>
        <v>Srpen</v>
      </c>
      <c r="B45" s="443"/>
      <c r="C45" s="164" t="s">
        <v>4</v>
      </c>
      <c r="D45" s="312">
        <v>72</v>
      </c>
      <c r="E45" s="308">
        <v>8010.9570000000003</v>
      </c>
      <c r="F45" s="308">
        <v>87866.167800000025</v>
      </c>
      <c r="G45" s="309">
        <f>E45/$E$50</f>
        <v>0.65379022451461255</v>
      </c>
      <c r="H45" s="309">
        <f>(E45-I45)/I45</f>
        <v>-9.8740277176822322E-2</v>
      </c>
      <c r="I45" s="312">
        <v>8888.6220000000012</v>
      </c>
      <c r="J45" s="308">
        <v>96446.203189999971</v>
      </c>
      <c r="K45" s="309">
        <f>I45/$I$50</f>
        <v>0.67793080830422392</v>
      </c>
    </row>
    <row r="46" spans="1:11" ht="11.1" customHeight="1">
      <c r="A46" s="437"/>
      <c r="B46" s="437"/>
      <c r="C46" s="154" t="s">
        <v>5</v>
      </c>
      <c r="D46" s="313">
        <v>302</v>
      </c>
      <c r="E46" s="129">
        <v>1188.4490000000001</v>
      </c>
      <c r="F46" s="129">
        <v>13035.524419999998</v>
      </c>
      <c r="G46" s="307">
        <f t="shared" ref="G46:G49" si="12">E46/$E$50</f>
        <v>9.6991700059576746E-2</v>
      </c>
      <c r="H46" s="307">
        <f>(E46-I46)/I46</f>
        <v>4.4933634854538308E-2</v>
      </c>
      <c r="I46" s="313">
        <v>1137.3440000000001</v>
      </c>
      <c r="J46" s="129">
        <v>12340.720250000002</v>
      </c>
      <c r="K46" s="307">
        <f t="shared" ref="K46:K49" si="13">I46/$I$50</f>
        <v>8.6744664948060476E-2</v>
      </c>
    </row>
    <row r="47" spans="1:11" ht="11.1" customHeight="1">
      <c r="A47" s="437"/>
      <c r="B47" s="437"/>
      <c r="C47" s="154" t="s">
        <v>6</v>
      </c>
      <c r="D47" s="313">
        <v>10673</v>
      </c>
      <c r="E47" s="129">
        <v>1007.395</v>
      </c>
      <c r="F47" s="129">
        <v>11049.558840000002</v>
      </c>
      <c r="G47" s="307">
        <f t="shared" si="12"/>
        <v>8.2215520970203446E-2</v>
      </c>
      <c r="H47" s="307">
        <f t="shared" ref="H47:H49" si="14">(E47-I47)/I47</f>
        <v>-9.5795527064785543E-2</v>
      </c>
      <c r="I47" s="313">
        <v>1114.123</v>
      </c>
      <c r="J47" s="129">
        <v>12088.71128</v>
      </c>
      <c r="K47" s="307">
        <f t="shared" si="13"/>
        <v>8.4973610750949558E-2</v>
      </c>
    </row>
    <row r="48" spans="1:11" ht="11.1" customHeight="1">
      <c r="A48" s="437"/>
      <c r="B48" s="437"/>
      <c r="C48" s="154" t="s">
        <v>7</v>
      </c>
      <c r="D48" s="313">
        <v>142198</v>
      </c>
      <c r="E48" s="129">
        <v>1839</v>
      </c>
      <c r="F48" s="129">
        <v>20170.7</v>
      </c>
      <c r="G48" s="307">
        <f t="shared" si="12"/>
        <v>0.15008446842023648</v>
      </c>
      <c r="H48" s="307">
        <f t="shared" si="14"/>
        <v>4.2635219412631847E-2</v>
      </c>
      <c r="I48" s="313">
        <v>1763.8</v>
      </c>
      <c r="J48" s="129">
        <v>19138.400000000001</v>
      </c>
      <c r="K48" s="307">
        <f t="shared" si="13"/>
        <v>0.13452415455252681</v>
      </c>
    </row>
    <row r="49" spans="1:11" ht="11.1" customHeight="1">
      <c r="A49" s="437"/>
      <c r="B49" s="437"/>
      <c r="C49" s="154" t="s">
        <v>93</v>
      </c>
      <c r="D49" s="313">
        <v>11</v>
      </c>
      <c r="E49" s="129">
        <v>207.29900000000001</v>
      </c>
      <c r="F49" s="129">
        <v>2273.7111600000003</v>
      </c>
      <c r="G49" s="307">
        <f t="shared" si="12"/>
        <v>1.6918086035370639E-2</v>
      </c>
      <c r="H49" s="307">
        <f t="shared" si="14"/>
        <v>-1.0216325881519008E-3</v>
      </c>
      <c r="I49" s="313">
        <v>207.511</v>
      </c>
      <c r="J49" s="129">
        <v>2251.6007100000002</v>
      </c>
      <c r="K49" s="307">
        <f t="shared" si="13"/>
        <v>1.5826761444239366E-2</v>
      </c>
    </row>
    <row r="50" spans="1:11" ht="11.1" customHeight="1">
      <c r="A50" s="442"/>
      <c r="B50" s="442"/>
      <c r="C50" s="318" t="s">
        <v>0</v>
      </c>
      <c r="D50" s="321">
        <v>153256</v>
      </c>
      <c r="E50" s="319">
        <v>12253.100000000002</v>
      </c>
      <c r="F50" s="319">
        <v>134395.66222000003</v>
      </c>
      <c r="G50" s="320">
        <f>SUM(G45:G49)</f>
        <v>0.99999999999999989</v>
      </c>
      <c r="H50" s="320">
        <f t="shared" ref="H50" si="15">(E50-I50)/I50</f>
        <v>-6.54621169364063E-2</v>
      </c>
      <c r="I50" s="321">
        <v>13111.4</v>
      </c>
      <c r="J50" s="319">
        <v>142265.63542999997</v>
      </c>
      <c r="K50" s="320">
        <f>SUM(K45:K49)</f>
        <v>1</v>
      </c>
    </row>
    <row r="51" spans="1:11" ht="11.1" customHeight="1">
      <c r="A51" s="443" t="str">
        <f>'3.1'!F5</f>
        <v>Září</v>
      </c>
      <c r="B51" s="443"/>
      <c r="C51" s="164" t="s">
        <v>4</v>
      </c>
      <c r="D51" s="312">
        <v>72</v>
      </c>
      <c r="E51" s="308">
        <v>7976.1790000000001</v>
      </c>
      <c r="F51" s="308">
        <v>87583.695810000005</v>
      </c>
      <c r="G51" s="309">
        <f>E51/$E$56</f>
        <v>0.65144104411176174</v>
      </c>
      <c r="H51" s="309">
        <f>(E51-I51)/I51</f>
        <v>-8.4213286715294045E-2</v>
      </c>
      <c r="I51" s="312">
        <v>8709.6470000000008</v>
      </c>
      <c r="J51" s="308">
        <v>95253.775890000019</v>
      </c>
      <c r="K51" s="309">
        <f>I51/$I$56</f>
        <v>0.52410291126596142</v>
      </c>
    </row>
    <row r="52" spans="1:11" ht="11.1" customHeight="1">
      <c r="A52" s="437"/>
      <c r="B52" s="437"/>
      <c r="C52" s="154" t="s">
        <v>5</v>
      </c>
      <c r="D52" s="313">
        <v>302</v>
      </c>
      <c r="E52" s="129">
        <v>1164.644</v>
      </c>
      <c r="F52" s="129">
        <v>12788.871500000001</v>
      </c>
      <c r="G52" s="307">
        <f t="shared" ref="G52:G55" si="16">E52/$E$56</f>
        <v>9.512034564150311E-2</v>
      </c>
      <c r="H52" s="307">
        <f t="shared" ref="H52:H55" si="17">(E52-I52)/I52</f>
        <v>-0.22259372611581887</v>
      </c>
      <c r="I52" s="313">
        <v>1498.115</v>
      </c>
      <c r="J52" s="129">
        <v>16383.952790000005</v>
      </c>
      <c r="K52" s="307">
        <f t="shared" ref="K52:K55" si="18">I52/$I$56</f>
        <v>9.0149053447425104E-2</v>
      </c>
    </row>
    <row r="53" spans="1:11" ht="11.1" customHeight="1">
      <c r="A53" s="437"/>
      <c r="B53" s="437"/>
      <c r="C53" s="154" t="s">
        <v>6</v>
      </c>
      <c r="D53" s="313">
        <v>10659</v>
      </c>
      <c r="E53" s="129">
        <v>1052.7270000000001</v>
      </c>
      <c r="F53" s="129">
        <v>11559.80946</v>
      </c>
      <c r="G53" s="307">
        <f t="shared" si="16"/>
        <v>8.5979712346556242E-2</v>
      </c>
      <c r="H53" s="307">
        <f t="shared" si="17"/>
        <v>-0.5424215264568939</v>
      </c>
      <c r="I53" s="313">
        <v>2300.6480000000001</v>
      </c>
      <c r="J53" s="129">
        <v>25161.502959999998</v>
      </c>
      <c r="K53" s="307">
        <f t="shared" si="18"/>
        <v>0.13844146778832847</v>
      </c>
    </row>
    <row r="54" spans="1:11" ht="10.5" customHeight="1">
      <c r="A54" s="437"/>
      <c r="B54" s="437"/>
      <c r="C54" s="154" t="s">
        <v>7</v>
      </c>
      <c r="D54" s="313">
        <v>142088</v>
      </c>
      <c r="E54" s="129">
        <v>1830</v>
      </c>
      <c r="F54" s="129">
        <v>20094.7</v>
      </c>
      <c r="G54" s="307">
        <f t="shared" si="16"/>
        <v>0.14946218116776516</v>
      </c>
      <c r="H54" s="307">
        <f t="shared" si="17"/>
        <v>-0.53420891875381793</v>
      </c>
      <c r="I54" s="313">
        <v>3928.8</v>
      </c>
      <c r="J54" s="129">
        <v>42967.3</v>
      </c>
      <c r="K54" s="307">
        <f t="shared" si="18"/>
        <v>0.23641549626313318</v>
      </c>
    </row>
    <row r="55" spans="1:11" ht="11.1" customHeight="1">
      <c r="A55" s="437"/>
      <c r="B55" s="437"/>
      <c r="C55" s="154" t="s">
        <v>93</v>
      </c>
      <c r="D55" s="313">
        <v>11</v>
      </c>
      <c r="E55" s="129">
        <v>220.35</v>
      </c>
      <c r="F55" s="129">
        <v>2419.6029199999998</v>
      </c>
      <c r="G55" s="307">
        <f t="shared" si="16"/>
        <v>1.7996716732413688E-2</v>
      </c>
      <c r="H55" s="307">
        <f t="shared" si="17"/>
        <v>0.21747057848499907</v>
      </c>
      <c r="I55" s="313">
        <v>180.99</v>
      </c>
      <c r="J55" s="129">
        <v>1979.4058299999997</v>
      </c>
      <c r="K55" s="307">
        <f t="shared" si="18"/>
        <v>1.0891071235151822E-2</v>
      </c>
    </row>
    <row r="56" spans="1:11" ht="11.1" customHeight="1">
      <c r="A56" s="442"/>
      <c r="B56" s="442"/>
      <c r="C56" s="318" t="s">
        <v>0</v>
      </c>
      <c r="D56" s="321">
        <v>153132</v>
      </c>
      <c r="E56" s="319">
        <v>12243.900000000001</v>
      </c>
      <c r="F56" s="319">
        <v>134446.67969000002</v>
      </c>
      <c r="G56" s="320">
        <f>SUM(G51:G55)</f>
        <v>0.99999999999999989</v>
      </c>
      <c r="H56" s="320">
        <f>(E56-I56)/I56</f>
        <v>-0.26322345380366097</v>
      </c>
      <c r="I56" s="321">
        <v>16618.2</v>
      </c>
      <c r="J56" s="319">
        <v>181745.93747</v>
      </c>
      <c r="K56" s="320">
        <f>SUM(K51:K55)</f>
        <v>1</v>
      </c>
    </row>
    <row r="57" spans="1:11" ht="11.1" customHeight="1">
      <c r="A57" s="500" t="str">
        <f>'3.1'!G5</f>
        <v>III. čtvrtletí</v>
      </c>
      <c r="B57" s="443"/>
      <c r="C57" s="164" t="s">
        <v>4</v>
      </c>
      <c r="D57" s="312">
        <f>D51</f>
        <v>72</v>
      </c>
      <c r="E57" s="308">
        <f>E39+E45+E51</f>
        <v>23362.347000000002</v>
      </c>
      <c r="F57" s="308">
        <f>F39+F45+F51</f>
        <v>256273.25665</v>
      </c>
      <c r="G57" s="309">
        <f>E57/$E$62</f>
        <v>0.65774595425521143</v>
      </c>
      <c r="H57" s="309">
        <f>(E57-I57)/I57</f>
        <v>-9.5338806500019177E-2</v>
      </c>
      <c r="I57" s="312">
        <f>I39+I45+I51</f>
        <v>25824.416000000001</v>
      </c>
      <c r="J57" s="308">
        <f>J39+J45+J51</f>
        <v>281116.52015999996</v>
      </c>
      <c r="K57" s="309">
        <f>I57/$I$62</f>
        <v>0.61184424569093177</v>
      </c>
    </row>
    <row r="58" spans="1:11" ht="11.1" customHeight="1">
      <c r="A58" s="437"/>
      <c r="B58" s="437"/>
      <c r="C58" s="154" t="s">
        <v>5</v>
      </c>
      <c r="D58" s="313">
        <f>D52</f>
        <v>302</v>
      </c>
      <c r="E58" s="129">
        <f t="shared" ref="E58:F59" si="19">E40+E46+E52</f>
        <v>3327.1779999999999</v>
      </c>
      <c r="F58" s="129">
        <f t="shared" si="19"/>
        <v>36499.300029999999</v>
      </c>
      <c r="G58" s="307">
        <f t="shared" ref="G58:G61" si="20">E58/$E$62</f>
        <v>9.3673716454384728E-2</v>
      </c>
      <c r="H58" s="307">
        <f t="shared" ref="H58:H61" si="21">(E58-I58)/I58</f>
        <v>-0.10368855395818721</v>
      </c>
      <c r="I58" s="313">
        <f t="shared" ref="I58:J58" si="22">I40+I46+I52</f>
        <v>3712.0779999999995</v>
      </c>
      <c r="J58" s="129">
        <f t="shared" si="22"/>
        <v>40427.742010000009</v>
      </c>
      <c r="K58" s="307">
        <f t="shared" ref="K58:K61" si="23">I58/$I$62</f>
        <v>8.7948303026713248E-2</v>
      </c>
    </row>
    <row r="59" spans="1:11" ht="11.1" customHeight="1">
      <c r="A59" s="437"/>
      <c r="B59" s="437"/>
      <c r="C59" s="154" t="s">
        <v>6</v>
      </c>
      <c r="D59" s="313">
        <f>D53</f>
        <v>10659</v>
      </c>
      <c r="E59" s="129">
        <f>E41+E47+E53</f>
        <v>2866.4920000000002</v>
      </c>
      <c r="F59" s="129">
        <f t="shared" si="19"/>
        <v>31446.461140000003</v>
      </c>
      <c r="G59" s="307">
        <f t="shared" si="20"/>
        <v>8.0703514758381487E-2</v>
      </c>
      <c r="H59" s="307">
        <f t="shared" si="21"/>
        <v>-0.37005672252333144</v>
      </c>
      <c r="I59" s="313">
        <f>I41+I47+I53</f>
        <v>4550.3969999999999</v>
      </c>
      <c r="J59" s="129">
        <f t="shared" ref="J59" si="24">J41+J47+J53</f>
        <v>49594.746509999997</v>
      </c>
      <c r="K59" s="307">
        <f t="shared" si="23"/>
        <v>0.10781015222413078</v>
      </c>
    </row>
    <row r="60" spans="1:11" ht="11.1" customHeight="1">
      <c r="A60" s="437"/>
      <c r="B60" s="437"/>
      <c r="C60" s="154" t="s">
        <v>7</v>
      </c>
      <c r="D60" s="313">
        <f>D54</f>
        <v>142088</v>
      </c>
      <c r="E60" s="129">
        <f t="shared" ref="E60:F61" si="25">E42+E48+E54</f>
        <v>5348.7</v>
      </c>
      <c r="F60" s="129">
        <f t="shared" si="25"/>
        <v>58673.3</v>
      </c>
      <c r="G60" s="307">
        <f t="shared" si="20"/>
        <v>0.15058785769789521</v>
      </c>
      <c r="H60" s="307">
        <f t="shared" si="21"/>
        <v>-0.28876507586133537</v>
      </c>
      <c r="I60" s="313">
        <f t="shared" ref="I60:J60" si="26">I42+I48+I54</f>
        <v>7520.3</v>
      </c>
      <c r="J60" s="129">
        <f t="shared" si="26"/>
        <v>81972.600000000006</v>
      </c>
      <c r="K60" s="307">
        <f t="shared" si="23"/>
        <v>0.17817449505419652</v>
      </c>
    </row>
    <row r="61" spans="1:11" ht="11.1" customHeight="1">
      <c r="A61" s="437"/>
      <c r="B61" s="437"/>
      <c r="C61" s="154" t="s">
        <v>93</v>
      </c>
      <c r="D61" s="313">
        <f>D55</f>
        <v>11</v>
      </c>
      <c r="E61" s="129">
        <f>E43+E49+E55</f>
        <v>614.08299999999997</v>
      </c>
      <c r="F61" s="129">
        <f t="shared" si="25"/>
        <v>6736.4010699999999</v>
      </c>
      <c r="G61" s="307">
        <f t="shared" si="20"/>
        <v>1.7288956834127279E-2</v>
      </c>
      <c r="H61" s="307">
        <f t="shared" si="21"/>
        <v>2.2944850068881195E-2</v>
      </c>
      <c r="I61" s="313">
        <f>I43+I49+I55</f>
        <v>600.30899999999997</v>
      </c>
      <c r="J61" s="129">
        <f t="shared" ref="J61" si="27">J43+J49+J55</f>
        <v>6533.3223399999997</v>
      </c>
      <c r="K61" s="307">
        <f t="shared" si="23"/>
        <v>1.4222804004027719E-2</v>
      </c>
    </row>
    <row r="62" spans="1:11" ht="11.1" customHeight="1">
      <c r="A62" s="442"/>
      <c r="B62" s="442"/>
      <c r="C62" s="318" t="s">
        <v>0</v>
      </c>
      <c r="D62" s="321">
        <f>SUM(D57:D61)</f>
        <v>153132</v>
      </c>
      <c r="E62" s="319">
        <f>SUM(E57:E61)</f>
        <v>35518.799999999996</v>
      </c>
      <c r="F62" s="319">
        <f>SUM(F57:F61)</f>
        <v>389628.71889000002</v>
      </c>
      <c r="G62" s="320">
        <f>SUM(G57:G61)</f>
        <v>1</v>
      </c>
      <c r="H62" s="320">
        <f>(E62-I62)/I62</f>
        <v>-0.15847183557424638</v>
      </c>
      <c r="I62" s="321">
        <f>SUM(I57:I61)</f>
        <v>42207.5</v>
      </c>
      <c r="J62" s="319">
        <f>SUM(J57:J61)</f>
        <v>459644.93101999996</v>
      </c>
      <c r="K62" s="320">
        <f>SUM(K57:K61)</f>
        <v>1.0000000000000002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7"/>
  <sheetViews>
    <sheetView showGridLines="0" topLeftCell="A16" zoomScaleNormal="100" zoomScaleSheetLayoutView="100" workbookViewId="0">
      <selection activeCell="G1" sqref="G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4" customFormat="1" ht="18">
      <c r="A1" s="509" t="str">
        <f>"6.8 Spotřeba zemního plynu a teplota ovzduší podle krajů: "&amp;LOWER(A3)</f>
        <v>6.8 Spotřeba zemního plynu a teplota ovzduší podle krajů: červenec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6" customHeight="1">
      <c r="A2" s="513"/>
      <c r="B2" s="513"/>
      <c r="C2" s="300"/>
      <c r="D2" s="301"/>
      <c r="E2" s="302"/>
      <c r="F2" s="302"/>
      <c r="G2" s="302"/>
      <c r="H2" s="302"/>
      <c r="I2" s="76"/>
      <c r="J2" s="76"/>
      <c r="K2" s="76"/>
    </row>
    <row r="3" spans="1:11" ht="20.100000000000001" customHeight="1">
      <c r="A3" s="472" t="str">
        <f>'3.1'!D5</f>
        <v>Červenec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</row>
    <row r="4" spans="1:11" ht="20.100000000000001" customHeight="1">
      <c r="A4" s="128"/>
      <c r="B4" s="252">
        <f>'3.1'!A4</f>
        <v>2023</v>
      </c>
      <c r="C4" s="527" t="s">
        <v>60</v>
      </c>
      <c r="D4" s="528"/>
      <c r="E4" s="528"/>
      <c r="F4" s="529"/>
      <c r="G4" s="530" t="s">
        <v>186</v>
      </c>
      <c r="H4" s="530"/>
      <c r="I4" s="530"/>
      <c r="J4" s="530"/>
      <c r="K4" s="530"/>
    </row>
    <row r="5" spans="1:11" ht="49.5" customHeight="1">
      <c r="A5" s="272"/>
      <c r="B5" s="480" t="s">
        <v>185</v>
      </c>
      <c r="C5" s="345"/>
      <c r="D5" s="346"/>
      <c r="E5" s="480" t="s">
        <v>279</v>
      </c>
      <c r="F5" s="514" t="s">
        <v>282</v>
      </c>
      <c r="G5" s="369" t="s">
        <v>62</v>
      </c>
      <c r="H5" s="369" t="s">
        <v>173</v>
      </c>
      <c r="I5" s="369" t="s">
        <v>174</v>
      </c>
      <c r="J5" s="369" t="s">
        <v>284</v>
      </c>
      <c r="K5" s="369" t="s">
        <v>285</v>
      </c>
    </row>
    <row r="6" spans="1:11" ht="15" customHeight="1">
      <c r="A6" s="219" t="s">
        <v>187</v>
      </c>
      <c r="B6" s="476"/>
      <c r="C6" s="221" t="s">
        <v>261</v>
      </c>
      <c r="D6" s="219" t="s">
        <v>262</v>
      </c>
      <c r="E6" s="476"/>
      <c r="F6" s="515"/>
      <c r="G6" s="219" t="s">
        <v>230</v>
      </c>
      <c r="H6" s="219" t="s">
        <v>230</v>
      </c>
      <c r="I6" s="219" t="s">
        <v>230</v>
      </c>
      <c r="J6" s="219" t="s">
        <v>230</v>
      </c>
      <c r="K6" s="219" t="s">
        <v>230</v>
      </c>
    </row>
    <row r="7" spans="1:11" ht="14.1" customHeight="1">
      <c r="A7" s="154" t="s">
        <v>8</v>
      </c>
      <c r="B7" s="129">
        <f>'6.1'!D14</f>
        <v>102728</v>
      </c>
      <c r="C7" s="313">
        <f>'6.1'!E14</f>
        <v>7498.2486400000007</v>
      </c>
      <c r="D7" s="129">
        <f>'6.1'!F14</f>
        <v>82162.377359999999</v>
      </c>
      <c r="E7" s="307">
        <f>D7/$D$21</f>
        <v>2.67994323738458E-2</v>
      </c>
      <c r="F7" s="332">
        <f>'6.1'!H14</f>
        <v>-0.16297599768925639</v>
      </c>
      <c r="G7" s="326">
        <v>19.529032258064518</v>
      </c>
      <c r="H7" s="327">
        <v>26</v>
      </c>
      <c r="I7" s="327">
        <v>13.1</v>
      </c>
      <c r="J7" s="327">
        <v>17.199999999999996</v>
      </c>
      <c r="K7" s="326">
        <v>2.3290322580645224</v>
      </c>
    </row>
    <row r="8" spans="1:11" ht="14.1" customHeight="1">
      <c r="A8" s="154" t="s">
        <v>9</v>
      </c>
      <c r="B8" s="129">
        <f>'6.1'!D44</f>
        <v>374972</v>
      </c>
      <c r="C8" s="313">
        <f>'6.1'!E44</f>
        <v>23488.9</v>
      </c>
      <c r="D8" s="129">
        <f>'6.1'!F44</f>
        <v>257410.32520999998</v>
      </c>
      <c r="E8" s="307">
        <f t="shared" ref="E8:E20" si="0">D8/$D$21</f>
        <v>8.3961185453154827E-2</v>
      </c>
      <c r="F8" s="332">
        <f>'6.1'!H44</f>
        <v>-0.11424143236394352</v>
      </c>
      <c r="G8" s="326">
        <v>21.893548387096772</v>
      </c>
      <c r="H8" s="327">
        <v>27</v>
      </c>
      <c r="I8" s="327">
        <v>16</v>
      </c>
      <c r="J8" s="327">
        <v>18.899999999999988</v>
      </c>
      <c r="K8" s="326">
        <v>2.9935483870967836</v>
      </c>
    </row>
    <row r="9" spans="1:11" ht="14.1" customHeight="1">
      <c r="A9" s="154" t="s">
        <v>10</v>
      </c>
      <c r="B9" s="129">
        <f>'6.2'!D14</f>
        <v>82440</v>
      </c>
      <c r="C9" s="313">
        <f>'6.2'!E14</f>
        <v>7914.7</v>
      </c>
      <c r="D9" s="129">
        <f>'6.2'!F14</f>
        <v>86734.737490000014</v>
      </c>
      <c r="E9" s="307">
        <f t="shared" si="0"/>
        <v>2.8290828558207672E-2</v>
      </c>
      <c r="F9" s="332">
        <f>'6.2'!H14</f>
        <v>-2.0773018583129257E-2</v>
      </c>
      <c r="G9" s="326">
        <v>17.964516129032258</v>
      </c>
      <c r="H9" s="327">
        <v>25.3</v>
      </c>
      <c r="I9" s="327">
        <v>11.7</v>
      </c>
      <c r="J9" s="327">
        <v>16.5</v>
      </c>
      <c r="K9" s="326">
        <v>1.4645161290322584</v>
      </c>
    </row>
    <row r="10" spans="1:11" ht="14.1" customHeight="1">
      <c r="A10" s="154" t="s">
        <v>92</v>
      </c>
      <c r="B10" s="129">
        <f>'6.2'!D44</f>
        <v>115623</v>
      </c>
      <c r="C10" s="313">
        <f>'6.2'!E44</f>
        <v>7931.8</v>
      </c>
      <c r="D10" s="129">
        <f>'6.2'!F44</f>
        <v>86922.989559999987</v>
      </c>
      <c r="E10" s="307">
        <f t="shared" si="0"/>
        <v>2.8352231949654045E-2</v>
      </c>
      <c r="F10" s="332">
        <f>'6.2'!H44</f>
        <v>-0.20919242273180458</v>
      </c>
      <c r="G10" s="326">
        <v>18.967741935483872</v>
      </c>
      <c r="H10" s="327">
        <v>25.2</v>
      </c>
      <c r="I10" s="327">
        <v>13.7</v>
      </c>
      <c r="J10" s="327">
        <v>16.899999999999991</v>
      </c>
      <c r="K10" s="326">
        <v>2.0677419354838804</v>
      </c>
    </row>
    <row r="11" spans="1:11" ht="14.1" customHeight="1">
      <c r="A11" s="154" t="s">
        <v>11</v>
      </c>
      <c r="B11" s="129">
        <f>'6.3'!D14</f>
        <v>91307</v>
      </c>
      <c r="C11" s="313">
        <f>'6.3'!E14</f>
        <v>7626.5000000000009</v>
      </c>
      <c r="D11" s="129">
        <f>'6.3'!F14</f>
        <v>83577.256540000031</v>
      </c>
      <c r="E11" s="307">
        <f t="shared" si="0"/>
        <v>2.7260932638564689E-2</v>
      </c>
      <c r="F11" s="332">
        <f>'6.3'!H14</f>
        <v>-0.17288462789840117</v>
      </c>
      <c r="G11" s="326">
        <v>18.958064516129035</v>
      </c>
      <c r="H11" s="327">
        <v>26.1</v>
      </c>
      <c r="I11" s="327">
        <v>13.5</v>
      </c>
      <c r="J11" s="327">
        <v>16.600000000000009</v>
      </c>
      <c r="K11" s="326">
        <v>2.3580645161290263</v>
      </c>
    </row>
    <row r="12" spans="1:11" ht="14.1" customHeight="1">
      <c r="A12" s="154" t="s">
        <v>12</v>
      </c>
      <c r="B12" s="129">
        <f>'6.3'!D44</f>
        <v>370193</v>
      </c>
      <c r="C12" s="313">
        <f>'6.3'!E44</f>
        <v>33637.406999999999</v>
      </c>
      <c r="D12" s="129">
        <f>'6.3'!F44</f>
        <v>368381.52848000004</v>
      </c>
      <c r="E12" s="307">
        <f t="shared" si="0"/>
        <v>0.12015737832191802</v>
      </c>
      <c r="F12" s="332">
        <f>'6.3'!H44</f>
        <v>-2.4431832748972034E-2</v>
      </c>
      <c r="G12" s="326">
        <v>19.612903225806448</v>
      </c>
      <c r="H12" s="327">
        <v>25</v>
      </c>
      <c r="I12" s="327">
        <v>12.3</v>
      </c>
      <c r="J12" s="327">
        <v>17.199999999999996</v>
      </c>
      <c r="K12" s="326">
        <v>2.4129032258064527</v>
      </c>
    </row>
    <row r="13" spans="1:11" ht="14.1" customHeight="1">
      <c r="A13" s="154" t="s">
        <v>13</v>
      </c>
      <c r="B13" s="129">
        <f>'6.4'!D14</f>
        <v>183307</v>
      </c>
      <c r="C13" s="313">
        <f>'6.4'!E14</f>
        <v>13645.300000000001</v>
      </c>
      <c r="D13" s="129">
        <f>'6.4'!F14</f>
        <v>149535.44003</v>
      </c>
      <c r="E13" s="307">
        <f t="shared" si="0"/>
        <v>4.8774938619634646E-2</v>
      </c>
      <c r="F13" s="332">
        <f>'6.4'!H14</f>
        <v>-0.17804349135594236</v>
      </c>
      <c r="G13" s="326">
        <v>19.674193548387098</v>
      </c>
      <c r="H13" s="327">
        <v>25.3</v>
      </c>
      <c r="I13" s="327">
        <v>13.2</v>
      </c>
      <c r="J13" s="327">
        <v>16.699999999999996</v>
      </c>
      <c r="K13" s="326">
        <v>2.9741935483871025</v>
      </c>
    </row>
    <row r="14" spans="1:11" ht="14.1" customHeight="1">
      <c r="A14" s="154" t="s">
        <v>14</v>
      </c>
      <c r="B14" s="129">
        <f>'6.4'!D44</f>
        <v>133994</v>
      </c>
      <c r="C14" s="313">
        <f>'6.4'!E44</f>
        <v>12874</v>
      </c>
      <c r="D14" s="129">
        <f>'6.4'!F44</f>
        <v>141083.83490000005</v>
      </c>
      <c r="E14" s="307">
        <f t="shared" si="0"/>
        <v>4.6018224081793742E-2</v>
      </c>
      <c r="F14" s="332">
        <f>'6.4'!H44</f>
        <v>2.9236586906294132E-2</v>
      </c>
      <c r="G14" s="326">
        <v>19.767741935483873</v>
      </c>
      <c r="H14" s="327">
        <v>26</v>
      </c>
      <c r="I14" s="327">
        <v>13.7</v>
      </c>
      <c r="J14" s="327">
        <v>17.7</v>
      </c>
      <c r="K14" s="326">
        <v>2.0677419354838733</v>
      </c>
    </row>
    <row r="15" spans="1:11" ht="14.1" customHeight="1">
      <c r="A15" s="154" t="s">
        <v>15</v>
      </c>
      <c r="B15" s="129">
        <f>'6.5'!D14</f>
        <v>156934</v>
      </c>
      <c r="C15" s="313">
        <f>'6.5'!E14</f>
        <v>11053.400000000001</v>
      </c>
      <c r="D15" s="129">
        <f>'6.5'!F14</f>
        <v>121132.76422</v>
      </c>
      <c r="E15" s="307">
        <f t="shared" si="0"/>
        <v>3.9510654721528593E-2</v>
      </c>
      <c r="F15" s="332">
        <f>'6.5'!H14</f>
        <v>-0.15032669690214467</v>
      </c>
      <c r="G15" s="326">
        <v>19.864516129032253</v>
      </c>
      <c r="H15" s="327">
        <v>25.9</v>
      </c>
      <c r="I15" s="327">
        <v>12.9</v>
      </c>
      <c r="J15" s="327">
        <v>17.5</v>
      </c>
      <c r="K15" s="326">
        <v>2.3645161290322534</v>
      </c>
    </row>
    <row r="16" spans="1:11" ht="14.1" customHeight="1">
      <c r="A16" s="154" t="s">
        <v>1</v>
      </c>
      <c r="B16" s="129">
        <f>'6.5'!D44</f>
        <v>403910</v>
      </c>
      <c r="C16" s="313">
        <f>'6.5'!E44</f>
        <v>17589.263062682734</v>
      </c>
      <c r="D16" s="129">
        <f>'6.5'!F44</f>
        <v>193064.76025067197</v>
      </c>
      <c r="E16" s="307">
        <f t="shared" si="0"/>
        <v>6.297317765575712E-2</v>
      </c>
      <c r="F16" s="332">
        <f>'6.5'!H44</f>
        <v>-2.0771388993076477E-2</v>
      </c>
      <c r="G16" s="326">
        <v>22.287096774193554</v>
      </c>
      <c r="H16" s="327">
        <v>29.4</v>
      </c>
      <c r="I16" s="327">
        <v>16.3</v>
      </c>
      <c r="J16" s="327">
        <v>18.7</v>
      </c>
      <c r="K16" s="326">
        <v>3.5870967741935544</v>
      </c>
    </row>
    <row r="17" spans="1:16" ht="14.1" customHeight="1">
      <c r="A17" s="154" t="s">
        <v>16</v>
      </c>
      <c r="B17" s="129">
        <f>'6.6'!D14</f>
        <v>255922</v>
      </c>
      <c r="C17" s="313">
        <f>'6.6'!E14</f>
        <v>39265.481999999996</v>
      </c>
      <c r="D17" s="129">
        <f>'6.6'!F14</f>
        <v>430304.96996799996</v>
      </c>
      <c r="E17" s="307">
        <f t="shared" si="0"/>
        <v>0.14035534648978373</v>
      </c>
      <c r="F17" s="332">
        <f>'6.6'!H14</f>
        <v>-0.16579340730575415</v>
      </c>
      <c r="G17" s="326">
        <v>20.470967741935493</v>
      </c>
      <c r="H17" s="327">
        <v>27.6</v>
      </c>
      <c r="I17" s="327">
        <v>14.5</v>
      </c>
      <c r="J17" s="327">
        <v>18.3</v>
      </c>
      <c r="K17" s="326">
        <v>2.1709677419354918</v>
      </c>
      <c r="L17" s="93"/>
      <c r="N17" s="93"/>
      <c r="O17" s="93"/>
      <c r="P17" s="93"/>
    </row>
    <row r="18" spans="1:16" ht="14.1" customHeight="1">
      <c r="A18" s="154" t="s">
        <v>17</v>
      </c>
      <c r="B18" s="129">
        <f>'6.6'!D44</f>
        <v>217880</v>
      </c>
      <c r="C18" s="313">
        <f>'6.6'!E44</f>
        <v>77968</v>
      </c>
      <c r="D18" s="129">
        <f>'6.6'!F44</f>
        <v>854846.41429099988</v>
      </c>
      <c r="E18" s="307">
        <f t="shared" si="0"/>
        <v>0.27883076665901652</v>
      </c>
      <c r="F18" s="332">
        <f>'6.6'!H44</f>
        <v>0.262553720229314</v>
      </c>
      <c r="G18" s="326">
        <v>19.85161290322581</v>
      </c>
      <c r="H18" s="327">
        <v>26.4</v>
      </c>
      <c r="I18" s="327">
        <v>14.1</v>
      </c>
      <c r="J18" s="327">
        <v>18.5</v>
      </c>
      <c r="K18" s="326">
        <v>1.35161290322581</v>
      </c>
      <c r="L18" s="93"/>
      <c r="N18" s="93"/>
      <c r="O18" s="93"/>
      <c r="P18" s="93"/>
    </row>
    <row r="19" spans="1:16" ht="14.1" customHeight="1">
      <c r="A19" s="154" t="s">
        <v>18</v>
      </c>
      <c r="B19" s="129">
        <f>'6.7'!D14</f>
        <v>118539</v>
      </c>
      <c r="C19" s="313">
        <f>'6.7'!E14</f>
        <v>8201.8333600000005</v>
      </c>
      <c r="D19" s="129">
        <f>'6.7'!F14</f>
        <v>89881.508399999992</v>
      </c>
      <c r="E19" s="307">
        <f t="shared" si="0"/>
        <v>2.9317231115049774E-2</v>
      </c>
      <c r="F19" s="332">
        <f>'6.7'!H14</f>
        <v>-0.11103387264632522</v>
      </c>
      <c r="G19" s="326">
        <v>19.79354838709677</v>
      </c>
      <c r="H19" s="327">
        <v>25.6</v>
      </c>
      <c r="I19" s="327">
        <v>13.7</v>
      </c>
      <c r="J19" s="327">
        <v>17</v>
      </c>
      <c r="K19" s="326">
        <v>2.7935483870967701</v>
      </c>
      <c r="L19" s="93"/>
      <c r="N19" s="93"/>
      <c r="O19" s="93"/>
      <c r="P19" s="93"/>
    </row>
    <row r="20" spans="1:16" ht="14.1" customHeight="1">
      <c r="A20" s="204" t="s">
        <v>19</v>
      </c>
      <c r="B20" s="310">
        <f>'6.7'!D44</f>
        <v>153390</v>
      </c>
      <c r="C20" s="314">
        <f>'6.7'!E44</f>
        <v>11021.8</v>
      </c>
      <c r="D20" s="310">
        <f>'6.7'!F44</f>
        <v>120786.37697999996</v>
      </c>
      <c r="E20" s="311">
        <f t="shared" si="0"/>
        <v>3.939767136209061E-2</v>
      </c>
      <c r="F20" s="333">
        <f>'6.7'!H44</f>
        <v>-0.11669431554989237</v>
      </c>
      <c r="G20" s="328">
        <v>19.387096774193548</v>
      </c>
      <c r="H20" s="329">
        <v>25.5</v>
      </c>
      <c r="I20" s="329">
        <v>12.2</v>
      </c>
      <c r="J20" s="329">
        <v>18.2</v>
      </c>
      <c r="K20" s="328">
        <v>1.1870967741935488</v>
      </c>
      <c r="L20" s="93"/>
    </row>
    <row r="21" spans="1:16" ht="14.1" customHeight="1">
      <c r="A21" s="154" t="s">
        <v>0</v>
      </c>
      <c r="B21" s="156">
        <f>SUM(B7:B20)</f>
        <v>2761139</v>
      </c>
      <c r="C21" s="313">
        <f>SUM(C7:C20)</f>
        <v>279716.63406268274</v>
      </c>
      <c r="D21" s="129">
        <f>SUM(D7:D20)</f>
        <v>3065825.2836796725</v>
      </c>
      <c r="E21" s="367">
        <f>SUM(E7:E20)</f>
        <v>0.99999999999999989</v>
      </c>
      <c r="F21" s="332"/>
      <c r="G21" s="256">
        <v>19.896774193548385</v>
      </c>
      <c r="H21" s="256">
        <v>26.1</v>
      </c>
      <c r="I21" s="256">
        <v>13.6</v>
      </c>
      <c r="J21" s="256">
        <v>18.522580645161291</v>
      </c>
      <c r="K21" s="256">
        <v>1.374193548387094</v>
      </c>
    </row>
    <row r="22" spans="1:16" ht="14.1" customHeight="1">
      <c r="A22" s="204" t="s">
        <v>94</v>
      </c>
      <c r="B22" s="368"/>
      <c r="C22" s="314">
        <f>'5.1'!E13</f>
        <v>1420.2454921262627</v>
      </c>
      <c r="D22" s="310">
        <f>'5.1'!F13</f>
        <v>15626.359576000021</v>
      </c>
      <c r="E22" s="368"/>
      <c r="F22" s="333">
        <f>'5.1'!H13</f>
        <v>1.1271545673701162</v>
      </c>
      <c r="G22" s="262">
        <v>19.896774193548385</v>
      </c>
      <c r="H22" s="262">
        <v>26.1</v>
      </c>
      <c r="I22" s="262">
        <v>13.6</v>
      </c>
      <c r="J22" s="262">
        <v>18.522580645161291</v>
      </c>
      <c r="K22" s="262">
        <v>1.374193548387094</v>
      </c>
    </row>
    <row r="23" spans="1:16" ht="14.1" customHeight="1">
      <c r="A23" s="204" t="s">
        <v>55</v>
      </c>
      <c r="B23" s="161">
        <f>B21+B22</f>
        <v>2761139</v>
      </c>
      <c r="C23" s="314">
        <f>C21+C22</f>
        <v>281136.87955480901</v>
      </c>
      <c r="D23" s="310">
        <f>D21+D22</f>
        <v>3081451.6432556724</v>
      </c>
      <c r="E23" s="368"/>
      <c r="F23" s="333">
        <f>'5.1'!H14</f>
        <v>-2.5743594441259371E-2</v>
      </c>
      <c r="G23" s="262">
        <v>19.896774193548385</v>
      </c>
      <c r="H23" s="262">
        <v>26.1</v>
      </c>
      <c r="I23" s="262">
        <v>13.6</v>
      </c>
      <c r="J23" s="262">
        <v>18.522580645161291</v>
      </c>
      <c r="K23" s="262">
        <v>1.374193548387094</v>
      </c>
    </row>
    <row r="24" spans="1:16" ht="15" customHeight="1">
      <c r="A24" s="101"/>
      <c r="B24" s="94"/>
      <c r="C24" s="504" t="s">
        <v>244</v>
      </c>
      <c r="D24" s="504"/>
      <c r="E24" s="504"/>
      <c r="F24" s="504"/>
      <c r="G24" s="507" t="s">
        <v>242</v>
      </c>
      <c r="H24" s="507"/>
      <c r="I24" s="507"/>
      <c r="J24" s="507"/>
      <c r="K24" s="507"/>
    </row>
    <row r="25" spans="1:16" ht="15" customHeight="1">
      <c r="A25" s="94"/>
      <c r="B25" s="94"/>
      <c r="C25" s="504"/>
      <c r="D25" s="504"/>
      <c r="E25" s="504"/>
      <c r="F25" s="504"/>
      <c r="G25" s="507" t="s">
        <v>243</v>
      </c>
      <c r="H25" s="507"/>
      <c r="I25" s="507"/>
      <c r="J25" s="507"/>
      <c r="K25" s="507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89" t="s">
        <v>257</v>
      </c>
      <c r="B29" s="489"/>
      <c r="C29" s="489"/>
      <c r="D29" s="489"/>
      <c r="E29" s="489"/>
      <c r="F29" s="489" t="s">
        <v>61</v>
      </c>
      <c r="G29" s="489"/>
      <c r="H29" s="489"/>
      <c r="I29" s="489"/>
      <c r="J29" s="489"/>
      <c r="K29" s="489"/>
    </row>
    <row r="30" spans="1:16" ht="15" customHeight="1">
      <c r="A30" s="120"/>
      <c r="B30" s="505"/>
      <c r="C30" s="505"/>
      <c r="D30" s="120"/>
      <c r="E30" s="120"/>
      <c r="F30" s="120"/>
      <c r="G30" s="120"/>
      <c r="H30" s="505"/>
      <c r="I30" s="505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3:K3"/>
    <mergeCell ref="C24:F25"/>
    <mergeCell ref="C4:F4"/>
    <mergeCell ref="G4:K4"/>
    <mergeCell ref="A2:B2"/>
    <mergeCell ref="F5:F6"/>
    <mergeCell ref="E5:E6"/>
    <mergeCell ref="B30:C30"/>
    <mergeCell ref="H30:I30"/>
    <mergeCell ref="F29:K29"/>
    <mergeCell ref="A29:E29"/>
    <mergeCell ref="B5:B6"/>
    <mergeCell ref="G25:K25"/>
    <mergeCell ref="G24:K2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7"/>
  <sheetViews>
    <sheetView showGridLines="0" topLeftCell="A13" zoomScaleNormal="100" zoomScaleSheetLayoutView="100" workbookViewId="0">
      <selection activeCell="G1" sqref="G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4" customFormat="1" ht="18">
      <c r="A1" s="509" t="str">
        <f>"6.9 Spotřeba zemního plynu a teplota ovzduší podle krajů: "&amp;LOWER(A3)</f>
        <v>6.9 Spotřeba zemního plynu a teplota ovzduší podle krajů: srpen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6" customHeight="1">
      <c r="A2" s="513"/>
      <c r="B2" s="513"/>
      <c r="C2" s="300"/>
      <c r="D2" s="301"/>
      <c r="E2" s="302"/>
      <c r="F2" s="302"/>
      <c r="G2" s="302"/>
      <c r="H2" s="302"/>
      <c r="I2" s="76"/>
      <c r="J2" s="76"/>
      <c r="K2" s="76"/>
    </row>
    <row r="3" spans="1:11" ht="20.100000000000001" customHeight="1">
      <c r="A3" s="472" t="str">
        <f>'3.1'!E5</f>
        <v>Srpen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</row>
    <row r="4" spans="1:11" ht="20.100000000000001" customHeight="1">
      <c r="A4" s="128"/>
      <c r="B4" s="252">
        <f>'3.1'!A4</f>
        <v>2023</v>
      </c>
      <c r="C4" s="527" t="s">
        <v>60</v>
      </c>
      <c r="D4" s="528"/>
      <c r="E4" s="528"/>
      <c r="F4" s="529"/>
      <c r="G4" s="530" t="s">
        <v>186</v>
      </c>
      <c r="H4" s="530"/>
      <c r="I4" s="530"/>
      <c r="J4" s="530"/>
      <c r="K4" s="530"/>
    </row>
    <row r="5" spans="1:11" ht="49.5" customHeight="1">
      <c r="A5" s="272"/>
      <c r="B5" s="480" t="s">
        <v>185</v>
      </c>
      <c r="C5" s="345"/>
      <c r="D5" s="346"/>
      <c r="E5" s="480" t="s">
        <v>279</v>
      </c>
      <c r="F5" s="514" t="s">
        <v>282</v>
      </c>
      <c r="G5" s="369" t="s">
        <v>62</v>
      </c>
      <c r="H5" s="369" t="s">
        <v>173</v>
      </c>
      <c r="I5" s="369" t="s">
        <v>174</v>
      </c>
      <c r="J5" s="369" t="s">
        <v>284</v>
      </c>
      <c r="K5" s="369" t="s">
        <v>285</v>
      </c>
    </row>
    <row r="6" spans="1:11" ht="15" customHeight="1">
      <c r="A6" s="219" t="s">
        <v>187</v>
      </c>
      <c r="B6" s="476"/>
      <c r="C6" s="221" t="s">
        <v>261</v>
      </c>
      <c r="D6" s="219" t="s">
        <v>262</v>
      </c>
      <c r="E6" s="476"/>
      <c r="F6" s="515"/>
      <c r="G6" s="219" t="s">
        <v>230</v>
      </c>
      <c r="H6" s="219" t="s">
        <v>230</v>
      </c>
      <c r="I6" s="219" t="s">
        <v>230</v>
      </c>
      <c r="J6" s="219" t="s">
        <v>230</v>
      </c>
      <c r="K6" s="219" t="s">
        <v>230</v>
      </c>
    </row>
    <row r="7" spans="1:11" ht="14.1" customHeight="1">
      <c r="A7" s="154" t="s">
        <v>8</v>
      </c>
      <c r="B7" s="129">
        <f>'6.1'!D20</f>
        <v>102652</v>
      </c>
      <c r="C7" s="313">
        <f>'6.1'!E20</f>
        <v>8642.0651900000012</v>
      </c>
      <c r="D7" s="129">
        <f>'6.1'!F20</f>
        <v>94777.97064</v>
      </c>
      <c r="E7" s="307">
        <f>D7/$D$21</f>
        <v>3.0075291717790317E-2</v>
      </c>
      <c r="F7" s="332">
        <f>'6.1'!H20</f>
        <v>-5.2338342271519962E-2</v>
      </c>
      <c r="G7" s="326">
        <v>18.287096774193547</v>
      </c>
      <c r="H7" s="327">
        <v>24.8</v>
      </c>
      <c r="I7" s="327">
        <v>11.8</v>
      </c>
      <c r="J7" s="327">
        <v>16.899999999999991</v>
      </c>
      <c r="K7" s="326">
        <v>1.3870967741935551</v>
      </c>
    </row>
    <row r="8" spans="1:11" ht="14.1" customHeight="1">
      <c r="A8" s="154" t="s">
        <v>9</v>
      </c>
      <c r="B8" s="129">
        <f>'6.1'!D50</f>
        <v>374653</v>
      </c>
      <c r="C8" s="313">
        <f>'6.1'!E50</f>
        <v>24762</v>
      </c>
      <c r="D8" s="129">
        <f>'6.1'!F50</f>
        <v>271596.23095</v>
      </c>
      <c r="E8" s="307">
        <f t="shared" ref="E8:E20" si="0">D8/$D$21</f>
        <v>8.618390771733031E-2</v>
      </c>
      <c r="F8" s="332">
        <f>'6.1'!H50</f>
        <v>-6.3414855552109489E-2</v>
      </c>
      <c r="G8" s="326">
        <v>20.138709677419357</v>
      </c>
      <c r="H8" s="327">
        <v>26.4</v>
      </c>
      <c r="I8" s="327">
        <v>13.9</v>
      </c>
      <c r="J8" s="327">
        <v>18.7</v>
      </c>
      <c r="K8" s="326">
        <v>1.4387096774193573</v>
      </c>
    </row>
    <row r="9" spans="1:11" ht="14.1" customHeight="1">
      <c r="A9" s="154" t="s">
        <v>10</v>
      </c>
      <c r="B9" s="129">
        <f>'6.2'!D20</f>
        <v>82368</v>
      </c>
      <c r="C9" s="313">
        <f>'6.2'!E20</f>
        <v>8355.2000000000007</v>
      </c>
      <c r="D9" s="129">
        <f>'6.2'!F20</f>
        <v>91641.415549999991</v>
      </c>
      <c r="E9" s="307">
        <f t="shared" si="0"/>
        <v>2.9079988603747293E-2</v>
      </c>
      <c r="F9" s="332">
        <f>'6.2'!H20</f>
        <v>-1.4914462902483959E-2</v>
      </c>
      <c r="G9" s="326">
        <v>17.158064516129031</v>
      </c>
      <c r="H9" s="327">
        <v>23</v>
      </c>
      <c r="I9" s="327">
        <v>11.2</v>
      </c>
      <c r="J9" s="327">
        <v>16.100000000000009</v>
      </c>
      <c r="K9" s="326">
        <v>1.0580645161290221</v>
      </c>
    </row>
    <row r="10" spans="1:11" ht="14.1" customHeight="1">
      <c r="A10" s="154" t="s">
        <v>92</v>
      </c>
      <c r="B10" s="129">
        <f>'6.2'!D50</f>
        <v>115520</v>
      </c>
      <c r="C10" s="313">
        <f>'6.2'!E50</f>
        <v>9802.4</v>
      </c>
      <c r="D10" s="129">
        <f>'6.2'!F50</f>
        <v>107515.93992999996</v>
      </c>
      <c r="E10" s="307">
        <f t="shared" si="0"/>
        <v>3.4117350644586132E-2</v>
      </c>
      <c r="F10" s="332">
        <f>'6.2'!H50</f>
        <v>-4.7802224488804737E-2</v>
      </c>
      <c r="G10" s="326">
        <v>18.329032258064519</v>
      </c>
      <c r="H10" s="327">
        <v>23.5</v>
      </c>
      <c r="I10" s="327">
        <v>12.6</v>
      </c>
      <c r="J10" s="327">
        <v>16.899999999999991</v>
      </c>
      <c r="K10" s="326">
        <v>1.4290322580645274</v>
      </c>
    </row>
    <row r="11" spans="1:11" ht="14.1" customHeight="1">
      <c r="A11" s="154" t="s">
        <v>11</v>
      </c>
      <c r="B11" s="129">
        <f>'6.3'!D20</f>
        <v>91225</v>
      </c>
      <c r="C11" s="313">
        <f>'6.3'!E20</f>
        <v>8956.7999999999993</v>
      </c>
      <c r="D11" s="129">
        <f>'6.3'!F20</f>
        <v>98240.721310000023</v>
      </c>
      <c r="E11" s="307">
        <f t="shared" si="0"/>
        <v>3.1174104404356452E-2</v>
      </c>
      <c r="F11" s="332">
        <f>'6.3'!H20</f>
        <v>-6.7446848385148722E-2</v>
      </c>
      <c r="G11" s="326">
        <v>18.303225806451611</v>
      </c>
      <c r="H11" s="327">
        <v>23.7</v>
      </c>
      <c r="I11" s="327">
        <v>12.3</v>
      </c>
      <c r="J11" s="327">
        <v>16.300000000000008</v>
      </c>
      <c r="K11" s="326">
        <v>2.0032258064516029</v>
      </c>
    </row>
    <row r="12" spans="1:11" ht="14.1" customHeight="1">
      <c r="A12" s="154" t="s">
        <v>12</v>
      </c>
      <c r="B12" s="129">
        <f>'6.3'!D50</f>
        <v>369869</v>
      </c>
      <c r="C12" s="313">
        <f>'6.3'!E50</f>
        <v>31627.91</v>
      </c>
      <c r="D12" s="129">
        <f>'6.3'!F50</f>
        <v>346778.98044000001</v>
      </c>
      <c r="E12" s="307">
        <f t="shared" si="0"/>
        <v>0.11004117230939377</v>
      </c>
      <c r="F12" s="332">
        <f>'6.3'!H50</f>
        <v>4.8621959491304892E-3</v>
      </c>
      <c r="G12" s="326">
        <v>19.167741935483864</v>
      </c>
      <c r="H12" s="327">
        <v>24.4</v>
      </c>
      <c r="I12" s="327">
        <v>13.7</v>
      </c>
      <c r="J12" s="327">
        <v>16.899999999999991</v>
      </c>
      <c r="K12" s="326">
        <v>2.2677419354838726</v>
      </c>
    </row>
    <row r="13" spans="1:11" ht="14.1" customHeight="1">
      <c r="A13" s="154" t="s">
        <v>13</v>
      </c>
      <c r="B13" s="129">
        <f>'6.4'!D20</f>
        <v>183142</v>
      </c>
      <c r="C13" s="313">
        <f>'6.4'!E20</f>
        <v>14855.299999999997</v>
      </c>
      <c r="D13" s="129">
        <f>'6.4'!F20</f>
        <v>162936.26285000003</v>
      </c>
      <c r="E13" s="307">
        <f t="shared" si="0"/>
        <v>5.1703529876510897E-2</v>
      </c>
      <c r="F13" s="332">
        <f>'6.4'!H20</f>
        <v>-0.10541497549049139</v>
      </c>
      <c r="G13" s="326">
        <v>18.838709677419356</v>
      </c>
      <c r="H13" s="327">
        <v>24</v>
      </c>
      <c r="I13" s="327">
        <v>13.1</v>
      </c>
      <c r="J13" s="327">
        <v>16.600000000000009</v>
      </c>
      <c r="K13" s="326">
        <v>2.2387096774193473</v>
      </c>
    </row>
    <row r="14" spans="1:11" ht="14.1" customHeight="1">
      <c r="A14" s="154" t="s">
        <v>14</v>
      </c>
      <c r="B14" s="129">
        <f>'6.4'!D50</f>
        <v>133878</v>
      </c>
      <c r="C14" s="313">
        <f>'6.4'!E50</f>
        <v>13587.399999999998</v>
      </c>
      <c r="D14" s="129">
        <f>'6.4'!F50</f>
        <v>149030.84715000002</v>
      </c>
      <c r="E14" s="307">
        <f t="shared" si="0"/>
        <v>4.7291012592055121E-2</v>
      </c>
      <c r="F14" s="332">
        <f>'6.4'!H50</f>
        <v>0.11321945024783892</v>
      </c>
      <c r="G14" s="326">
        <v>18.9258064516129</v>
      </c>
      <c r="H14" s="327">
        <v>24.6</v>
      </c>
      <c r="I14" s="327">
        <v>13.2</v>
      </c>
      <c r="J14" s="327">
        <v>17.5</v>
      </c>
      <c r="K14" s="326">
        <v>1.4258064516128997</v>
      </c>
    </row>
    <row r="15" spans="1:11" ht="14.1" customHeight="1">
      <c r="A15" s="154" t="s">
        <v>15</v>
      </c>
      <c r="B15" s="129">
        <f>'6.5'!D20</f>
        <v>156797</v>
      </c>
      <c r="C15" s="313">
        <f>'6.5'!E20</f>
        <v>12065.2</v>
      </c>
      <c r="D15" s="129">
        <f>'6.5'!F20</f>
        <v>132333.92552999995</v>
      </c>
      <c r="E15" s="307">
        <f t="shared" si="0"/>
        <v>4.1992684456100611E-2</v>
      </c>
      <c r="F15" s="332">
        <f>'6.5'!H20</f>
        <v>-0.12051609140941048</v>
      </c>
      <c r="G15" s="326">
        <v>18.600000000000005</v>
      </c>
      <c r="H15" s="327">
        <v>24.6</v>
      </c>
      <c r="I15" s="327">
        <v>12.1</v>
      </c>
      <c r="J15" s="327">
        <v>17</v>
      </c>
      <c r="K15" s="326">
        <v>1.600000000000005</v>
      </c>
    </row>
    <row r="16" spans="1:11" ht="14.1" customHeight="1">
      <c r="A16" s="154" t="s">
        <v>1</v>
      </c>
      <c r="B16" s="129">
        <f>'6.5'!D50</f>
        <v>403655</v>
      </c>
      <c r="C16" s="313">
        <f>'6.5'!E50</f>
        <v>16593.340768669295</v>
      </c>
      <c r="D16" s="129">
        <f>'6.5'!F50</f>
        <v>182223.08859500446</v>
      </c>
      <c r="E16" s="307">
        <f t="shared" si="0"/>
        <v>5.7823695846243001E-2</v>
      </c>
      <c r="F16" s="332">
        <f>'6.5'!H50</f>
        <v>-5.4061048398948278E-2</v>
      </c>
      <c r="G16" s="326">
        <v>20.996774193548386</v>
      </c>
      <c r="H16" s="327">
        <v>26.9</v>
      </c>
      <c r="I16" s="327">
        <v>13.7</v>
      </c>
      <c r="J16" s="327">
        <v>18.5</v>
      </c>
      <c r="K16" s="326">
        <v>2.4967741935483865</v>
      </c>
    </row>
    <row r="17" spans="1:16" ht="14.1" customHeight="1">
      <c r="A17" s="154" t="s">
        <v>16</v>
      </c>
      <c r="B17" s="129">
        <f>'6.6'!D20</f>
        <v>255699</v>
      </c>
      <c r="C17" s="313">
        <f>'6.6'!E20</f>
        <v>43379.415999999997</v>
      </c>
      <c r="D17" s="129">
        <f>'6.6'!F20</f>
        <v>475816.22693</v>
      </c>
      <c r="E17" s="307">
        <f t="shared" si="0"/>
        <v>0.15098774253495736</v>
      </c>
      <c r="F17" s="332">
        <f>'6.6'!H20</f>
        <v>-8.6256869753620929E-2</v>
      </c>
      <c r="G17" s="326">
        <v>19.441935483870971</v>
      </c>
      <c r="H17" s="327">
        <v>25.1</v>
      </c>
      <c r="I17" s="327">
        <v>13.2</v>
      </c>
      <c r="J17" s="327">
        <v>18.100000000000009</v>
      </c>
      <c r="K17" s="326">
        <v>1.3419354838709623</v>
      </c>
      <c r="L17" s="93"/>
      <c r="N17" s="93"/>
      <c r="O17" s="93"/>
      <c r="P17" s="93"/>
    </row>
    <row r="18" spans="1:16" ht="14.1" customHeight="1">
      <c r="A18" s="154" t="s">
        <v>17</v>
      </c>
      <c r="B18" s="129">
        <f>'6.6'!D50</f>
        <v>217691</v>
      </c>
      <c r="C18" s="313">
        <f>'6.6'!E50</f>
        <v>72642.151999999987</v>
      </c>
      <c r="D18" s="129">
        <f>'6.6'!F50</f>
        <v>796778.19859300007</v>
      </c>
      <c r="E18" s="307">
        <f t="shared" si="0"/>
        <v>0.25283656735045645</v>
      </c>
      <c r="F18" s="332">
        <f>'6.6'!H50</f>
        <v>-0.13727318136125413</v>
      </c>
      <c r="G18" s="326">
        <v>19.203225806451616</v>
      </c>
      <c r="H18" s="327">
        <v>24.5</v>
      </c>
      <c r="I18" s="327">
        <v>12.6</v>
      </c>
      <c r="J18" s="327">
        <v>18</v>
      </c>
      <c r="K18" s="326">
        <v>1.2032258064516164</v>
      </c>
      <c r="L18" s="93"/>
      <c r="N18" s="93"/>
      <c r="O18" s="93"/>
      <c r="P18" s="93"/>
    </row>
    <row r="19" spans="1:16" ht="14.1" customHeight="1">
      <c r="A19" s="154" t="s">
        <v>18</v>
      </c>
      <c r="B19" s="129">
        <f>'6.7'!D20</f>
        <v>118437</v>
      </c>
      <c r="C19" s="313">
        <f>'6.7'!E20</f>
        <v>9782.1398199999985</v>
      </c>
      <c r="D19" s="129">
        <f>'6.7'!F20</f>
        <v>107291.18212000001</v>
      </c>
      <c r="E19" s="307">
        <f t="shared" si="0"/>
        <v>3.404602967563148E-2</v>
      </c>
      <c r="F19" s="332">
        <f>'6.7'!H20</f>
        <v>-3.3038144092332661E-2</v>
      </c>
      <c r="G19" s="326">
        <v>18.454838709677418</v>
      </c>
      <c r="H19" s="327">
        <v>25</v>
      </c>
      <c r="I19" s="327">
        <v>12.1</v>
      </c>
      <c r="J19" s="327">
        <v>16.699999999999996</v>
      </c>
      <c r="K19" s="326">
        <v>1.7548387096774221</v>
      </c>
      <c r="L19" s="93"/>
      <c r="N19" s="93"/>
      <c r="O19" s="93"/>
      <c r="P19" s="93"/>
    </row>
    <row r="20" spans="1:16" ht="14.1" customHeight="1">
      <c r="A20" s="204" t="s">
        <v>19</v>
      </c>
      <c r="B20" s="310">
        <f>'6.7'!D50</f>
        <v>153256</v>
      </c>
      <c r="C20" s="314">
        <f>'6.7'!E50</f>
        <v>12253.100000000002</v>
      </c>
      <c r="D20" s="310">
        <f>'6.7'!F50</f>
        <v>134395.66222000003</v>
      </c>
      <c r="E20" s="311">
        <f t="shared" si="0"/>
        <v>4.2646922270840805E-2</v>
      </c>
      <c r="F20" s="333">
        <f>'6.7'!H50</f>
        <v>-6.54621169364063E-2</v>
      </c>
      <c r="G20" s="328">
        <v>18.570967741935483</v>
      </c>
      <c r="H20" s="329">
        <v>24.5</v>
      </c>
      <c r="I20" s="329">
        <v>12.5</v>
      </c>
      <c r="J20" s="329">
        <v>17.899999999999991</v>
      </c>
      <c r="K20" s="328">
        <v>0.6709677419354918</v>
      </c>
      <c r="L20" s="93"/>
    </row>
    <row r="21" spans="1:16" ht="14.1" customHeight="1">
      <c r="A21" s="154" t="s">
        <v>0</v>
      </c>
      <c r="B21" s="156">
        <f>SUM(B7:B20)</f>
        <v>2758842</v>
      </c>
      <c r="C21" s="313">
        <f>SUM(C7:C20)</f>
        <v>287304.42377866927</v>
      </c>
      <c r="D21" s="129">
        <f>SUM(D7:D20)</f>
        <v>3151356.6528080045</v>
      </c>
      <c r="E21" s="367">
        <f>SUM(E7:E20)</f>
        <v>1</v>
      </c>
      <c r="F21" s="332"/>
      <c r="G21" s="256">
        <v>18.838709677419359</v>
      </c>
      <c r="H21" s="256">
        <v>24.6</v>
      </c>
      <c r="I21" s="256">
        <v>12.9</v>
      </c>
      <c r="J21" s="256">
        <v>18.119354838709679</v>
      </c>
      <c r="K21" s="256">
        <v>0.71935483870968042</v>
      </c>
    </row>
    <row r="22" spans="1:16" ht="14.1" customHeight="1">
      <c r="A22" s="204" t="s">
        <v>94</v>
      </c>
      <c r="B22" s="368"/>
      <c r="C22" s="314">
        <f>'5.1'!E20</f>
        <v>308.87319884148945</v>
      </c>
      <c r="D22" s="310">
        <f>'5.1'!F20</f>
        <v>3525.4763180000004</v>
      </c>
      <c r="E22" s="368"/>
      <c r="F22" s="333">
        <f>'5.1'!H20</f>
        <v>-0.56936082485983674</v>
      </c>
      <c r="G22" s="262">
        <v>18.838709677419359</v>
      </c>
      <c r="H22" s="262">
        <v>24.6</v>
      </c>
      <c r="I22" s="262">
        <v>12.9</v>
      </c>
      <c r="J22" s="262">
        <v>18.119354838709679</v>
      </c>
      <c r="K22" s="262">
        <v>0.71935483870968042</v>
      </c>
    </row>
    <row r="23" spans="1:16" ht="14.1" customHeight="1">
      <c r="A23" s="204" t="s">
        <v>55</v>
      </c>
      <c r="B23" s="161">
        <f>B21+B22</f>
        <v>2758842</v>
      </c>
      <c r="C23" s="314">
        <f t="shared" ref="C23:D23" si="1">C21+C22</f>
        <v>287613.29697751073</v>
      </c>
      <c r="D23" s="310">
        <f t="shared" si="1"/>
        <v>3154882.1291260044</v>
      </c>
      <c r="E23" s="368"/>
      <c r="F23" s="333">
        <f>'5.1'!H21</f>
        <v>-7.5510983296913844E-2</v>
      </c>
      <c r="G23" s="262">
        <v>18.838709677419359</v>
      </c>
      <c r="H23" s="262">
        <v>24.6</v>
      </c>
      <c r="I23" s="262">
        <v>12.9</v>
      </c>
      <c r="J23" s="262">
        <v>18.119354838709679</v>
      </c>
      <c r="K23" s="262">
        <v>0.71935483870968042</v>
      </c>
    </row>
    <row r="24" spans="1:16" ht="15" customHeight="1">
      <c r="A24" s="101"/>
      <c r="B24" s="94"/>
      <c r="C24" s="504" t="s">
        <v>244</v>
      </c>
      <c r="D24" s="504"/>
      <c r="E24" s="504"/>
      <c r="F24" s="504"/>
      <c r="G24" s="507" t="s">
        <v>242</v>
      </c>
      <c r="H24" s="507"/>
      <c r="I24" s="507"/>
      <c r="J24" s="507"/>
      <c r="K24" s="507"/>
    </row>
    <row r="25" spans="1:16" ht="15" customHeight="1">
      <c r="A25" s="94"/>
      <c r="B25" s="94"/>
      <c r="C25" s="504"/>
      <c r="D25" s="504"/>
      <c r="E25" s="504"/>
      <c r="F25" s="504"/>
      <c r="G25" s="507" t="s">
        <v>243</v>
      </c>
      <c r="H25" s="507"/>
      <c r="I25" s="507"/>
      <c r="J25" s="507"/>
      <c r="K25" s="507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89" t="s">
        <v>257</v>
      </c>
      <c r="B29" s="489"/>
      <c r="C29" s="489"/>
      <c r="D29" s="489"/>
      <c r="E29" s="489"/>
      <c r="F29" s="489" t="s">
        <v>61</v>
      </c>
      <c r="G29" s="489"/>
      <c r="H29" s="489"/>
      <c r="I29" s="489"/>
      <c r="J29" s="489"/>
      <c r="K29" s="489"/>
    </row>
    <row r="30" spans="1:16" ht="15" customHeight="1">
      <c r="A30" s="120"/>
      <c r="B30" s="505"/>
      <c r="C30" s="505"/>
      <c r="D30" s="120"/>
      <c r="E30" s="120"/>
      <c r="F30" s="120"/>
      <c r="G30" s="120"/>
      <c r="H30" s="505"/>
      <c r="I30" s="505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zoomScaleNormal="100" zoomScaleSheetLayoutView="100" workbookViewId="0">
      <selection activeCell="G1" sqref="G1"/>
    </sheetView>
  </sheetViews>
  <sheetFormatPr defaultColWidth="9.140625" defaultRowHeight="11.25"/>
  <cols>
    <col min="1" max="1" width="90.28515625" style="4" customWidth="1"/>
    <col min="2" max="2" width="9.140625" style="2" customWidth="1"/>
    <col min="3" max="4" width="9.140625" style="4" customWidth="1"/>
    <col min="5" max="5" width="9.140625" style="4"/>
    <col min="6" max="6" width="9.140625" style="4" customWidth="1"/>
    <col min="7" max="8" width="9.140625" style="4"/>
    <col min="9" max="9" width="9.140625" style="4" customWidth="1"/>
    <col min="10" max="16384" width="9.140625" style="4"/>
  </cols>
  <sheetData>
    <row r="1" spans="1:4" ht="20.25">
      <c r="A1" s="45" t="s">
        <v>246</v>
      </c>
      <c r="C1" s="3"/>
      <c r="D1" s="3"/>
    </row>
    <row r="2" spans="1:4" s="6" customFormat="1" ht="6" customHeight="1">
      <c r="A2" s="5"/>
      <c r="B2" s="5"/>
      <c r="C2" s="5"/>
      <c r="D2" s="5"/>
    </row>
    <row r="3" spans="1:4" ht="11.25" customHeight="1">
      <c r="A3" s="418" t="s">
        <v>318</v>
      </c>
      <c r="B3" s="418"/>
    </row>
    <row r="4" spans="1:4" ht="11.25" customHeight="1">
      <c r="A4" s="418"/>
      <c r="B4" s="418"/>
    </row>
    <row r="5" spans="1:4" ht="11.25" customHeight="1">
      <c r="A5" s="418"/>
      <c r="B5" s="418"/>
      <c r="C5" s="7"/>
      <c r="D5" s="7"/>
    </row>
    <row r="6" spans="1:4" ht="11.25" customHeight="1">
      <c r="A6" s="418"/>
      <c r="B6" s="418"/>
      <c r="C6" s="7"/>
      <c r="D6" s="7"/>
    </row>
    <row r="7" spans="1:4" ht="11.25" customHeight="1">
      <c r="A7" s="418"/>
      <c r="B7" s="418"/>
      <c r="C7" s="8"/>
      <c r="D7" s="7"/>
    </row>
    <row r="8" spans="1:4" ht="11.25" customHeight="1">
      <c r="A8" s="418"/>
      <c r="B8" s="418"/>
      <c r="C8" s="7"/>
      <c r="D8" s="7"/>
    </row>
    <row r="9" spans="1:4" ht="11.25" customHeight="1">
      <c r="A9" s="418"/>
      <c r="B9" s="418"/>
      <c r="C9" s="7"/>
      <c r="D9" s="7"/>
    </row>
    <row r="10" spans="1:4" ht="11.25" customHeight="1">
      <c r="A10" s="418"/>
      <c r="B10" s="418"/>
      <c r="C10" s="7"/>
      <c r="D10" s="7"/>
    </row>
    <row r="11" spans="1:4" ht="11.25" customHeight="1">
      <c r="A11" s="418"/>
      <c r="B11" s="418"/>
      <c r="C11" s="7"/>
      <c r="D11" s="7"/>
    </row>
    <row r="12" spans="1:4" ht="11.25" customHeight="1">
      <c r="A12" s="418"/>
      <c r="B12" s="418"/>
      <c r="C12" s="7"/>
      <c r="D12" s="7"/>
    </row>
    <row r="13" spans="1:4" ht="11.25" customHeight="1">
      <c r="A13" s="418"/>
      <c r="B13" s="418"/>
      <c r="C13" s="7"/>
      <c r="D13" s="7"/>
    </row>
    <row r="14" spans="1:4" ht="11.25" customHeight="1">
      <c r="A14" s="418"/>
      <c r="B14" s="418"/>
      <c r="C14" s="7"/>
      <c r="D14" s="7"/>
    </row>
    <row r="15" spans="1:4" ht="11.25" customHeight="1">
      <c r="A15" s="418"/>
      <c r="B15" s="418"/>
      <c r="C15" s="7"/>
      <c r="D15" s="7"/>
    </row>
    <row r="16" spans="1:4" ht="11.25" customHeight="1">
      <c r="A16" s="418"/>
      <c r="B16" s="418"/>
      <c r="C16" s="7"/>
      <c r="D16" s="7"/>
    </row>
    <row r="17" spans="1:6" ht="11.25" customHeight="1">
      <c r="A17" s="418"/>
      <c r="B17" s="418"/>
      <c r="C17" s="7"/>
      <c r="D17" s="7"/>
    </row>
    <row r="18" spans="1:6" ht="11.25" customHeight="1">
      <c r="A18" s="418"/>
      <c r="B18" s="418"/>
      <c r="C18" s="7"/>
      <c r="D18" s="7"/>
      <c r="F18" s="2"/>
    </row>
    <row r="19" spans="1:6" ht="11.25" customHeight="1">
      <c r="A19" s="418"/>
      <c r="B19" s="418"/>
      <c r="C19" s="7"/>
      <c r="D19" s="7"/>
      <c r="F19" s="2"/>
    </row>
    <row r="20" spans="1:6" ht="11.25" customHeight="1">
      <c r="A20" s="418"/>
      <c r="B20" s="418"/>
      <c r="C20" s="7"/>
      <c r="D20" s="7"/>
      <c r="F20" s="2"/>
    </row>
    <row r="21" spans="1:6" ht="11.25" customHeight="1">
      <c r="A21" s="418"/>
      <c r="B21" s="418"/>
      <c r="C21" s="7"/>
      <c r="D21" s="7"/>
      <c r="F21" s="2"/>
    </row>
    <row r="22" spans="1:6" ht="11.25" customHeight="1">
      <c r="A22" s="418"/>
      <c r="B22" s="418"/>
      <c r="C22" s="7"/>
      <c r="D22" s="7"/>
      <c r="F22" s="2"/>
    </row>
    <row r="23" spans="1:6" ht="11.25" customHeight="1">
      <c r="A23" s="418"/>
      <c r="B23" s="418"/>
      <c r="C23" s="7"/>
      <c r="D23" s="7"/>
      <c r="F23" s="2"/>
    </row>
    <row r="24" spans="1:6" ht="11.25" customHeight="1">
      <c r="A24" s="418"/>
      <c r="B24" s="418"/>
      <c r="C24" s="7"/>
      <c r="D24" s="7"/>
      <c r="F24" s="2"/>
    </row>
    <row r="25" spans="1:6" ht="11.25" customHeight="1">
      <c r="A25" s="418"/>
      <c r="B25" s="418"/>
      <c r="C25" s="7"/>
      <c r="D25" s="7"/>
      <c r="F25" s="2"/>
    </row>
    <row r="26" spans="1:6" ht="11.25" customHeight="1">
      <c r="A26" s="418"/>
      <c r="B26" s="418"/>
      <c r="C26" s="7"/>
      <c r="D26" s="7"/>
      <c r="F26" s="2"/>
    </row>
    <row r="27" spans="1:6" ht="11.25" customHeight="1">
      <c r="A27" s="418"/>
      <c r="B27" s="418"/>
      <c r="C27" s="7"/>
      <c r="D27" s="7"/>
      <c r="F27" s="2"/>
    </row>
    <row r="28" spans="1:6" ht="11.25" customHeight="1">
      <c r="A28" s="418"/>
      <c r="B28" s="418"/>
      <c r="C28" s="9"/>
      <c r="D28" s="9"/>
      <c r="F28" s="2"/>
    </row>
    <row r="29" spans="1:6" ht="11.25" customHeight="1">
      <c r="A29" s="418"/>
      <c r="B29" s="418"/>
      <c r="C29" s="7"/>
      <c r="D29" s="7"/>
      <c r="F29" s="2"/>
    </row>
    <row r="30" spans="1:6" ht="11.25" customHeight="1">
      <c r="A30" s="418"/>
      <c r="B30" s="418"/>
      <c r="C30" s="7"/>
      <c r="D30" s="7"/>
    </row>
    <row r="31" spans="1:6" ht="11.25" customHeight="1">
      <c r="A31" s="418"/>
      <c r="B31" s="418"/>
      <c r="C31" s="7"/>
      <c r="D31" s="7"/>
    </row>
    <row r="32" spans="1:6" ht="11.25" customHeight="1">
      <c r="A32" s="418"/>
      <c r="B32" s="418"/>
      <c r="C32" s="7"/>
      <c r="D32" s="7"/>
    </row>
    <row r="33" spans="1:4" ht="11.25" customHeight="1">
      <c r="A33" s="418"/>
      <c r="B33" s="418"/>
      <c r="C33" s="7"/>
      <c r="D33" s="7"/>
    </row>
    <row r="34" spans="1:4" ht="11.25" customHeight="1">
      <c r="A34" s="418"/>
      <c r="B34" s="418"/>
      <c r="C34" s="7"/>
      <c r="D34" s="7"/>
    </row>
    <row r="35" spans="1:4" ht="11.25" customHeight="1">
      <c r="A35" s="418"/>
      <c r="B35" s="418"/>
      <c r="C35" s="7"/>
      <c r="D35" s="7"/>
    </row>
    <row r="36" spans="1:4" ht="11.25" customHeight="1">
      <c r="A36" s="418"/>
      <c r="B36" s="418"/>
      <c r="C36" s="7"/>
      <c r="D36" s="7"/>
    </row>
    <row r="37" spans="1:4" ht="11.25" customHeight="1">
      <c r="A37" s="418"/>
      <c r="B37" s="418"/>
      <c r="C37" s="10"/>
      <c r="D37" s="10"/>
    </row>
    <row r="38" spans="1:4" ht="11.25" customHeight="1">
      <c r="A38" s="418"/>
      <c r="B38" s="418"/>
    </row>
    <row r="39" spans="1:4" ht="11.25" customHeight="1">
      <c r="A39" s="418"/>
      <c r="B39" s="418"/>
    </row>
    <row r="40" spans="1:4" ht="11.25" customHeight="1">
      <c r="A40" s="418"/>
      <c r="B40" s="418"/>
    </row>
    <row r="41" spans="1:4" ht="11.25" customHeight="1">
      <c r="A41" s="418"/>
      <c r="B41" s="418"/>
    </row>
    <row r="42" spans="1:4" ht="11.25" customHeight="1">
      <c r="A42" s="418"/>
      <c r="B42" s="418"/>
    </row>
    <row r="43" spans="1:4" ht="11.25" customHeight="1">
      <c r="A43" s="418"/>
      <c r="B43" s="418"/>
    </row>
    <row r="44" spans="1:4" ht="11.25" customHeight="1">
      <c r="A44" s="418"/>
      <c r="B44" s="418"/>
    </row>
    <row r="45" spans="1:4" ht="11.25" customHeight="1">
      <c r="A45" s="418"/>
      <c r="B45" s="418"/>
    </row>
    <row r="46" spans="1:4" ht="11.25" customHeight="1">
      <c r="A46" s="418"/>
      <c r="B46" s="418"/>
    </row>
    <row r="47" spans="1:4" ht="11.25" customHeight="1">
      <c r="A47" s="418"/>
      <c r="B47" s="418"/>
    </row>
    <row r="48" spans="1:4" ht="11.25" customHeight="1">
      <c r="A48" s="418"/>
      <c r="B48" s="418"/>
    </row>
    <row r="49" spans="1:2" ht="11.25" customHeight="1">
      <c r="A49" s="418"/>
      <c r="B49" s="418"/>
    </row>
    <row r="50" spans="1:2" ht="11.25" customHeight="1">
      <c r="A50" s="418"/>
      <c r="B50" s="418"/>
    </row>
    <row r="51" spans="1:2" ht="11.25" customHeight="1">
      <c r="A51" s="418"/>
      <c r="B51" s="418"/>
    </row>
    <row r="52" spans="1:2" ht="11.25" customHeight="1">
      <c r="A52" s="418"/>
      <c r="B52" s="418"/>
    </row>
    <row r="53" spans="1:2" ht="11.25" customHeight="1">
      <c r="A53" s="418"/>
      <c r="B53" s="418"/>
    </row>
    <row r="54" spans="1:2" ht="11.25" customHeight="1">
      <c r="A54" s="418"/>
      <c r="B54" s="418"/>
    </row>
    <row r="55" spans="1:2" ht="11.25" customHeight="1">
      <c r="A55" s="418"/>
      <c r="B55" s="418"/>
    </row>
    <row r="56" spans="1:2" ht="11.25" customHeight="1">
      <c r="A56" s="418"/>
      <c r="B56" s="418"/>
    </row>
    <row r="57" spans="1:2" ht="11.25" customHeight="1">
      <c r="A57" s="418"/>
      <c r="B57" s="418"/>
    </row>
    <row r="58" spans="1:2" ht="11.25" customHeight="1">
      <c r="A58" s="418"/>
      <c r="B58" s="418"/>
    </row>
    <row r="59" spans="1:2" ht="11.25" customHeight="1">
      <c r="A59" s="418"/>
      <c r="B59" s="418"/>
    </row>
    <row r="60" spans="1:2" ht="11.25" customHeight="1">
      <c r="A60" s="418"/>
      <c r="B60" s="418"/>
    </row>
    <row r="61" spans="1:2" ht="11.25" customHeight="1">
      <c r="A61" s="418"/>
      <c r="B61" s="418"/>
    </row>
    <row r="62" spans="1:2" ht="11.25" customHeight="1">
      <c r="A62" s="418"/>
      <c r="B62" s="418"/>
    </row>
    <row r="63" spans="1:2" ht="11.25" customHeight="1">
      <c r="A63" s="418"/>
      <c r="B63" s="418"/>
    </row>
    <row r="64" spans="1:2" ht="11.25" customHeight="1">
      <c r="A64" s="418"/>
      <c r="B64" s="418"/>
    </row>
    <row r="65" spans="1:2" ht="11.25" customHeight="1">
      <c r="A65" s="418"/>
      <c r="B65" s="418"/>
    </row>
    <row r="66" spans="1:2" ht="11.25" customHeight="1">
      <c r="A66" s="418"/>
      <c r="B66" s="418"/>
    </row>
    <row r="67" spans="1:2" ht="11.25" customHeight="1">
      <c r="A67" s="418"/>
      <c r="B67" s="418"/>
    </row>
    <row r="68" spans="1:2" ht="11.25" customHeight="1">
      <c r="A68" s="418"/>
      <c r="B68" s="418"/>
    </row>
    <row r="69" spans="1:2" ht="11.25" customHeight="1">
      <c r="A69" s="418"/>
      <c r="B69" s="418"/>
    </row>
    <row r="70" spans="1:2" ht="11.25" customHeight="1">
      <c r="A70" s="418"/>
      <c r="B70" s="418"/>
    </row>
    <row r="71" spans="1:2" ht="11.25" customHeight="1">
      <c r="A71" s="418"/>
      <c r="B71" s="418"/>
    </row>
    <row r="72" spans="1:2" ht="11.25" customHeight="1">
      <c r="A72" s="11"/>
      <c r="B72" s="11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7"/>
  <sheetViews>
    <sheetView showGridLines="0" topLeftCell="A13" zoomScaleNormal="100" zoomScaleSheetLayoutView="100" workbookViewId="0">
      <selection activeCell="G1" sqref="G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4" customFormat="1" ht="18">
      <c r="A1" s="509" t="str">
        <f>"6.10 Spotřeba zemního plynu a teplota ovzduší podle krajů: "&amp;LOWER(A3)</f>
        <v>6.10 Spotřeba zemního plynu a teplota ovzduší podle krajů: září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6" customHeight="1">
      <c r="A2" s="513"/>
      <c r="B2" s="513"/>
      <c r="C2" s="300"/>
      <c r="D2" s="301"/>
      <c r="E2" s="302"/>
      <c r="F2" s="302"/>
      <c r="G2" s="302"/>
      <c r="H2" s="302"/>
      <c r="I2" s="76"/>
      <c r="J2" s="76"/>
      <c r="K2" s="76"/>
    </row>
    <row r="3" spans="1:11" ht="20.100000000000001" customHeight="1">
      <c r="A3" s="472" t="str">
        <f>'3.1'!F5</f>
        <v>Září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</row>
    <row r="4" spans="1:11" ht="20.100000000000001" customHeight="1">
      <c r="A4" s="128"/>
      <c r="B4" s="252">
        <f>'3.1'!A4</f>
        <v>2023</v>
      </c>
      <c r="C4" s="527" t="s">
        <v>60</v>
      </c>
      <c r="D4" s="528"/>
      <c r="E4" s="528"/>
      <c r="F4" s="529"/>
      <c r="G4" s="530" t="s">
        <v>186</v>
      </c>
      <c r="H4" s="530"/>
      <c r="I4" s="530"/>
      <c r="J4" s="530"/>
      <c r="K4" s="530"/>
    </row>
    <row r="5" spans="1:11" ht="49.5" customHeight="1">
      <c r="A5" s="272"/>
      <c r="B5" s="480" t="s">
        <v>185</v>
      </c>
      <c r="C5" s="345"/>
      <c r="D5" s="346"/>
      <c r="E5" s="480" t="s">
        <v>279</v>
      </c>
      <c r="F5" s="514" t="s">
        <v>282</v>
      </c>
      <c r="G5" s="369" t="s">
        <v>62</v>
      </c>
      <c r="H5" s="369" t="s">
        <v>173</v>
      </c>
      <c r="I5" s="369" t="s">
        <v>174</v>
      </c>
      <c r="J5" s="369" t="s">
        <v>284</v>
      </c>
      <c r="K5" s="369" t="s">
        <v>285</v>
      </c>
    </row>
    <row r="6" spans="1:11" ht="15" customHeight="1">
      <c r="A6" s="219" t="s">
        <v>187</v>
      </c>
      <c r="B6" s="476"/>
      <c r="C6" s="221" t="s">
        <v>261</v>
      </c>
      <c r="D6" s="219" t="s">
        <v>262</v>
      </c>
      <c r="E6" s="476"/>
      <c r="F6" s="515"/>
      <c r="G6" s="219" t="s">
        <v>230</v>
      </c>
      <c r="H6" s="219" t="s">
        <v>230</v>
      </c>
      <c r="I6" s="219" t="s">
        <v>230</v>
      </c>
      <c r="J6" s="219" t="s">
        <v>230</v>
      </c>
      <c r="K6" s="219" t="s">
        <v>230</v>
      </c>
    </row>
    <row r="7" spans="1:11" ht="14.1" customHeight="1">
      <c r="A7" s="154" t="s">
        <v>8</v>
      </c>
      <c r="B7" s="129">
        <f>'6.1'!D26</f>
        <v>102595</v>
      </c>
      <c r="C7" s="313">
        <f>'6.1'!E26</f>
        <v>8769.3216499999999</v>
      </c>
      <c r="D7" s="129">
        <f>'6.1'!F26</f>
        <v>96157.041189999989</v>
      </c>
      <c r="E7" s="307">
        <f>D7/$D$21</f>
        <v>2.9081315091001692E-2</v>
      </c>
      <c r="F7" s="332">
        <f>'6.1'!H26</f>
        <v>-0.34061102054902226</v>
      </c>
      <c r="G7" s="326">
        <v>15.906666666666666</v>
      </c>
      <c r="H7" s="327">
        <v>19.399999999999999</v>
      </c>
      <c r="I7" s="327">
        <v>10</v>
      </c>
      <c r="J7" s="327">
        <v>12.600000000000003</v>
      </c>
      <c r="K7" s="326">
        <v>3.3066666666666631</v>
      </c>
    </row>
    <row r="8" spans="1:11" ht="14.1" customHeight="1">
      <c r="A8" s="154" t="s">
        <v>9</v>
      </c>
      <c r="B8" s="129">
        <f>'6.1'!D56</f>
        <v>374359</v>
      </c>
      <c r="C8" s="313">
        <f>'6.1'!E56</f>
        <v>23903.8</v>
      </c>
      <c r="D8" s="129">
        <f>'6.1'!F56</f>
        <v>262479.95943999989</v>
      </c>
      <c r="E8" s="307">
        <f t="shared" ref="E8:E20" si="0">D8/$D$21</f>
        <v>7.9383291239849579E-2</v>
      </c>
      <c r="F8" s="332">
        <f>'6.1'!H56</f>
        <v>-0.41372307601748259</v>
      </c>
      <c r="G8" s="326">
        <v>18.02</v>
      </c>
      <c r="H8" s="327">
        <v>21.4</v>
      </c>
      <c r="I8" s="327">
        <v>14.2</v>
      </c>
      <c r="J8" s="327">
        <v>14.199999999999992</v>
      </c>
      <c r="K8" s="326">
        <v>3.8200000000000074</v>
      </c>
    </row>
    <row r="9" spans="1:11" ht="14.1" customHeight="1">
      <c r="A9" s="154" t="s">
        <v>10</v>
      </c>
      <c r="B9" s="129">
        <f>'6.2'!D26</f>
        <v>82300</v>
      </c>
      <c r="C9" s="313">
        <f>'6.2'!E26</f>
        <v>7648.0999999999995</v>
      </c>
      <c r="D9" s="129">
        <f>'6.2'!F26</f>
        <v>83981.166910000014</v>
      </c>
      <c r="E9" s="307">
        <f t="shared" si="0"/>
        <v>2.539889691274844E-2</v>
      </c>
      <c r="F9" s="332">
        <f>'6.2'!H26</f>
        <v>-0.21982842162173183</v>
      </c>
      <c r="G9" s="326">
        <v>14.750000000000004</v>
      </c>
      <c r="H9" s="327">
        <v>19</v>
      </c>
      <c r="I9" s="327">
        <v>9</v>
      </c>
      <c r="J9" s="327">
        <v>11.800000000000006</v>
      </c>
      <c r="K9" s="326">
        <v>2.9499999999999975</v>
      </c>
    </row>
    <row r="10" spans="1:11" ht="14.1" customHeight="1">
      <c r="A10" s="154" t="s">
        <v>92</v>
      </c>
      <c r="B10" s="129">
        <f>'6.2'!D56</f>
        <v>115426</v>
      </c>
      <c r="C10" s="313">
        <f>'6.2'!E56</f>
        <v>9837.6</v>
      </c>
      <c r="D10" s="129">
        <f>'6.2'!F56</f>
        <v>108024.43651999997</v>
      </c>
      <c r="E10" s="307">
        <f t="shared" si="0"/>
        <v>3.2670438244440637E-2</v>
      </c>
      <c r="F10" s="332">
        <f>'6.2'!H56</f>
        <v>-0.32869308876514891</v>
      </c>
      <c r="G10" s="326">
        <v>16.076666666666668</v>
      </c>
      <c r="H10" s="327">
        <v>19.899999999999999</v>
      </c>
      <c r="I10" s="327">
        <v>10.9</v>
      </c>
      <c r="J10" s="327">
        <v>12.600000000000003</v>
      </c>
      <c r="K10" s="326">
        <v>3.4766666666666648</v>
      </c>
    </row>
    <row r="11" spans="1:11" ht="14.1" customHeight="1">
      <c r="A11" s="154" t="s">
        <v>11</v>
      </c>
      <c r="B11" s="129">
        <f>'6.3'!D26</f>
        <v>91151</v>
      </c>
      <c r="C11" s="313">
        <f>'6.3'!E26</f>
        <v>9207.7000000000007</v>
      </c>
      <c r="D11" s="129">
        <f>'6.3'!F26</f>
        <v>101106.24248999999</v>
      </c>
      <c r="E11" s="307">
        <f t="shared" si="0"/>
        <v>3.0578129891799279E-2</v>
      </c>
      <c r="F11" s="332">
        <f>'6.3'!H26</f>
        <v>-0.34258419665997886</v>
      </c>
      <c r="G11" s="326">
        <v>15.963333333333336</v>
      </c>
      <c r="H11" s="327">
        <v>19.899999999999999</v>
      </c>
      <c r="I11" s="327">
        <v>9.4</v>
      </c>
      <c r="J11" s="327">
        <v>12.300000000000006</v>
      </c>
      <c r="K11" s="326">
        <v>3.6633333333333304</v>
      </c>
    </row>
    <row r="12" spans="1:11" ht="14.1" customHeight="1">
      <c r="A12" s="154" t="s">
        <v>12</v>
      </c>
      <c r="B12" s="129">
        <f>'6.3'!D56</f>
        <v>369571</v>
      </c>
      <c r="C12" s="313">
        <f>'6.3'!E56</f>
        <v>38514.176999999996</v>
      </c>
      <c r="D12" s="129">
        <f>'6.3'!F56</f>
        <v>422679.74448999995</v>
      </c>
      <c r="E12" s="307">
        <f t="shared" si="0"/>
        <v>0.12783341375707918</v>
      </c>
      <c r="F12" s="332">
        <f>'6.3'!H56</f>
        <v>-8.8575008696763602E-2</v>
      </c>
      <c r="G12" s="326">
        <v>16.50333333333333</v>
      </c>
      <c r="H12" s="327">
        <v>19.8</v>
      </c>
      <c r="I12" s="327">
        <v>11.4</v>
      </c>
      <c r="J12" s="327">
        <v>12.699999999999994</v>
      </c>
      <c r="K12" s="326">
        <v>3.8033333333333363</v>
      </c>
    </row>
    <row r="13" spans="1:11" ht="14.1" customHeight="1">
      <c r="A13" s="154" t="s">
        <v>13</v>
      </c>
      <c r="B13" s="129">
        <f>'6.4'!D26</f>
        <v>182990.93900000001</v>
      </c>
      <c r="C13" s="313">
        <f>'6.4'!E26</f>
        <v>14978.8</v>
      </c>
      <c r="D13" s="129">
        <f>'6.4'!F26</f>
        <v>164478.92584000004</v>
      </c>
      <c r="E13" s="307">
        <f t="shared" si="0"/>
        <v>4.9744287147221254E-2</v>
      </c>
      <c r="F13" s="332">
        <f>'6.4'!H26</f>
        <v>-0.30437932475734925</v>
      </c>
      <c r="G13" s="326">
        <v>16.786666666666669</v>
      </c>
      <c r="H13" s="327">
        <v>20.2</v>
      </c>
      <c r="I13" s="327">
        <v>12.2</v>
      </c>
      <c r="J13" s="327">
        <v>12.5</v>
      </c>
      <c r="K13" s="326">
        <v>4.2866666666666688</v>
      </c>
    </row>
    <row r="14" spans="1:11" ht="14.1" customHeight="1">
      <c r="A14" s="154" t="s">
        <v>14</v>
      </c>
      <c r="B14" s="129">
        <f>'6.4'!D56</f>
        <v>133767</v>
      </c>
      <c r="C14" s="313">
        <f>'6.4'!E56</f>
        <v>12430.300000000001</v>
      </c>
      <c r="D14" s="129">
        <f>'6.4'!F56</f>
        <v>136494.63160999995</v>
      </c>
      <c r="E14" s="307">
        <f t="shared" si="0"/>
        <v>4.1280839561579782E-2</v>
      </c>
      <c r="F14" s="332">
        <f>'6.4'!H56</f>
        <v>-0.24934175564036906</v>
      </c>
      <c r="G14" s="326">
        <v>16.779999999999998</v>
      </c>
      <c r="H14" s="327">
        <v>20.5</v>
      </c>
      <c r="I14" s="327">
        <v>11.7</v>
      </c>
      <c r="J14" s="327">
        <v>13.300000000000008</v>
      </c>
      <c r="K14" s="326">
        <v>3.4799999999999898</v>
      </c>
    </row>
    <row r="15" spans="1:11" ht="14.1" customHeight="1">
      <c r="A15" s="154" t="s">
        <v>15</v>
      </c>
      <c r="B15" s="129">
        <f>'6.5'!D26</f>
        <v>156670</v>
      </c>
      <c r="C15" s="313">
        <f>'6.5'!E26</f>
        <v>13183.299999999997</v>
      </c>
      <c r="D15" s="129">
        <f>'6.5'!F26</f>
        <v>144762.48605999997</v>
      </c>
      <c r="E15" s="307">
        <f t="shared" si="0"/>
        <v>4.3781333310258019E-2</v>
      </c>
      <c r="F15" s="332">
        <f>'6.5'!H26</f>
        <v>-0.26293043201145033</v>
      </c>
      <c r="G15" s="326">
        <v>15.953333333333338</v>
      </c>
      <c r="H15" s="327">
        <v>20.399999999999999</v>
      </c>
      <c r="I15" s="327">
        <v>9.6999999999999993</v>
      </c>
      <c r="J15" s="327">
        <v>12.800000000000006</v>
      </c>
      <c r="K15" s="326">
        <v>3.1533333333333324</v>
      </c>
    </row>
    <row r="16" spans="1:11" ht="14.1" customHeight="1">
      <c r="A16" s="154" t="s">
        <v>1</v>
      </c>
      <c r="B16" s="129">
        <f>'6.5'!D56</f>
        <v>403195</v>
      </c>
      <c r="C16" s="313">
        <f>'6.5'!E56</f>
        <v>17462.966013485595</v>
      </c>
      <c r="D16" s="129">
        <f>'6.5'!F56</f>
        <v>192399.44745999193</v>
      </c>
      <c r="E16" s="307">
        <f t="shared" si="0"/>
        <v>5.8188447623537483E-2</v>
      </c>
      <c r="F16" s="332">
        <f>'6.5'!H56</f>
        <v>-0.39548237844032635</v>
      </c>
      <c r="G16" s="326">
        <v>18.766666666666666</v>
      </c>
      <c r="H16" s="327">
        <v>23.1</v>
      </c>
      <c r="I16" s="327">
        <v>13</v>
      </c>
      <c r="J16" s="327">
        <v>14.100000000000005</v>
      </c>
      <c r="K16" s="326">
        <v>4.6666666666666607</v>
      </c>
    </row>
    <row r="17" spans="1:16" ht="14.1" customHeight="1">
      <c r="A17" s="154" t="s">
        <v>16</v>
      </c>
      <c r="B17" s="129">
        <f>'6.6'!D26</f>
        <v>255490</v>
      </c>
      <c r="C17" s="313">
        <f>'6.6'!E26</f>
        <v>46157.972000000009</v>
      </c>
      <c r="D17" s="129">
        <f>'6.6'!F26</f>
        <v>506834.45169500011</v>
      </c>
      <c r="E17" s="307">
        <f t="shared" si="0"/>
        <v>0.15328479543784282</v>
      </c>
      <c r="F17" s="332">
        <f>'6.6'!H26</f>
        <v>-0.14794482035770323</v>
      </c>
      <c r="G17" s="326">
        <v>17.139999999999997</v>
      </c>
      <c r="H17" s="327">
        <v>21.4</v>
      </c>
      <c r="I17" s="327">
        <v>11.1</v>
      </c>
      <c r="J17" s="327">
        <v>13.699999999999992</v>
      </c>
      <c r="K17" s="326">
        <v>3.4400000000000048</v>
      </c>
      <c r="L17" s="93"/>
      <c r="N17" s="93"/>
      <c r="O17" s="93"/>
      <c r="P17" s="93"/>
    </row>
    <row r="18" spans="1:16" ht="14.1" customHeight="1">
      <c r="A18" s="154" t="s">
        <v>17</v>
      </c>
      <c r="B18" s="129">
        <f>'6.6'!D56</f>
        <v>217519</v>
      </c>
      <c r="C18" s="313">
        <f>'6.6'!E56</f>
        <v>77280.572</v>
      </c>
      <c r="D18" s="129">
        <f>'6.6'!F56</f>
        <v>849469.07588499982</v>
      </c>
      <c r="E18" s="307">
        <f t="shared" si="0"/>
        <v>0.2569097130085447</v>
      </c>
      <c r="F18" s="332">
        <f>'6.6'!H56</f>
        <v>6.0961319300965417E-3</v>
      </c>
      <c r="G18" s="326">
        <v>16.473333333333333</v>
      </c>
      <c r="H18" s="327">
        <v>20.9</v>
      </c>
      <c r="I18" s="327">
        <v>10.5</v>
      </c>
      <c r="J18" s="327">
        <v>13.699999999999992</v>
      </c>
      <c r="K18" s="326">
        <v>2.7733333333333405</v>
      </c>
      <c r="L18" s="93"/>
      <c r="N18" s="93"/>
      <c r="O18" s="93"/>
      <c r="P18" s="93"/>
    </row>
    <row r="19" spans="1:16" ht="14.1" customHeight="1">
      <c r="A19" s="154" t="s">
        <v>18</v>
      </c>
      <c r="B19" s="129">
        <f>'6.7'!D26</f>
        <v>118339</v>
      </c>
      <c r="C19" s="313">
        <f>'6.7'!E26</f>
        <v>9397.843350000001</v>
      </c>
      <c r="D19" s="129">
        <f>'6.7'!F26</f>
        <v>103174.46094000002</v>
      </c>
      <c r="E19" s="307">
        <f t="shared" si="0"/>
        <v>3.1203632836535572E-2</v>
      </c>
      <c r="F19" s="332">
        <f>'6.7'!H26</f>
        <v>-0.2965236327434374</v>
      </c>
      <c r="G19" s="326">
        <v>16.653333333333329</v>
      </c>
      <c r="H19" s="327">
        <v>20.399999999999999</v>
      </c>
      <c r="I19" s="327">
        <v>11.2</v>
      </c>
      <c r="J19" s="327">
        <v>12.399999999999997</v>
      </c>
      <c r="K19" s="326">
        <v>4.2533333333333321</v>
      </c>
      <c r="L19" s="93"/>
      <c r="N19" s="93"/>
      <c r="O19" s="93"/>
      <c r="P19" s="93"/>
    </row>
    <row r="20" spans="1:16" ht="14.1" customHeight="1">
      <c r="A20" s="204" t="s">
        <v>19</v>
      </c>
      <c r="B20" s="310">
        <f>'6.7'!D56</f>
        <v>153132</v>
      </c>
      <c r="C20" s="314">
        <f>'6.7'!E56</f>
        <v>12243.900000000001</v>
      </c>
      <c r="D20" s="310">
        <f>'6.7'!F56</f>
        <v>134446.67969000002</v>
      </c>
      <c r="E20" s="311">
        <f t="shared" si="0"/>
        <v>4.0661465937561349E-2</v>
      </c>
      <c r="F20" s="333">
        <f>'6.7'!H56</f>
        <v>-0.26322345380366097</v>
      </c>
      <c r="G20" s="328">
        <v>16.686666666666664</v>
      </c>
      <c r="H20" s="329">
        <v>20.399999999999999</v>
      </c>
      <c r="I20" s="329">
        <v>11.5</v>
      </c>
      <c r="J20" s="329">
        <v>13.699999999999992</v>
      </c>
      <c r="K20" s="328">
        <v>2.9866666666666717</v>
      </c>
      <c r="L20" s="93"/>
    </row>
    <row r="21" spans="1:16" ht="14.1" customHeight="1">
      <c r="A21" s="154" t="s">
        <v>0</v>
      </c>
      <c r="B21" s="156">
        <f>SUM(B7:B20)</f>
        <v>2756504.9390000002</v>
      </c>
      <c r="C21" s="313">
        <f>SUM(C7:C20)</f>
        <v>301016.35201348562</v>
      </c>
      <c r="D21" s="129">
        <f>SUM(D7:D20)</f>
        <v>3306488.7502199924</v>
      </c>
      <c r="E21" s="367">
        <f>SUM(E7:E20)</f>
        <v>0.99999999999999978</v>
      </c>
      <c r="F21" s="332"/>
      <c r="G21" s="256">
        <v>16.65666666666667</v>
      </c>
      <c r="H21" s="256">
        <v>20.5</v>
      </c>
      <c r="I21" s="256">
        <v>11.5</v>
      </c>
      <c r="J21" s="256">
        <v>13.223333333333333</v>
      </c>
      <c r="K21" s="256">
        <v>3.4333333333333371</v>
      </c>
    </row>
    <row r="22" spans="1:16" ht="14.1" customHeight="1">
      <c r="A22" s="204" t="s">
        <v>94</v>
      </c>
      <c r="B22" s="368"/>
      <c r="C22" s="314">
        <f>'5.1'!E27</f>
        <v>1237.5221526624007</v>
      </c>
      <c r="D22" s="310">
        <f>'5.1'!F27</f>
        <v>13698.718703000015</v>
      </c>
      <c r="E22" s="368"/>
      <c r="F22" s="333">
        <f>'5.1'!H27</f>
        <v>-0.54804995513048127</v>
      </c>
      <c r="G22" s="262">
        <v>16.65666666666667</v>
      </c>
      <c r="H22" s="262">
        <v>20.5</v>
      </c>
      <c r="I22" s="262">
        <v>11.5</v>
      </c>
      <c r="J22" s="262">
        <v>13.223333333333333</v>
      </c>
      <c r="K22" s="262">
        <v>3.4333333333333371</v>
      </c>
    </row>
    <row r="23" spans="1:16" ht="14.1" customHeight="1">
      <c r="A23" s="204" t="s">
        <v>55</v>
      </c>
      <c r="B23" s="161">
        <f>B21+B22</f>
        <v>2756504.9390000002</v>
      </c>
      <c r="C23" s="314">
        <f t="shared" ref="C23:D23" si="1">C21+C22</f>
        <v>302253.87416614802</v>
      </c>
      <c r="D23" s="310">
        <f t="shared" si="1"/>
        <v>3320187.4689229922</v>
      </c>
      <c r="E23" s="368"/>
      <c r="F23" s="333">
        <f>'5.1'!H28</f>
        <v>-0.21156228591275983</v>
      </c>
      <c r="G23" s="262">
        <v>16.65666666666667</v>
      </c>
      <c r="H23" s="262">
        <v>20.5</v>
      </c>
      <c r="I23" s="262">
        <v>11.5</v>
      </c>
      <c r="J23" s="262">
        <v>13.223333333333333</v>
      </c>
      <c r="K23" s="262">
        <v>3.4333333333333371</v>
      </c>
    </row>
    <row r="24" spans="1:16" ht="15" customHeight="1">
      <c r="A24" s="101"/>
      <c r="B24" s="94"/>
      <c r="C24" s="504" t="s">
        <v>244</v>
      </c>
      <c r="D24" s="504"/>
      <c r="E24" s="504"/>
      <c r="F24" s="504"/>
      <c r="G24" s="507" t="s">
        <v>242</v>
      </c>
      <c r="H24" s="507"/>
      <c r="I24" s="507"/>
      <c r="J24" s="507"/>
      <c r="K24" s="507"/>
    </row>
    <row r="25" spans="1:16" ht="15" customHeight="1">
      <c r="A25" s="94"/>
      <c r="B25" s="94"/>
      <c r="C25" s="504"/>
      <c r="D25" s="504"/>
      <c r="E25" s="504"/>
      <c r="F25" s="504"/>
      <c r="G25" s="507" t="s">
        <v>243</v>
      </c>
      <c r="H25" s="507"/>
      <c r="I25" s="507"/>
      <c r="J25" s="507"/>
      <c r="K25" s="507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89" t="s">
        <v>257</v>
      </c>
      <c r="B29" s="489"/>
      <c r="C29" s="489"/>
      <c r="D29" s="489"/>
      <c r="E29" s="489"/>
      <c r="F29" s="489" t="s">
        <v>61</v>
      </c>
      <c r="G29" s="489"/>
      <c r="H29" s="489"/>
      <c r="I29" s="489"/>
      <c r="J29" s="489"/>
      <c r="K29" s="489"/>
    </row>
    <row r="30" spans="1:16" ht="15" customHeight="1">
      <c r="A30" s="120"/>
      <c r="B30" s="505"/>
      <c r="C30" s="505"/>
      <c r="D30" s="120"/>
      <c r="E30" s="120"/>
      <c r="F30" s="120"/>
      <c r="G30" s="120"/>
      <c r="H30" s="505"/>
      <c r="I30" s="505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7"/>
  <sheetViews>
    <sheetView showGridLines="0" topLeftCell="A13" zoomScaleNormal="100" zoomScaleSheetLayoutView="100" workbookViewId="0">
      <selection activeCell="G1" sqref="G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4" customFormat="1" ht="18">
      <c r="A1" s="509" t="str">
        <f>"6.11 Spotřeba zemního plynu a teplota ovzduší podle krajů: "&amp;(A3)</f>
        <v>6.11 Spotřeba zemního plynu a teplota ovzduší podle krajů: III. čtvrtletí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6" customHeight="1">
      <c r="A2" s="513"/>
      <c r="B2" s="513"/>
      <c r="C2" s="300"/>
      <c r="D2" s="301"/>
      <c r="E2" s="302"/>
      <c r="F2" s="302"/>
      <c r="G2" s="302"/>
      <c r="H2" s="302"/>
      <c r="I2" s="76"/>
      <c r="J2" s="76"/>
      <c r="K2" s="76"/>
    </row>
    <row r="3" spans="1:11" ht="20.100000000000001" customHeight="1">
      <c r="A3" s="531" t="str">
        <f>'3.1'!G5</f>
        <v>III. čtvrtletí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</row>
    <row r="4" spans="1:11" ht="20.100000000000001" customHeight="1">
      <c r="A4" s="128"/>
      <c r="B4" s="252">
        <f>'3.1'!A4</f>
        <v>2023</v>
      </c>
      <c r="C4" s="527" t="s">
        <v>60</v>
      </c>
      <c r="D4" s="528"/>
      <c r="E4" s="528"/>
      <c r="F4" s="529"/>
      <c r="G4" s="530" t="s">
        <v>186</v>
      </c>
      <c r="H4" s="530"/>
      <c r="I4" s="530"/>
      <c r="J4" s="530"/>
      <c r="K4" s="530"/>
    </row>
    <row r="5" spans="1:11" ht="49.5" customHeight="1">
      <c r="A5" s="272"/>
      <c r="B5" s="480" t="s">
        <v>185</v>
      </c>
      <c r="C5" s="345"/>
      <c r="D5" s="346"/>
      <c r="E5" s="480" t="s">
        <v>279</v>
      </c>
      <c r="F5" s="514" t="s">
        <v>282</v>
      </c>
      <c r="G5" s="369" t="s">
        <v>62</v>
      </c>
      <c r="H5" s="369" t="s">
        <v>173</v>
      </c>
      <c r="I5" s="369" t="s">
        <v>174</v>
      </c>
      <c r="J5" s="369" t="s">
        <v>284</v>
      </c>
      <c r="K5" s="369" t="s">
        <v>285</v>
      </c>
    </row>
    <row r="6" spans="1:11" ht="15" customHeight="1">
      <c r="A6" s="219" t="s">
        <v>187</v>
      </c>
      <c r="B6" s="476"/>
      <c r="C6" s="221" t="s">
        <v>261</v>
      </c>
      <c r="D6" s="219" t="s">
        <v>262</v>
      </c>
      <c r="E6" s="476"/>
      <c r="F6" s="515"/>
      <c r="G6" s="219" t="s">
        <v>230</v>
      </c>
      <c r="H6" s="219" t="s">
        <v>230</v>
      </c>
      <c r="I6" s="219" t="s">
        <v>230</v>
      </c>
      <c r="J6" s="219" t="s">
        <v>230</v>
      </c>
      <c r="K6" s="219" t="s">
        <v>230</v>
      </c>
    </row>
    <row r="7" spans="1:11" ht="14.1" customHeight="1">
      <c r="A7" s="154" t="s">
        <v>8</v>
      </c>
      <c r="B7" s="129">
        <f>'6.1'!D32</f>
        <v>102595</v>
      </c>
      <c r="C7" s="313">
        <f>'6.1'!E32</f>
        <v>24909.635479999997</v>
      </c>
      <c r="D7" s="129">
        <f>'6.1'!F32</f>
        <v>273097.38919000002</v>
      </c>
      <c r="E7" s="307">
        <f>D7/$D$21</f>
        <v>2.8675643895495692E-2</v>
      </c>
      <c r="F7" s="332">
        <f>'6.1'!H32</f>
        <v>-0.20611153880065419</v>
      </c>
      <c r="G7" s="326">
        <f>AVERAGE('6.8'!G7,'6.9'!G7,'6.10'!G7)</f>
        <v>17.907598566308241</v>
      </c>
      <c r="H7" s="327">
        <f>MAX('6.8'!H7,'6.9'!H7,'6.10'!H7)</f>
        <v>26</v>
      </c>
      <c r="I7" s="327">
        <f>MIN('6.8'!I7,'6.9'!I7,'6.10'!I7)</f>
        <v>10</v>
      </c>
      <c r="J7" s="327">
        <f>AVERAGE('6.8'!J7,'6.9'!J7,'6.10'!J7)</f>
        <v>15.566666666666663</v>
      </c>
      <c r="K7" s="326">
        <f>G7-J7</f>
        <v>2.3409318996415784</v>
      </c>
    </row>
    <row r="8" spans="1:11" ht="14.1" customHeight="1">
      <c r="A8" s="154" t="s">
        <v>9</v>
      </c>
      <c r="B8" s="129">
        <f>'6.1'!D62</f>
        <v>374359</v>
      </c>
      <c r="C8" s="313">
        <f>'6.1'!E62</f>
        <v>72154.7</v>
      </c>
      <c r="D8" s="129">
        <f>'6.1'!F62</f>
        <v>791486.51559999993</v>
      </c>
      <c r="E8" s="307">
        <f t="shared" ref="E8:E20" si="0">D8/$D$21</f>
        <v>8.3107295667487716E-2</v>
      </c>
      <c r="F8" s="332">
        <f>'6.1'!H62</f>
        <v>-0.2301790690627894</v>
      </c>
      <c r="G8" s="326">
        <f>AVERAGE('6.8'!G8,'6.9'!G8,'6.10'!G8)</f>
        <v>20.017419354838708</v>
      </c>
      <c r="H8" s="327">
        <f>MAX('6.8'!H8,'6.9'!H8,'6.10'!H8)</f>
        <v>27</v>
      </c>
      <c r="I8" s="327">
        <f>MIN('6.8'!I8,'6.9'!I8,'6.10'!I8)</f>
        <v>13.9</v>
      </c>
      <c r="J8" s="327">
        <f>AVERAGE('6.8'!J8,'6.9'!J8,'6.10'!J8)</f>
        <v>17.266666666666662</v>
      </c>
      <c r="K8" s="326">
        <f t="shared" ref="K8:K23" si="1">G8-J8</f>
        <v>2.7507526881720459</v>
      </c>
    </row>
    <row r="9" spans="1:11" ht="14.1" customHeight="1">
      <c r="A9" s="154" t="s">
        <v>10</v>
      </c>
      <c r="B9" s="129">
        <f>'6.2'!D32</f>
        <v>82300</v>
      </c>
      <c r="C9" s="313">
        <f>'6.2'!E32</f>
        <v>23918.000000000004</v>
      </c>
      <c r="D9" s="129">
        <f>'6.2'!F32</f>
        <v>262357.31995000003</v>
      </c>
      <c r="E9" s="307">
        <f t="shared" si="0"/>
        <v>2.7547920185457077E-2</v>
      </c>
      <c r="F9" s="332">
        <f>'6.2'!H32</f>
        <v>-9.2895014297958628E-2</v>
      </c>
      <c r="G9" s="326">
        <f>AVERAGE('6.8'!G9,'6.9'!G9,'6.10'!G9)</f>
        <v>16.624193548387098</v>
      </c>
      <c r="H9" s="327">
        <f>MAX('6.8'!H9,'6.9'!H9,'6.10'!H9)</f>
        <v>25.3</v>
      </c>
      <c r="I9" s="327">
        <f>MIN('6.8'!I9,'6.9'!I9,'6.10'!I9)</f>
        <v>9</v>
      </c>
      <c r="J9" s="327">
        <f>AVERAGE('6.8'!J9,'6.9'!J9,'6.10'!J9)</f>
        <v>14.800000000000004</v>
      </c>
      <c r="K9" s="326">
        <f t="shared" si="1"/>
        <v>1.8241935483870932</v>
      </c>
    </row>
    <row r="10" spans="1:11" ht="14.1" customHeight="1">
      <c r="A10" s="154" t="s">
        <v>92</v>
      </c>
      <c r="B10" s="129">
        <f>'6.2'!D62</f>
        <v>115426</v>
      </c>
      <c r="C10" s="313">
        <f>'6.2'!E62</f>
        <v>27571.799999999996</v>
      </c>
      <c r="D10" s="129">
        <f>'6.2'!F62</f>
        <v>302463.36600999994</v>
      </c>
      <c r="E10" s="307">
        <f t="shared" si="0"/>
        <v>3.1759116412136412E-2</v>
      </c>
      <c r="F10" s="332">
        <f>'6.2'!H62</f>
        <v>-0.21175908905082777</v>
      </c>
      <c r="G10" s="326">
        <f>AVERAGE('6.8'!G10,'6.9'!G10,'6.10'!G10)</f>
        <v>17.791146953405018</v>
      </c>
      <c r="H10" s="327">
        <f>MAX('6.8'!H10,'6.9'!H10,'6.10'!H10)</f>
        <v>25.2</v>
      </c>
      <c r="I10" s="327">
        <f>MIN('6.8'!I10,'6.9'!I10,'6.10'!I10)</f>
        <v>10.9</v>
      </c>
      <c r="J10" s="327">
        <f>AVERAGE('6.8'!J10,'6.9'!J10,'6.10'!J10)</f>
        <v>15.466666666666661</v>
      </c>
      <c r="K10" s="326">
        <f t="shared" si="1"/>
        <v>2.3244802867383569</v>
      </c>
    </row>
    <row r="11" spans="1:11" ht="14.1" customHeight="1">
      <c r="A11" s="154" t="s">
        <v>11</v>
      </c>
      <c r="B11" s="129">
        <f>'6.3'!D32</f>
        <v>91151</v>
      </c>
      <c r="C11" s="313">
        <f>'6.3'!E32</f>
        <v>25791</v>
      </c>
      <c r="D11" s="129">
        <f>'6.3'!F32</f>
        <v>282924.22034000006</v>
      </c>
      <c r="E11" s="307">
        <f t="shared" si="0"/>
        <v>2.9707476208189528E-2</v>
      </c>
      <c r="F11" s="332">
        <f>'6.3'!H32</f>
        <v>-0.21443387519760224</v>
      </c>
      <c r="G11" s="326">
        <f>AVERAGE('6.8'!G11,'6.9'!G11,'6.10'!G11)</f>
        <v>17.741541218637995</v>
      </c>
      <c r="H11" s="327">
        <f>MAX('6.8'!H11,'6.9'!H11,'6.10'!H11)</f>
        <v>26.1</v>
      </c>
      <c r="I11" s="327">
        <f>MIN('6.8'!I11,'6.9'!I11,'6.10'!I11)</f>
        <v>9.4</v>
      </c>
      <c r="J11" s="327">
        <f>AVERAGE('6.8'!J11,'6.9'!J11,'6.10'!J11)</f>
        <v>15.066666666666675</v>
      </c>
      <c r="K11" s="326">
        <f t="shared" si="1"/>
        <v>2.6748745519713193</v>
      </c>
    </row>
    <row r="12" spans="1:11" ht="14.1" customHeight="1">
      <c r="A12" s="154" t="s">
        <v>12</v>
      </c>
      <c r="B12" s="129">
        <f>'6.3'!D62</f>
        <v>369571</v>
      </c>
      <c r="C12" s="313">
        <f>'6.3'!E62</f>
        <v>103779.49399999999</v>
      </c>
      <c r="D12" s="129">
        <f>'6.3'!F62</f>
        <v>1137840.2534099999</v>
      </c>
      <c r="E12" s="307">
        <f t="shared" si="0"/>
        <v>0.11947496830167603</v>
      </c>
      <c r="F12" s="332">
        <f>'6.3'!H62</f>
        <v>-4.0959411213852652E-2</v>
      </c>
      <c r="G12" s="326">
        <f>AVERAGE('6.8'!G12,'6.9'!G12,'6.10'!G12)</f>
        <v>18.427992831541214</v>
      </c>
      <c r="H12" s="327">
        <f>MAX('6.8'!H12,'6.9'!H12,'6.10'!H12)</f>
        <v>25</v>
      </c>
      <c r="I12" s="327">
        <f>MIN('6.8'!I12,'6.9'!I12,'6.10'!I12)</f>
        <v>11.4</v>
      </c>
      <c r="J12" s="327">
        <f>AVERAGE('6.8'!J12,'6.9'!J12,'6.10'!J12)</f>
        <v>15.599999999999994</v>
      </c>
      <c r="K12" s="326">
        <f t="shared" si="1"/>
        <v>2.8279928315412199</v>
      </c>
    </row>
    <row r="13" spans="1:11" ht="14.1" customHeight="1">
      <c r="A13" s="154" t="s">
        <v>13</v>
      </c>
      <c r="B13" s="129">
        <f>'6.4'!D32</f>
        <v>182990.93900000001</v>
      </c>
      <c r="C13" s="313">
        <f>'6.4'!E32</f>
        <v>43479.399999999994</v>
      </c>
      <c r="D13" s="129">
        <f>'6.4'!F32</f>
        <v>476950.6287200001</v>
      </c>
      <c r="E13" s="307">
        <f t="shared" si="0"/>
        <v>5.0080546084577175E-2</v>
      </c>
      <c r="F13" s="332">
        <f>'6.4'!H32</f>
        <v>-0.2057077300245892</v>
      </c>
      <c r="G13" s="326">
        <f>AVERAGE('6.8'!G13,'6.9'!G13,'6.10'!G13)</f>
        <v>18.433189964157709</v>
      </c>
      <c r="H13" s="327">
        <f>MAX('6.8'!H13,'6.9'!H13,'6.10'!H13)</f>
        <v>25.3</v>
      </c>
      <c r="I13" s="327">
        <f>MIN('6.8'!I13,'6.9'!I13,'6.10'!I13)</f>
        <v>12.2</v>
      </c>
      <c r="J13" s="327">
        <f>AVERAGE('6.8'!J13,'6.9'!J13,'6.10'!J13)</f>
        <v>15.266666666666667</v>
      </c>
      <c r="K13" s="326">
        <f t="shared" si="1"/>
        <v>3.1665232974910413</v>
      </c>
    </row>
    <row r="14" spans="1:11" ht="14.1" customHeight="1">
      <c r="A14" s="154" t="s">
        <v>14</v>
      </c>
      <c r="B14" s="129">
        <f>'6.4'!D62</f>
        <v>133767</v>
      </c>
      <c r="C14" s="313">
        <f>'6.4'!E62</f>
        <v>38891.699999999997</v>
      </c>
      <c r="D14" s="129">
        <f>'6.4'!F62</f>
        <v>426609.31366000004</v>
      </c>
      <c r="E14" s="307">
        <f t="shared" si="0"/>
        <v>4.479463094575762E-2</v>
      </c>
      <c r="F14" s="332">
        <f>'6.4'!H62</f>
        <v>-5.769631478206115E-2</v>
      </c>
      <c r="G14" s="326">
        <f>AVERAGE('6.8'!G14,'6.9'!G14,'6.10'!G14)</f>
        <v>18.491182795698922</v>
      </c>
      <c r="H14" s="327">
        <f>MAX('6.8'!H14,'6.9'!H14,'6.10'!H14)</f>
        <v>26</v>
      </c>
      <c r="I14" s="327">
        <f>MIN('6.8'!I14,'6.9'!I14,'6.10'!I14)</f>
        <v>11.7</v>
      </c>
      <c r="J14" s="327">
        <f>AVERAGE('6.8'!J14,'6.9'!J14,'6.10'!J14)</f>
        <v>16.166666666666671</v>
      </c>
      <c r="K14" s="326">
        <f t="shared" si="1"/>
        <v>2.3245161290322507</v>
      </c>
    </row>
    <row r="15" spans="1:11" ht="14.1" customHeight="1">
      <c r="A15" s="154" t="s">
        <v>15</v>
      </c>
      <c r="B15" s="129">
        <f>'6.5'!D32</f>
        <v>156670</v>
      </c>
      <c r="C15" s="313">
        <f>'6.5'!E32</f>
        <v>36301.899999999994</v>
      </c>
      <c r="D15" s="129">
        <f>'6.5'!F32</f>
        <v>398229.17580999987</v>
      </c>
      <c r="E15" s="307">
        <f t="shared" si="0"/>
        <v>4.1814673029991929E-2</v>
      </c>
      <c r="F15" s="332">
        <f>'6.5'!H32</f>
        <v>-0.18630417630498333</v>
      </c>
      <c r="G15" s="326">
        <f>AVERAGE('6.8'!G15,'6.9'!G15,'6.10'!G15)</f>
        <v>18.139283154121866</v>
      </c>
      <c r="H15" s="327">
        <f>MAX('6.8'!H15,'6.9'!H15,'6.10'!H15)</f>
        <v>25.9</v>
      </c>
      <c r="I15" s="327">
        <f>MIN('6.8'!I15,'6.9'!I15,'6.10'!I15)</f>
        <v>9.6999999999999993</v>
      </c>
      <c r="J15" s="327">
        <f>AVERAGE('6.8'!J15,'6.9'!J15,'6.10'!J15)</f>
        <v>15.766666666666667</v>
      </c>
      <c r="K15" s="326">
        <f t="shared" si="1"/>
        <v>2.3726164874551987</v>
      </c>
    </row>
    <row r="16" spans="1:11" ht="14.1" customHeight="1">
      <c r="A16" s="154" t="s">
        <v>1</v>
      </c>
      <c r="B16" s="129">
        <f>'6.5'!D62</f>
        <v>403195</v>
      </c>
      <c r="C16" s="313">
        <f>'6.5'!E62</f>
        <v>51645.569844837628</v>
      </c>
      <c r="D16" s="129">
        <f>'6.5'!F62</f>
        <v>567687.29630566842</v>
      </c>
      <c r="E16" s="307">
        <f t="shared" si="0"/>
        <v>5.9608035071813038E-2</v>
      </c>
      <c r="F16" s="332">
        <f>'6.5'!H62</f>
        <v>-0.19794388393338092</v>
      </c>
      <c r="G16" s="326">
        <f>AVERAGE('6.8'!G16,'6.9'!G16,'6.10'!G16)</f>
        <v>20.68351254480287</v>
      </c>
      <c r="H16" s="327">
        <f>MAX('6.8'!H16,'6.9'!H16,'6.10'!H16)</f>
        <v>29.4</v>
      </c>
      <c r="I16" s="327">
        <f>MIN('6.8'!I16,'6.9'!I16,'6.10'!I16)</f>
        <v>13</v>
      </c>
      <c r="J16" s="327">
        <f>AVERAGE('6.8'!J16,'6.9'!J16,'6.10'!J16)</f>
        <v>17.100000000000005</v>
      </c>
      <c r="K16" s="326">
        <f t="shared" si="1"/>
        <v>3.5835125448028649</v>
      </c>
    </row>
    <row r="17" spans="1:16" ht="14.1" customHeight="1">
      <c r="A17" s="154" t="s">
        <v>16</v>
      </c>
      <c r="B17" s="129">
        <f>'6.6'!D32</f>
        <v>255490</v>
      </c>
      <c r="C17" s="313">
        <f>'6.6'!E32</f>
        <v>128802.87000000001</v>
      </c>
      <c r="D17" s="129">
        <f>'6.6'!F32</f>
        <v>1412955.6485929999</v>
      </c>
      <c r="E17" s="307">
        <f t="shared" si="0"/>
        <v>0.14836250591540126</v>
      </c>
      <c r="F17" s="332">
        <f>'6.6'!H32</f>
        <v>-0.13390142978323827</v>
      </c>
      <c r="G17" s="326">
        <f>AVERAGE('6.8'!G17,'6.9'!G17,'6.10'!G17)</f>
        <v>19.017634408602152</v>
      </c>
      <c r="H17" s="327">
        <f>MAX('6.8'!H17,'6.9'!H17,'6.10'!H17)</f>
        <v>27.6</v>
      </c>
      <c r="I17" s="327">
        <f>MIN('6.8'!I17,'6.9'!I17,'6.10'!I17)</f>
        <v>11.1</v>
      </c>
      <c r="J17" s="327">
        <f>AVERAGE('6.8'!J17,'6.9'!J17,'6.10'!J17)</f>
        <v>16.7</v>
      </c>
      <c r="K17" s="326">
        <f t="shared" si="1"/>
        <v>2.317634408602153</v>
      </c>
      <c r="L17" s="93"/>
      <c r="N17" s="93"/>
      <c r="O17" s="93"/>
      <c r="P17" s="93"/>
    </row>
    <row r="18" spans="1:16" ht="14.1" customHeight="1">
      <c r="A18" s="154" t="s">
        <v>17</v>
      </c>
      <c r="B18" s="129">
        <f>'6.6'!D62</f>
        <v>217519</v>
      </c>
      <c r="C18" s="313">
        <f>'6.6'!E62</f>
        <v>227890.72399999996</v>
      </c>
      <c r="D18" s="129">
        <f>'6.6'!F62</f>
        <v>2501093.6887690001</v>
      </c>
      <c r="E18" s="307">
        <f t="shared" si="0"/>
        <v>0.26261866574826181</v>
      </c>
      <c r="F18" s="332">
        <f>'6.6'!H62</f>
        <v>2.2999637828124777E-2</v>
      </c>
      <c r="G18" s="326">
        <f>AVERAGE('6.8'!G18,'6.9'!G18,'6.10'!G18)</f>
        <v>18.509390681003584</v>
      </c>
      <c r="H18" s="327">
        <f>MAX('6.8'!H18,'6.9'!H18,'6.10'!H18)</f>
        <v>26.4</v>
      </c>
      <c r="I18" s="327">
        <f>MIN('6.8'!I18,'6.9'!I18,'6.10'!I18)</f>
        <v>10.5</v>
      </c>
      <c r="J18" s="327">
        <f>AVERAGE('6.8'!J18,'6.9'!J18,'6.10'!J18)</f>
        <v>16.733333333333331</v>
      </c>
      <c r="K18" s="326">
        <f t="shared" si="1"/>
        <v>1.7760573476702533</v>
      </c>
      <c r="L18" s="93"/>
      <c r="N18" s="93"/>
      <c r="O18" s="93"/>
      <c r="P18" s="93"/>
    </row>
    <row r="19" spans="1:16" ht="14.1" customHeight="1">
      <c r="A19" s="154" t="s">
        <v>18</v>
      </c>
      <c r="B19" s="129">
        <f>'6.7'!D32</f>
        <v>118339</v>
      </c>
      <c r="C19" s="313">
        <f>'6.7'!E32</f>
        <v>27381.81653</v>
      </c>
      <c r="D19" s="129">
        <f>'6.7'!F32</f>
        <v>300347.15146000008</v>
      </c>
      <c r="E19" s="307">
        <f t="shared" si="0"/>
        <v>3.1536910645093931E-2</v>
      </c>
      <c r="F19" s="332">
        <f>'6.7'!H32</f>
        <v>-0.16268096409437463</v>
      </c>
      <c r="G19" s="326">
        <f>AVERAGE('6.8'!G19,'6.9'!G19,'6.10'!G19)</f>
        <v>18.300573476702507</v>
      </c>
      <c r="H19" s="327">
        <f>MAX('6.8'!H19,'6.9'!H19,'6.10'!H19)</f>
        <v>25.6</v>
      </c>
      <c r="I19" s="327">
        <f>MIN('6.8'!I19,'6.9'!I19,'6.10'!I19)</f>
        <v>11.2</v>
      </c>
      <c r="J19" s="327">
        <f>AVERAGE('6.8'!J19,'6.9'!J19,'6.10'!J19)</f>
        <v>15.366666666666665</v>
      </c>
      <c r="K19" s="326">
        <f t="shared" si="1"/>
        <v>2.9339068100358414</v>
      </c>
      <c r="L19" s="93"/>
      <c r="N19" s="93"/>
      <c r="O19" s="93"/>
      <c r="P19" s="93"/>
    </row>
    <row r="20" spans="1:16" ht="14.1" customHeight="1">
      <c r="A20" s="204" t="s">
        <v>19</v>
      </c>
      <c r="B20" s="310">
        <f>'6.7'!D62</f>
        <v>153132</v>
      </c>
      <c r="C20" s="314">
        <f>'6.7'!E62</f>
        <v>35518.799999999996</v>
      </c>
      <c r="D20" s="310">
        <f>'6.7'!F62</f>
        <v>389628.71889000002</v>
      </c>
      <c r="E20" s="311">
        <f t="shared" si="0"/>
        <v>4.0911611888660826E-2</v>
      </c>
      <c r="F20" s="333">
        <f>'6.7'!H62</f>
        <v>-0.15847183557424638</v>
      </c>
      <c r="G20" s="328">
        <f>AVERAGE('6.8'!G20,'6.9'!G20,'6.10'!G20)</f>
        <v>18.214910394265232</v>
      </c>
      <c r="H20" s="329">
        <f>MAX('6.8'!H20,'6.9'!H20,'6.10'!H20)</f>
        <v>25.5</v>
      </c>
      <c r="I20" s="329">
        <f>MIN('6.8'!I20,'6.9'!I20,'6.10'!I20)</f>
        <v>11.5</v>
      </c>
      <c r="J20" s="329">
        <f>AVERAGE('6.8'!J20,'6.9'!J20,'6.10'!J20)</f>
        <v>16.599999999999994</v>
      </c>
      <c r="K20" s="328">
        <f t="shared" si="1"/>
        <v>1.6149103942652374</v>
      </c>
      <c r="L20" s="93"/>
    </row>
    <row r="21" spans="1:16" ht="14.1" customHeight="1">
      <c r="A21" s="154" t="s">
        <v>0</v>
      </c>
      <c r="B21" s="156">
        <f>SUM(B7:B20)</f>
        <v>2756504.9390000002</v>
      </c>
      <c r="C21" s="313">
        <f>SUM(C7:C20)</f>
        <v>868037.40985483758</v>
      </c>
      <c r="D21" s="129">
        <f>SUM(D7:D20)</f>
        <v>9523670.686707668</v>
      </c>
      <c r="E21" s="367">
        <f>SUM(E7:E20)</f>
        <v>1</v>
      </c>
      <c r="F21" s="332"/>
      <c r="G21" s="256">
        <f>AVERAGE('6.8'!G21,'6.9'!G21,'6.10'!G21)</f>
        <v>18.464050179211469</v>
      </c>
      <c r="H21" s="256">
        <f>MAX('6.8'!H21,'6.9'!H21,'6.10'!H21)</f>
        <v>26.1</v>
      </c>
      <c r="I21" s="256">
        <f>MIN('6.8'!I21,'6.9'!I21,'6.10'!I21)</f>
        <v>11.5</v>
      </c>
      <c r="J21" s="256">
        <f>AVERAGE('6.8'!J21,'6.9'!J21,'6.10'!J21)</f>
        <v>16.621756272401431</v>
      </c>
      <c r="K21" s="256">
        <f t="shared" si="1"/>
        <v>1.8422939068100384</v>
      </c>
      <c r="M21" s="105"/>
    </row>
    <row r="22" spans="1:16" ht="14.1" customHeight="1">
      <c r="A22" s="204" t="s">
        <v>94</v>
      </c>
      <c r="B22" s="368"/>
      <c r="C22" s="314">
        <f>'5.1'!E34</f>
        <v>2966.6408436301526</v>
      </c>
      <c r="D22" s="310">
        <f>'5.1'!F34</f>
        <v>32850.554597000038</v>
      </c>
      <c r="E22" s="368"/>
      <c r="F22" s="333">
        <f>'5.1'!H34</f>
        <v>-0.2804830953214047</v>
      </c>
      <c r="G22" s="262">
        <f>AVERAGE('6.8'!G22,'6.9'!G22,'6.10'!G22)</f>
        <v>18.464050179211469</v>
      </c>
      <c r="H22" s="262">
        <f>MAX('6.8'!H22,'6.9'!H22,'6.10'!H22)</f>
        <v>26.1</v>
      </c>
      <c r="I22" s="262">
        <f>MIN('6.8'!I22,'6.9'!I22,'6.10'!I22)</f>
        <v>11.5</v>
      </c>
      <c r="J22" s="262">
        <f>AVERAGE('6.8'!J22,'6.9'!J22,'6.10'!J22)</f>
        <v>16.621756272401431</v>
      </c>
      <c r="K22" s="262">
        <f t="shared" si="1"/>
        <v>1.8422939068100384</v>
      </c>
    </row>
    <row r="23" spans="1:16" ht="14.1" customHeight="1">
      <c r="A23" s="204" t="s">
        <v>55</v>
      </c>
      <c r="B23" s="161">
        <f>B21+B22</f>
        <v>2756504.9390000002</v>
      </c>
      <c r="C23" s="314">
        <f t="shared" ref="C23:D23" si="2">C21+C22</f>
        <v>871004.05069846776</v>
      </c>
      <c r="D23" s="310">
        <f t="shared" si="2"/>
        <v>9556521.2413046677</v>
      </c>
      <c r="E23" s="368"/>
      <c r="F23" s="333">
        <f>'5.1'!H35</f>
        <v>-0.11395868414908213</v>
      </c>
      <c r="G23" s="262">
        <f>AVERAGE('6.8'!G23,'6.9'!G23,'6.10'!G23)</f>
        <v>18.464050179211469</v>
      </c>
      <c r="H23" s="262">
        <f>MAX('6.8'!H23,'6.9'!H23,'6.10'!H23)</f>
        <v>26.1</v>
      </c>
      <c r="I23" s="262">
        <f>MIN('6.8'!I23,'6.9'!I23,'6.10'!I23)</f>
        <v>11.5</v>
      </c>
      <c r="J23" s="262">
        <f>AVERAGE('6.8'!J23,'6.9'!J23,'6.10'!J23)</f>
        <v>16.621756272401431</v>
      </c>
      <c r="K23" s="262">
        <f t="shared" si="1"/>
        <v>1.8422939068100384</v>
      </c>
    </row>
    <row r="24" spans="1:16" ht="15" customHeight="1">
      <c r="A24" s="101"/>
      <c r="B24" s="94"/>
      <c r="C24" s="504" t="s">
        <v>244</v>
      </c>
      <c r="D24" s="504"/>
      <c r="E24" s="504"/>
      <c r="F24" s="504"/>
      <c r="G24" s="507" t="s">
        <v>242</v>
      </c>
      <c r="H24" s="507"/>
      <c r="I24" s="507"/>
      <c r="J24" s="507"/>
      <c r="K24" s="507"/>
    </row>
    <row r="25" spans="1:16" ht="15" customHeight="1">
      <c r="A25" s="94"/>
      <c r="B25" s="94"/>
      <c r="C25" s="504"/>
      <c r="D25" s="504"/>
      <c r="E25" s="504"/>
      <c r="F25" s="504"/>
      <c r="G25" s="507" t="s">
        <v>243</v>
      </c>
      <c r="H25" s="507"/>
      <c r="I25" s="507"/>
      <c r="J25" s="507"/>
      <c r="K25" s="507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89" t="s">
        <v>257</v>
      </c>
      <c r="B29" s="489"/>
      <c r="C29" s="489"/>
      <c r="D29" s="489"/>
      <c r="E29" s="489"/>
      <c r="F29" s="489" t="s">
        <v>61</v>
      </c>
      <c r="G29" s="489"/>
      <c r="H29" s="489"/>
      <c r="I29" s="489"/>
      <c r="J29" s="489"/>
      <c r="K29" s="489"/>
    </row>
    <row r="30" spans="1:16" ht="15" customHeight="1">
      <c r="A30" s="120"/>
      <c r="B30" s="518"/>
      <c r="C30" s="518"/>
      <c r="D30" s="120"/>
      <c r="E30" s="120"/>
      <c r="F30" s="120"/>
      <c r="G30" s="120"/>
      <c r="H30" s="518"/>
      <c r="I30" s="505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58"/>
  <sheetViews>
    <sheetView showGridLines="0" zoomScaleNormal="100" zoomScaleSheetLayoutView="100" workbookViewId="0">
      <selection activeCell="G1" sqref="G1"/>
    </sheetView>
  </sheetViews>
  <sheetFormatPr defaultRowHeight="11.25"/>
  <cols>
    <col min="1" max="1" width="8" style="12" customWidth="1"/>
    <col min="2" max="2" width="7.7109375" style="12" customWidth="1"/>
    <col min="3" max="3" width="8.42578125" style="12" customWidth="1"/>
    <col min="4" max="11" width="7.7109375" style="12" customWidth="1"/>
    <col min="12" max="13" width="8.5703125" style="12" customWidth="1"/>
    <col min="14" max="15" width="7.7109375" style="12" customWidth="1"/>
    <col min="16" max="16" width="9.140625" style="12" customWidth="1"/>
    <col min="17" max="17" width="7.5703125" style="12" customWidth="1"/>
    <col min="18" max="18" width="8.5703125" style="12" customWidth="1"/>
    <col min="19" max="19" width="9.28515625" style="12" bestFit="1" customWidth="1"/>
    <col min="20" max="20" width="11.42578125" style="12" bestFit="1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18">
      <c r="A1" s="450" t="s">
        <v>310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</row>
    <row r="2" spans="1:22" ht="6" customHeight="1">
      <c r="A2" s="522"/>
      <c r="B2" s="523"/>
      <c r="C2" s="523"/>
      <c r="D2" s="523"/>
      <c r="E2" s="523"/>
      <c r="F2" s="523"/>
      <c r="G2" s="523"/>
      <c r="H2" s="523"/>
      <c r="I2" s="523"/>
      <c r="J2" s="208"/>
      <c r="K2" s="207"/>
      <c r="L2" s="207"/>
      <c r="M2" s="207"/>
      <c r="N2" s="207"/>
      <c r="O2" s="207"/>
      <c r="P2" s="207"/>
      <c r="Q2" s="207"/>
      <c r="R2" s="207"/>
    </row>
    <row r="3" spans="1:22" ht="35.1" customHeight="1">
      <c r="A3" s="446" t="s">
        <v>276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</row>
    <row r="4" spans="1:22" ht="84.95" customHeight="1">
      <c r="A4" s="218">
        <f>'3.1'!A4</f>
        <v>2023</v>
      </c>
      <c r="B4" s="370" t="s">
        <v>68</v>
      </c>
      <c r="C4" s="370" t="s">
        <v>69</v>
      </c>
      <c r="D4" s="370" t="s">
        <v>70</v>
      </c>
      <c r="E4" s="370" t="s">
        <v>91</v>
      </c>
      <c r="F4" s="370" t="s">
        <v>71</v>
      </c>
      <c r="G4" s="370" t="s">
        <v>72</v>
      </c>
      <c r="H4" s="370" t="s">
        <v>73</v>
      </c>
      <c r="I4" s="370" t="s">
        <v>74</v>
      </c>
      <c r="J4" s="370" t="s">
        <v>75</v>
      </c>
      <c r="K4" s="370" t="s">
        <v>76</v>
      </c>
      <c r="L4" s="370" t="s">
        <v>77</v>
      </c>
      <c r="M4" s="370" t="s">
        <v>78</v>
      </c>
      <c r="N4" s="370" t="s">
        <v>79</v>
      </c>
      <c r="O4" s="370" t="s">
        <v>80</v>
      </c>
      <c r="P4" s="370" t="s">
        <v>81</v>
      </c>
      <c r="Q4" s="370" t="s">
        <v>95</v>
      </c>
      <c r="R4" s="370" t="s">
        <v>82</v>
      </c>
    </row>
    <row r="5" spans="1:22" ht="20.100000000000001" customHeight="1">
      <c r="A5" s="176" t="s">
        <v>160</v>
      </c>
      <c r="B5" s="235">
        <v>31278.512580000002</v>
      </c>
      <c r="C5" s="235">
        <v>121713.4</v>
      </c>
      <c r="D5" s="236">
        <v>22877.1</v>
      </c>
      <c r="E5" s="236">
        <v>37291.100000000006</v>
      </c>
      <c r="F5" s="236">
        <v>35729.300000000003</v>
      </c>
      <c r="G5" s="236">
        <v>91279.186000000002</v>
      </c>
      <c r="H5" s="236">
        <v>55560.799999999996</v>
      </c>
      <c r="I5" s="236">
        <v>39408.800000000003</v>
      </c>
      <c r="J5" s="236">
        <v>41748.899999999994</v>
      </c>
      <c r="K5" s="235">
        <v>103020.06172704349</v>
      </c>
      <c r="L5" s="235">
        <v>115157.15700000001</v>
      </c>
      <c r="M5" s="236">
        <v>97307.651000000013</v>
      </c>
      <c r="N5" s="236">
        <v>36292.228410000003</v>
      </c>
      <c r="O5" s="236">
        <v>44962.6</v>
      </c>
      <c r="P5" s="236">
        <v>873626.79671704338</v>
      </c>
      <c r="Q5" s="236">
        <v>18152.813832539527</v>
      </c>
      <c r="R5" s="236">
        <v>891779.61054958287</v>
      </c>
      <c r="S5" s="56"/>
      <c r="T5" s="57"/>
      <c r="U5" s="57"/>
      <c r="V5" s="57"/>
    </row>
    <row r="6" spans="1:22" ht="20.100000000000001" customHeight="1">
      <c r="A6" s="176" t="s">
        <v>161</v>
      </c>
      <c r="B6" s="235">
        <v>29697.027830000003</v>
      </c>
      <c r="C6" s="236">
        <v>114628.9</v>
      </c>
      <c r="D6" s="236">
        <v>21745.399999999998</v>
      </c>
      <c r="E6" s="236">
        <v>36506.6</v>
      </c>
      <c r="F6" s="236">
        <v>34498.9</v>
      </c>
      <c r="G6" s="236">
        <v>90499.335000000006</v>
      </c>
      <c r="H6" s="236">
        <v>52460.2</v>
      </c>
      <c r="I6" s="236">
        <v>37843.1</v>
      </c>
      <c r="J6" s="236">
        <v>40190.899999999994</v>
      </c>
      <c r="K6" s="235">
        <v>97347.579894954179</v>
      </c>
      <c r="L6" s="236">
        <v>106198.262</v>
      </c>
      <c r="M6" s="236">
        <v>102391.95700000001</v>
      </c>
      <c r="N6" s="236">
        <v>34890.82518</v>
      </c>
      <c r="O6" s="236">
        <v>44072.6</v>
      </c>
      <c r="P6" s="236">
        <v>842971.58690495428</v>
      </c>
      <c r="Q6" s="236">
        <v>17795.721669949027</v>
      </c>
      <c r="R6" s="236">
        <v>860767.30857490329</v>
      </c>
      <c r="S6" s="58"/>
      <c r="T6" s="57"/>
      <c r="U6" s="57"/>
      <c r="V6" s="57"/>
    </row>
    <row r="7" spans="1:22" ht="20.100000000000001" customHeight="1">
      <c r="A7" s="179" t="s">
        <v>162</v>
      </c>
      <c r="B7" s="238">
        <v>26234.30948</v>
      </c>
      <c r="C7" s="239">
        <v>98264.2</v>
      </c>
      <c r="D7" s="239">
        <v>19665.7</v>
      </c>
      <c r="E7" s="239">
        <v>32068.100000000002</v>
      </c>
      <c r="F7" s="239">
        <v>30721.200000000001</v>
      </c>
      <c r="G7" s="239">
        <v>78450.795000000013</v>
      </c>
      <c r="H7" s="239">
        <v>45738.5</v>
      </c>
      <c r="I7" s="239">
        <v>33430.799999999996</v>
      </c>
      <c r="J7" s="239">
        <v>35734.199999999997</v>
      </c>
      <c r="K7" s="238">
        <v>84297.614414369527</v>
      </c>
      <c r="L7" s="239">
        <v>102911.54299999999</v>
      </c>
      <c r="M7" s="239">
        <v>94945.138999999996</v>
      </c>
      <c r="N7" s="239">
        <v>30362.961519999997</v>
      </c>
      <c r="O7" s="239">
        <v>39256.600000000006</v>
      </c>
      <c r="P7" s="239">
        <v>752081.66241436952</v>
      </c>
      <c r="Q7" s="239">
        <v>17186.378775875481</v>
      </c>
      <c r="R7" s="239">
        <v>769268.04119024496</v>
      </c>
      <c r="S7" s="59"/>
      <c r="T7" s="57"/>
      <c r="U7" s="57"/>
      <c r="V7" s="57"/>
    </row>
    <row r="8" spans="1:22" ht="20.100000000000001" customHeight="1">
      <c r="A8" s="176" t="s">
        <v>163</v>
      </c>
      <c r="B8" s="235">
        <v>21991.372780000002</v>
      </c>
      <c r="C8" s="236">
        <v>77526.3</v>
      </c>
      <c r="D8" s="236">
        <v>16023.3</v>
      </c>
      <c r="E8" s="236">
        <v>24866.100000000002</v>
      </c>
      <c r="F8" s="236">
        <v>23804.399999999998</v>
      </c>
      <c r="G8" s="236">
        <v>65941.516000000003</v>
      </c>
      <c r="H8" s="236">
        <v>36378.299999999996</v>
      </c>
      <c r="I8" s="236">
        <v>28294.5</v>
      </c>
      <c r="J8" s="236">
        <v>28927</v>
      </c>
      <c r="K8" s="235">
        <v>65162.508645217997</v>
      </c>
      <c r="L8" s="236">
        <v>85876.665999999983</v>
      </c>
      <c r="M8" s="236">
        <v>71233.026999999987</v>
      </c>
      <c r="N8" s="236">
        <v>24114.931219999999</v>
      </c>
      <c r="O8" s="236">
        <v>30116.100000000002</v>
      </c>
      <c r="P8" s="236">
        <v>600256.0216452179</v>
      </c>
      <c r="Q8" s="236">
        <v>6211.8862771392969</v>
      </c>
      <c r="R8" s="236">
        <v>606467.9079223572</v>
      </c>
      <c r="S8" s="58"/>
      <c r="T8" s="57"/>
      <c r="U8" s="57"/>
      <c r="V8" s="57"/>
    </row>
    <row r="9" spans="1:22" ht="20.100000000000001" customHeight="1">
      <c r="A9" s="176" t="s">
        <v>164</v>
      </c>
      <c r="B9" s="235">
        <v>13095.125610000001</v>
      </c>
      <c r="C9" s="236">
        <v>40291.800000000003</v>
      </c>
      <c r="D9" s="236">
        <v>10651.8</v>
      </c>
      <c r="E9" s="236">
        <v>14655.599999999999</v>
      </c>
      <c r="F9" s="236">
        <v>14502.2</v>
      </c>
      <c r="G9" s="236">
        <v>47854.303999999996</v>
      </c>
      <c r="H9" s="236">
        <v>21874.400000000001</v>
      </c>
      <c r="I9" s="236">
        <v>16739</v>
      </c>
      <c r="J9" s="236">
        <v>17804.300000000003</v>
      </c>
      <c r="K9" s="235">
        <v>31103.850063851471</v>
      </c>
      <c r="L9" s="236">
        <v>48817.525000000001</v>
      </c>
      <c r="M9" s="236">
        <v>53724.435999999994</v>
      </c>
      <c r="N9" s="236">
        <v>14148.167390000001</v>
      </c>
      <c r="O9" s="236">
        <v>17594.599999999999</v>
      </c>
      <c r="P9" s="236">
        <v>362857.10806385142</v>
      </c>
      <c r="Q9" s="236">
        <v>5996.9003121314117</v>
      </c>
      <c r="R9" s="236">
        <v>368854.00837598281</v>
      </c>
      <c r="S9" s="58"/>
      <c r="T9" s="57"/>
      <c r="U9" s="57"/>
      <c r="V9" s="57"/>
    </row>
    <row r="10" spans="1:22" ht="20.100000000000001" customHeight="1">
      <c r="A10" s="179" t="s">
        <v>165</v>
      </c>
      <c r="B10" s="238">
        <v>10103.054770000001</v>
      </c>
      <c r="C10" s="239">
        <v>26180.7</v>
      </c>
      <c r="D10" s="239">
        <v>9534.5000000000018</v>
      </c>
      <c r="E10" s="239">
        <v>10151.800000000001</v>
      </c>
      <c r="F10" s="239">
        <v>10071.1</v>
      </c>
      <c r="G10" s="239">
        <v>37453.051999999996</v>
      </c>
      <c r="H10" s="239">
        <v>15746.9</v>
      </c>
      <c r="I10" s="239">
        <v>12732.1</v>
      </c>
      <c r="J10" s="239">
        <v>13161.7</v>
      </c>
      <c r="K10" s="238">
        <v>18367.395025410795</v>
      </c>
      <c r="L10" s="239">
        <v>37845.222999999998</v>
      </c>
      <c r="M10" s="239">
        <v>87503.026999999987</v>
      </c>
      <c r="N10" s="239">
        <v>9664.3112300000012</v>
      </c>
      <c r="O10" s="239">
        <v>13898.6</v>
      </c>
      <c r="P10" s="239">
        <v>312413.46302541078</v>
      </c>
      <c r="Q10" s="239">
        <v>1539.6886030559683</v>
      </c>
      <c r="R10" s="239">
        <v>313953.15162846673</v>
      </c>
      <c r="S10" s="58"/>
      <c r="T10" s="57"/>
      <c r="U10" s="57"/>
      <c r="V10" s="57"/>
    </row>
    <row r="11" spans="1:22" ht="20.100000000000001" customHeight="1">
      <c r="A11" s="176" t="s">
        <v>166</v>
      </c>
      <c r="B11" s="235">
        <v>7498.2486400000007</v>
      </c>
      <c r="C11" s="236">
        <v>23488.9</v>
      </c>
      <c r="D11" s="236">
        <v>7914.7</v>
      </c>
      <c r="E11" s="236">
        <v>7931.8</v>
      </c>
      <c r="F11" s="236">
        <v>7626.5000000000009</v>
      </c>
      <c r="G11" s="236">
        <v>33637.406999999999</v>
      </c>
      <c r="H11" s="236">
        <v>13645.300000000001</v>
      </c>
      <c r="I11" s="236">
        <v>12874</v>
      </c>
      <c r="J11" s="236">
        <v>11053.400000000001</v>
      </c>
      <c r="K11" s="235">
        <v>17589.263062682734</v>
      </c>
      <c r="L11" s="236">
        <v>39265.481999999996</v>
      </c>
      <c r="M11" s="236">
        <v>77968</v>
      </c>
      <c r="N11" s="236">
        <v>8201.8333600000005</v>
      </c>
      <c r="O11" s="236">
        <v>11021.8</v>
      </c>
      <c r="P11" s="236">
        <v>279716.63406268274</v>
      </c>
      <c r="Q11" s="236">
        <v>1420.2454921262627</v>
      </c>
      <c r="R11" s="236">
        <v>281136.87955480901</v>
      </c>
      <c r="S11" s="58"/>
      <c r="T11" s="57"/>
      <c r="U11" s="57"/>
      <c r="V11" s="57"/>
    </row>
    <row r="12" spans="1:22" ht="20.100000000000001" customHeight="1">
      <c r="A12" s="176" t="s">
        <v>167</v>
      </c>
      <c r="B12" s="235">
        <v>8642.0651900000012</v>
      </c>
      <c r="C12" s="236">
        <v>24762</v>
      </c>
      <c r="D12" s="236">
        <v>8355.2000000000007</v>
      </c>
      <c r="E12" s="236">
        <v>9802.4</v>
      </c>
      <c r="F12" s="236">
        <v>8956.7999999999993</v>
      </c>
      <c r="G12" s="236">
        <v>31627.91</v>
      </c>
      <c r="H12" s="236">
        <v>14855.299999999997</v>
      </c>
      <c r="I12" s="236">
        <v>13587.399999999998</v>
      </c>
      <c r="J12" s="236">
        <v>12065.2</v>
      </c>
      <c r="K12" s="235">
        <v>16593.340768669295</v>
      </c>
      <c r="L12" s="236">
        <v>43379.415999999997</v>
      </c>
      <c r="M12" s="236">
        <v>72642.151999999987</v>
      </c>
      <c r="N12" s="236">
        <v>9782.1398199999985</v>
      </c>
      <c r="O12" s="236">
        <v>12253.100000000002</v>
      </c>
      <c r="P12" s="236">
        <v>287304.42377866927</v>
      </c>
      <c r="Q12" s="236">
        <v>308.87319884148945</v>
      </c>
      <c r="R12" s="236">
        <v>287613.29697751073</v>
      </c>
      <c r="S12" s="58"/>
      <c r="T12" s="57"/>
      <c r="U12" s="57"/>
      <c r="V12" s="57"/>
    </row>
    <row r="13" spans="1:22" ht="20.100000000000001" customHeight="1">
      <c r="A13" s="179" t="s">
        <v>168</v>
      </c>
      <c r="B13" s="238">
        <v>8769.3216499999999</v>
      </c>
      <c r="C13" s="239">
        <v>23903.8</v>
      </c>
      <c r="D13" s="239">
        <v>7648.0999999999995</v>
      </c>
      <c r="E13" s="239">
        <v>9837.6</v>
      </c>
      <c r="F13" s="239">
        <v>9207.7000000000007</v>
      </c>
      <c r="G13" s="239">
        <v>38514.176999999996</v>
      </c>
      <c r="H13" s="239">
        <v>14978.8</v>
      </c>
      <c r="I13" s="239">
        <v>12430.300000000001</v>
      </c>
      <c r="J13" s="239">
        <v>13183.299999999997</v>
      </c>
      <c r="K13" s="238">
        <v>17462.966013485595</v>
      </c>
      <c r="L13" s="239">
        <v>46157.972000000009</v>
      </c>
      <c r="M13" s="239">
        <v>77280.572</v>
      </c>
      <c r="N13" s="239">
        <v>9397.843350000001</v>
      </c>
      <c r="O13" s="239">
        <v>12243.900000000001</v>
      </c>
      <c r="P13" s="239">
        <v>301016.35201348562</v>
      </c>
      <c r="Q13" s="239">
        <v>1237.5221526624007</v>
      </c>
      <c r="R13" s="239">
        <v>302253.87416614802</v>
      </c>
      <c r="S13" s="58"/>
      <c r="T13" s="57"/>
      <c r="U13" s="57"/>
      <c r="V13" s="57"/>
    </row>
    <row r="14" spans="1:22" ht="20.100000000000001" customHeight="1">
      <c r="A14" s="176" t="s">
        <v>169</v>
      </c>
      <c r="B14" s="235"/>
      <c r="C14" s="236"/>
      <c r="D14" s="236"/>
      <c r="E14" s="236"/>
      <c r="F14" s="236"/>
      <c r="G14" s="236"/>
      <c r="H14" s="236"/>
      <c r="I14" s="236"/>
      <c r="J14" s="236"/>
      <c r="K14" s="235"/>
      <c r="L14" s="236"/>
      <c r="M14" s="236"/>
      <c r="N14" s="236"/>
      <c r="O14" s="236"/>
      <c r="P14" s="236"/>
      <c r="Q14" s="236"/>
      <c r="R14" s="236"/>
      <c r="S14" s="58"/>
      <c r="T14" s="57"/>
      <c r="U14" s="57"/>
      <c r="V14" s="57"/>
    </row>
    <row r="15" spans="1:22" ht="20.100000000000001" customHeight="1">
      <c r="A15" s="176" t="s">
        <v>170</v>
      </c>
      <c r="B15" s="235"/>
      <c r="C15" s="236"/>
      <c r="D15" s="236"/>
      <c r="E15" s="236"/>
      <c r="F15" s="236"/>
      <c r="G15" s="236"/>
      <c r="H15" s="236"/>
      <c r="I15" s="236"/>
      <c r="J15" s="236"/>
      <c r="K15" s="235"/>
      <c r="L15" s="236"/>
      <c r="M15" s="236"/>
      <c r="N15" s="236"/>
      <c r="O15" s="236"/>
      <c r="P15" s="236"/>
      <c r="Q15" s="236"/>
      <c r="R15" s="236"/>
      <c r="S15" s="58"/>
      <c r="T15" s="57"/>
      <c r="U15" s="57"/>
      <c r="V15" s="57"/>
    </row>
    <row r="16" spans="1:22" ht="20.100000000000001" customHeight="1">
      <c r="A16" s="179" t="s">
        <v>171</v>
      </c>
      <c r="B16" s="238"/>
      <c r="C16" s="239"/>
      <c r="D16" s="239"/>
      <c r="E16" s="239"/>
      <c r="F16" s="239"/>
      <c r="G16" s="239"/>
      <c r="H16" s="239"/>
      <c r="I16" s="239"/>
      <c r="J16" s="239"/>
      <c r="K16" s="238"/>
      <c r="L16" s="239"/>
      <c r="M16" s="239"/>
      <c r="N16" s="239"/>
      <c r="O16" s="239"/>
      <c r="P16" s="239"/>
      <c r="Q16" s="239"/>
      <c r="R16" s="239"/>
      <c r="S16" s="58"/>
      <c r="T16" s="57"/>
      <c r="U16" s="57"/>
      <c r="V16" s="57"/>
    </row>
    <row r="17" spans="1:22" ht="20.100000000000001" customHeight="1">
      <c r="A17" s="176" t="s">
        <v>48</v>
      </c>
      <c r="B17" s="235">
        <f>SUM(B5:B7)</f>
        <v>87209.849889999998</v>
      </c>
      <c r="C17" s="235">
        <f>SUM(C5:C7)</f>
        <v>334606.5</v>
      </c>
      <c r="D17" s="235">
        <f t="shared" ref="D17:J17" si="0">SUM(D5:D7)</f>
        <v>64288.2</v>
      </c>
      <c r="E17" s="235">
        <f t="shared" si="0"/>
        <v>105865.80000000002</v>
      </c>
      <c r="F17" s="235">
        <f t="shared" si="0"/>
        <v>100949.40000000001</v>
      </c>
      <c r="G17" s="235">
        <f t="shared" si="0"/>
        <v>260229.31600000002</v>
      </c>
      <c r="H17" s="235">
        <f t="shared" si="0"/>
        <v>153759.5</v>
      </c>
      <c r="I17" s="235">
        <f t="shared" si="0"/>
        <v>110682.69999999998</v>
      </c>
      <c r="J17" s="235">
        <f t="shared" si="0"/>
        <v>117673.99999999999</v>
      </c>
      <c r="K17" s="235">
        <f>SUM(K5:K7)</f>
        <v>284665.25603636721</v>
      </c>
      <c r="L17" s="235">
        <f t="shared" ref="L17:R17" si="1">SUM(L5:L7)</f>
        <v>324266.962</v>
      </c>
      <c r="M17" s="235">
        <f t="shared" si="1"/>
        <v>294644.74699999997</v>
      </c>
      <c r="N17" s="235">
        <f t="shared" si="1"/>
        <v>101546.01510999999</v>
      </c>
      <c r="O17" s="235">
        <f t="shared" si="1"/>
        <v>128291.8</v>
      </c>
      <c r="P17" s="235">
        <f t="shared" si="1"/>
        <v>2468680.0460363673</v>
      </c>
      <c r="Q17" s="235">
        <f t="shared" si="1"/>
        <v>53134.914278364027</v>
      </c>
      <c r="R17" s="235">
        <f t="shared" si="1"/>
        <v>2521814.9603147311</v>
      </c>
    </row>
    <row r="18" spans="1:22" ht="20.100000000000001" customHeight="1">
      <c r="A18" s="176" t="s">
        <v>56</v>
      </c>
      <c r="B18" s="235">
        <f>SUM(B8:B10)</f>
        <v>45189.553160000003</v>
      </c>
      <c r="C18" s="235">
        <f>SUM(C8:C10)</f>
        <v>143998.80000000002</v>
      </c>
      <c r="D18" s="235">
        <f t="shared" ref="D18:J18" si="2">SUM(D8:D10)</f>
        <v>36209.599999999999</v>
      </c>
      <c r="E18" s="235">
        <f t="shared" si="2"/>
        <v>49673.5</v>
      </c>
      <c r="F18" s="235">
        <f t="shared" si="2"/>
        <v>48377.7</v>
      </c>
      <c r="G18" s="235">
        <f t="shared" si="2"/>
        <v>151248.872</v>
      </c>
      <c r="H18" s="235">
        <f t="shared" si="2"/>
        <v>73999.599999999991</v>
      </c>
      <c r="I18" s="235">
        <f t="shared" si="2"/>
        <v>57765.599999999999</v>
      </c>
      <c r="J18" s="235">
        <f t="shared" si="2"/>
        <v>59893</v>
      </c>
      <c r="K18" s="235">
        <f>SUM(K8:K10)</f>
        <v>114633.75373448025</v>
      </c>
      <c r="L18" s="235">
        <f t="shared" ref="L18:R18" si="3">SUM(L8:L10)</f>
        <v>172539.41399999999</v>
      </c>
      <c r="M18" s="235">
        <f t="shared" si="3"/>
        <v>212460.49</v>
      </c>
      <c r="N18" s="235">
        <f t="shared" si="3"/>
        <v>47927.40984</v>
      </c>
      <c r="O18" s="235">
        <f t="shared" si="3"/>
        <v>61609.299999999996</v>
      </c>
      <c r="P18" s="235">
        <f t="shared" si="3"/>
        <v>1275526.5927344803</v>
      </c>
      <c r="Q18" s="235">
        <f t="shared" si="3"/>
        <v>13748.475192326678</v>
      </c>
      <c r="R18" s="235">
        <f t="shared" si="3"/>
        <v>1289275.0679268069</v>
      </c>
    </row>
    <row r="19" spans="1:22" ht="20.100000000000001" customHeight="1">
      <c r="A19" s="176" t="s">
        <v>63</v>
      </c>
      <c r="B19" s="235">
        <f>SUM(B11:B13)</f>
        <v>24909.635480000004</v>
      </c>
      <c r="C19" s="235">
        <f>SUM(C11:C13)</f>
        <v>72154.7</v>
      </c>
      <c r="D19" s="235">
        <f t="shared" ref="D19:J19" si="4">SUM(D11:D13)</f>
        <v>23918</v>
      </c>
      <c r="E19" s="235">
        <f t="shared" si="4"/>
        <v>27571.800000000003</v>
      </c>
      <c r="F19" s="235">
        <f t="shared" si="4"/>
        <v>25791</v>
      </c>
      <c r="G19" s="235">
        <f t="shared" si="4"/>
        <v>103779.49399999999</v>
      </c>
      <c r="H19" s="235">
        <f t="shared" si="4"/>
        <v>43479.399999999994</v>
      </c>
      <c r="I19" s="235">
        <f t="shared" si="4"/>
        <v>38891.699999999997</v>
      </c>
      <c r="J19" s="235">
        <f t="shared" si="4"/>
        <v>36301.9</v>
      </c>
      <c r="K19" s="235">
        <f>SUM(K11:K13)</f>
        <v>51645.569844837621</v>
      </c>
      <c r="L19" s="235">
        <f t="shared" ref="L19:R19" si="5">SUM(L11:L13)</f>
        <v>128802.87</v>
      </c>
      <c r="M19" s="235">
        <f t="shared" si="5"/>
        <v>227890.72399999999</v>
      </c>
      <c r="N19" s="235">
        <f t="shared" si="5"/>
        <v>27381.816530000004</v>
      </c>
      <c r="O19" s="235">
        <f t="shared" si="5"/>
        <v>35518.800000000003</v>
      </c>
      <c r="P19" s="235">
        <f t="shared" si="5"/>
        <v>868037.40985483758</v>
      </c>
      <c r="Q19" s="235">
        <f t="shared" si="5"/>
        <v>2966.6408436301526</v>
      </c>
      <c r="R19" s="235">
        <f t="shared" si="5"/>
        <v>871004.05069846776</v>
      </c>
    </row>
    <row r="20" spans="1:22" ht="20.100000000000001" customHeight="1">
      <c r="A20" s="179" t="s">
        <v>57</v>
      </c>
      <c r="B20" s="401">
        <f>SUM(B14:B16)</f>
        <v>0</v>
      </c>
      <c r="C20" s="401">
        <f>SUM(C14:C16)</f>
        <v>0</v>
      </c>
      <c r="D20" s="401">
        <f t="shared" ref="D20:J20" si="6">SUM(D14:D16)</f>
        <v>0</v>
      </c>
      <c r="E20" s="401">
        <f t="shared" si="6"/>
        <v>0</v>
      </c>
      <c r="F20" s="401">
        <f t="shared" si="6"/>
        <v>0</v>
      </c>
      <c r="G20" s="401">
        <f t="shared" si="6"/>
        <v>0</v>
      </c>
      <c r="H20" s="401">
        <f t="shared" si="6"/>
        <v>0</v>
      </c>
      <c r="I20" s="401">
        <f t="shared" si="6"/>
        <v>0</v>
      </c>
      <c r="J20" s="401">
        <f t="shared" si="6"/>
        <v>0</v>
      </c>
      <c r="K20" s="401">
        <f>SUM(K14:K16)</f>
        <v>0</v>
      </c>
      <c r="L20" s="401">
        <f t="shared" ref="L20:R20" si="7">SUM(L14:L16)</f>
        <v>0</v>
      </c>
      <c r="M20" s="401">
        <f t="shared" si="7"/>
        <v>0</v>
      </c>
      <c r="N20" s="401">
        <f t="shared" si="7"/>
        <v>0</v>
      </c>
      <c r="O20" s="401">
        <f t="shared" si="7"/>
        <v>0</v>
      </c>
      <c r="P20" s="401">
        <f t="shared" si="7"/>
        <v>0</v>
      </c>
      <c r="Q20" s="401">
        <f t="shared" si="7"/>
        <v>0</v>
      </c>
      <c r="R20" s="401">
        <f t="shared" si="7"/>
        <v>0</v>
      </c>
    </row>
    <row r="21" spans="1:22" ht="20.100000000000001" customHeight="1">
      <c r="A21" s="176" t="s">
        <v>58</v>
      </c>
      <c r="B21" s="235">
        <f>SUM(B5:B10)</f>
        <v>132399.40304999999</v>
      </c>
      <c r="C21" s="235">
        <f>SUM(C5:C10)</f>
        <v>478605.3</v>
      </c>
      <c r="D21" s="235">
        <f t="shared" ref="D21:J21" si="8">SUM(D5:D10)</f>
        <v>100497.8</v>
      </c>
      <c r="E21" s="235">
        <f t="shared" si="8"/>
        <v>155539.30000000002</v>
      </c>
      <c r="F21" s="235">
        <f t="shared" si="8"/>
        <v>149327.1</v>
      </c>
      <c r="G21" s="235">
        <f t="shared" si="8"/>
        <v>411478.18800000008</v>
      </c>
      <c r="H21" s="235">
        <f t="shared" si="8"/>
        <v>227759.09999999998</v>
      </c>
      <c r="I21" s="235">
        <f t="shared" si="8"/>
        <v>168448.3</v>
      </c>
      <c r="J21" s="235">
        <f t="shared" si="8"/>
        <v>177567</v>
      </c>
      <c r="K21" s="235">
        <f>SUM(K5:K10)</f>
        <v>399299.00977084745</v>
      </c>
      <c r="L21" s="235">
        <f t="shared" ref="L21:R21" si="9">SUM(L5:L10)</f>
        <v>496806.37599999999</v>
      </c>
      <c r="M21" s="235">
        <f t="shared" si="9"/>
        <v>507105.23699999996</v>
      </c>
      <c r="N21" s="235">
        <f t="shared" si="9"/>
        <v>149473.42494999999</v>
      </c>
      <c r="O21" s="235">
        <f t="shared" si="9"/>
        <v>189901.1</v>
      </c>
      <c r="P21" s="235">
        <f t="shared" si="9"/>
        <v>3744206.6387708476</v>
      </c>
      <c r="Q21" s="235">
        <f t="shared" si="9"/>
        <v>66883.389470690701</v>
      </c>
      <c r="R21" s="235">
        <f t="shared" si="9"/>
        <v>3811090.028241538</v>
      </c>
    </row>
    <row r="22" spans="1:22" ht="20.100000000000001" customHeight="1">
      <c r="A22" s="179" t="s">
        <v>59</v>
      </c>
      <c r="B22" s="401">
        <f>SUM(B11:B16)</f>
        <v>24909.635480000004</v>
      </c>
      <c r="C22" s="401">
        <f>SUM(C11:C16)</f>
        <v>72154.7</v>
      </c>
      <c r="D22" s="401">
        <f t="shared" ref="D22:J22" si="10">SUM(D11:D16)</f>
        <v>23918</v>
      </c>
      <c r="E22" s="401">
        <f t="shared" si="10"/>
        <v>27571.800000000003</v>
      </c>
      <c r="F22" s="401">
        <f t="shared" si="10"/>
        <v>25791</v>
      </c>
      <c r="G22" s="401">
        <f t="shared" si="10"/>
        <v>103779.49399999999</v>
      </c>
      <c r="H22" s="401">
        <f t="shared" si="10"/>
        <v>43479.399999999994</v>
      </c>
      <c r="I22" s="401">
        <f t="shared" si="10"/>
        <v>38891.699999999997</v>
      </c>
      <c r="J22" s="401">
        <f t="shared" si="10"/>
        <v>36301.9</v>
      </c>
      <c r="K22" s="401">
        <f>SUM(K11:K16)</f>
        <v>51645.569844837621</v>
      </c>
      <c r="L22" s="401">
        <f t="shared" ref="L22:R22" si="11">SUM(L11:L16)</f>
        <v>128802.87</v>
      </c>
      <c r="M22" s="401">
        <f t="shared" si="11"/>
        <v>227890.72399999999</v>
      </c>
      <c r="N22" s="401">
        <f t="shared" si="11"/>
        <v>27381.816530000004</v>
      </c>
      <c r="O22" s="401">
        <f t="shared" si="11"/>
        <v>35518.800000000003</v>
      </c>
      <c r="P22" s="401">
        <f t="shared" si="11"/>
        <v>868037.40985483758</v>
      </c>
      <c r="Q22" s="401">
        <f t="shared" si="11"/>
        <v>2966.6408436301526</v>
      </c>
      <c r="R22" s="401">
        <f t="shared" si="11"/>
        <v>871004.05069846776</v>
      </c>
    </row>
    <row r="23" spans="1:22" ht="20.100000000000001" customHeight="1">
      <c r="A23" s="216" t="s">
        <v>172</v>
      </c>
      <c r="B23" s="404">
        <f>SUM(B5:B16)</f>
        <v>157309.03852999999</v>
      </c>
      <c r="C23" s="404">
        <f>SUM(C5:C16)</f>
        <v>550760</v>
      </c>
      <c r="D23" s="404">
        <f t="shared" ref="D23:J23" si="12">SUM(D5:D16)</f>
        <v>124415.8</v>
      </c>
      <c r="E23" s="404">
        <f t="shared" si="12"/>
        <v>183111.1</v>
      </c>
      <c r="F23" s="404">
        <f t="shared" si="12"/>
        <v>175118.1</v>
      </c>
      <c r="G23" s="404">
        <f t="shared" si="12"/>
        <v>515257.68200000003</v>
      </c>
      <c r="H23" s="404">
        <f t="shared" si="12"/>
        <v>271238.49999999994</v>
      </c>
      <c r="I23" s="404">
        <f t="shared" si="12"/>
        <v>207339.99999999997</v>
      </c>
      <c r="J23" s="404">
        <f t="shared" si="12"/>
        <v>213868.9</v>
      </c>
      <c r="K23" s="404">
        <f>SUM(K5:K16)</f>
        <v>450944.57961568504</v>
      </c>
      <c r="L23" s="404">
        <f t="shared" ref="L23:R23" si="13">SUM(L5:L16)</f>
        <v>625609.24600000004</v>
      </c>
      <c r="M23" s="404">
        <f t="shared" si="13"/>
        <v>734995.96100000001</v>
      </c>
      <c r="N23" s="404">
        <f t="shared" si="13"/>
        <v>176855.24148</v>
      </c>
      <c r="O23" s="404">
        <f t="shared" si="13"/>
        <v>225419.9</v>
      </c>
      <c r="P23" s="404">
        <f t="shared" si="13"/>
        <v>4612244.0486256853</v>
      </c>
      <c r="Q23" s="404">
        <f t="shared" si="13"/>
        <v>69850.030314320858</v>
      </c>
      <c r="R23" s="404">
        <f t="shared" si="13"/>
        <v>4682094.078940006</v>
      </c>
    </row>
    <row r="25" spans="1:22" ht="12" customHeight="1">
      <c r="A25" s="60"/>
      <c r="B25" s="60"/>
      <c r="C25" s="60"/>
      <c r="H25" s="60"/>
      <c r="I25" s="60"/>
      <c r="J25" s="60"/>
      <c r="K25" s="60"/>
      <c r="O25" s="60"/>
      <c r="P25" s="60"/>
      <c r="Q25" s="60"/>
      <c r="R25" s="60"/>
    </row>
    <row r="26" spans="1:22" ht="12" customHeight="1">
      <c r="E26" s="63"/>
      <c r="F26" s="63"/>
      <c r="G26" s="63"/>
      <c r="H26" s="63"/>
      <c r="L26" s="63"/>
      <c r="M26" s="63"/>
      <c r="N26" s="63"/>
    </row>
    <row r="27" spans="1:22" ht="12" customHeight="1">
      <c r="E27" s="63"/>
      <c r="F27" s="63"/>
      <c r="G27" s="63"/>
      <c r="L27" s="63"/>
      <c r="M27" s="63"/>
      <c r="N27" s="63"/>
    </row>
    <row r="28" spans="1:22" ht="12" customHeight="1">
      <c r="E28" s="63"/>
      <c r="F28" s="63"/>
      <c r="G28" s="63"/>
      <c r="L28" s="63"/>
      <c r="M28" s="63"/>
      <c r="N28" s="63"/>
    </row>
    <row r="29" spans="1:22" ht="35.1" customHeight="1">
      <c r="A29" s="446" t="s">
        <v>194</v>
      </c>
      <c r="B29" s="446"/>
      <c r="C29" s="446"/>
      <c r="D29" s="446"/>
      <c r="E29" s="446"/>
      <c r="F29" s="446"/>
      <c r="G29" s="446"/>
      <c r="H29" s="446"/>
      <c r="I29" s="446"/>
      <c r="J29" s="446"/>
      <c r="K29" s="446"/>
      <c r="L29" s="446"/>
      <c r="M29" s="446"/>
      <c r="N29" s="446"/>
      <c r="O29" s="446"/>
      <c r="P29" s="446"/>
      <c r="Q29" s="446"/>
      <c r="R29" s="446"/>
    </row>
    <row r="30" spans="1:22" ht="84.95" customHeight="1">
      <c r="A30" s="218">
        <f>A4</f>
        <v>2023</v>
      </c>
      <c r="B30" s="370" t="s">
        <v>68</v>
      </c>
      <c r="C30" s="370" t="s">
        <v>69</v>
      </c>
      <c r="D30" s="370" t="s">
        <v>70</v>
      </c>
      <c r="E30" s="370" t="s">
        <v>91</v>
      </c>
      <c r="F30" s="370" t="s">
        <v>71</v>
      </c>
      <c r="G30" s="370" t="s">
        <v>72</v>
      </c>
      <c r="H30" s="370" t="s">
        <v>73</v>
      </c>
      <c r="I30" s="370" t="s">
        <v>74</v>
      </c>
      <c r="J30" s="370" t="s">
        <v>75</v>
      </c>
      <c r="K30" s="370" t="s">
        <v>76</v>
      </c>
      <c r="L30" s="370" t="s">
        <v>77</v>
      </c>
      <c r="M30" s="370" t="s">
        <v>78</v>
      </c>
      <c r="N30" s="370" t="s">
        <v>79</v>
      </c>
      <c r="O30" s="370" t="s">
        <v>80</v>
      </c>
      <c r="P30" s="370" t="s">
        <v>81</v>
      </c>
      <c r="Q30" s="370" t="s">
        <v>95</v>
      </c>
      <c r="R30" s="370" t="s">
        <v>82</v>
      </c>
    </row>
    <row r="31" spans="1:22" ht="20.100000000000001" customHeight="1">
      <c r="A31" s="176" t="s">
        <v>160</v>
      </c>
      <c r="B31" s="235">
        <v>342082.37362999999</v>
      </c>
      <c r="C31" s="235">
        <v>1325250.2110600001</v>
      </c>
      <c r="D31" s="236">
        <v>249092.99982999996</v>
      </c>
      <c r="E31" s="236">
        <v>406036.90437</v>
      </c>
      <c r="F31" s="236">
        <v>389031.01834000013</v>
      </c>
      <c r="G31" s="236">
        <v>993549.01579999994</v>
      </c>
      <c r="H31" s="236">
        <v>604961.31299000001</v>
      </c>
      <c r="I31" s="236">
        <v>429093.55025999999</v>
      </c>
      <c r="J31" s="236">
        <v>454573.99345999997</v>
      </c>
      <c r="K31" s="235">
        <v>1123199.00556</v>
      </c>
      <c r="L31" s="235">
        <v>1253933.2459799997</v>
      </c>
      <c r="M31" s="236">
        <v>1060984.26413</v>
      </c>
      <c r="N31" s="236">
        <v>395379.77189999993</v>
      </c>
      <c r="O31" s="236">
        <v>489565.96096</v>
      </c>
      <c r="P31" s="236">
        <v>9516733.6282700002</v>
      </c>
      <c r="Q31" s="236">
        <v>197829.66727999997</v>
      </c>
      <c r="R31" s="236">
        <v>9714563.2955499999</v>
      </c>
      <c r="S31" s="56"/>
      <c r="T31" s="57"/>
      <c r="U31" s="57"/>
      <c r="V31" s="57"/>
    </row>
    <row r="32" spans="1:22" ht="20.100000000000001" customHeight="1">
      <c r="A32" s="176" t="s">
        <v>161</v>
      </c>
      <c r="B32" s="235">
        <v>322292.52504000004</v>
      </c>
      <c r="C32" s="236">
        <v>1242631.3842999998</v>
      </c>
      <c r="D32" s="236">
        <v>235730.08976000003</v>
      </c>
      <c r="E32" s="236">
        <v>395748.6593</v>
      </c>
      <c r="F32" s="236">
        <v>373984.91698000004</v>
      </c>
      <c r="G32" s="236">
        <v>980756.02682999999</v>
      </c>
      <c r="H32" s="236">
        <v>568693.48241000006</v>
      </c>
      <c r="I32" s="236">
        <v>410236.84523999994</v>
      </c>
      <c r="J32" s="236">
        <v>435689.14918000001</v>
      </c>
      <c r="K32" s="235">
        <v>1060509.0729099999</v>
      </c>
      <c r="L32" s="236">
        <v>1151242.9951269999</v>
      </c>
      <c r="M32" s="236">
        <v>1114683.33161</v>
      </c>
      <c r="N32" s="236">
        <v>378285.47201999993</v>
      </c>
      <c r="O32" s="236">
        <v>477768.37594000006</v>
      </c>
      <c r="P32" s="236">
        <v>9148252.3266470004</v>
      </c>
      <c r="Q32" s="236">
        <v>193137.02434900001</v>
      </c>
      <c r="R32" s="236">
        <v>9341389.3509960007</v>
      </c>
      <c r="S32" s="58"/>
      <c r="T32" s="57"/>
      <c r="U32" s="57"/>
      <c r="V32" s="57"/>
    </row>
    <row r="33" spans="1:22" ht="20.100000000000001" customHeight="1">
      <c r="A33" s="179" t="s">
        <v>162</v>
      </c>
      <c r="B33" s="238">
        <v>286703.54693000001</v>
      </c>
      <c r="C33" s="239">
        <v>1064220.4136000001</v>
      </c>
      <c r="D33" s="239">
        <v>212983.22906000001</v>
      </c>
      <c r="E33" s="239">
        <v>347304.72019000002</v>
      </c>
      <c r="F33" s="239">
        <v>332717.10668000003</v>
      </c>
      <c r="G33" s="239">
        <v>849349.03387999989</v>
      </c>
      <c r="H33" s="239">
        <v>495356.79458000005</v>
      </c>
      <c r="I33" s="239">
        <v>362061.79564999999</v>
      </c>
      <c r="J33" s="239">
        <v>387008.15719</v>
      </c>
      <c r="K33" s="238">
        <v>916113.72104895429</v>
      </c>
      <c r="L33" s="239">
        <v>1114817.1192209998</v>
      </c>
      <c r="M33" s="239">
        <v>1030673.1590299999</v>
      </c>
      <c r="N33" s="239">
        <v>329213.30933999998</v>
      </c>
      <c r="O33" s="239">
        <v>425158.09473000001</v>
      </c>
      <c r="P33" s="239">
        <v>8153680.2011299534</v>
      </c>
      <c r="Q33" s="239">
        <v>186339.213552</v>
      </c>
      <c r="R33" s="239">
        <v>8340019.4146819534</v>
      </c>
      <c r="S33" s="59"/>
      <c r="T33" s="57"/>
      <c r="U33" s="57"/>
      <c r="V33" s="57"/>
    </row>
    <row r="34" spans="1:22" ht="20.100000000000001" customHeight="1">
      <c r="A34" s="176" t="s">
        <v>163</v>
      </c>
      <c r="B34" s="235">
        <v>239755.45045</v>
      </c>
      <c r="C34" s="236">
        <v>845423.80909999995</v>
      </c>
      <c r="D34" s="236">
        <v>174733.95210999998</v>
      </c>
      <c r="E34" s="236">
        <v>271164.48214999994</v>
      </c>
      <c r="F34" s="236">
        <v>259586.97500000003</v>
      </c>
      <c r="G34" s="236">
        <v>718801.64271000016</v>
      </c>
      <c r="H34" s="236">
        <v>396704.14453999995</v>
      </c>
      <c r="I34" s="236">
        <v>308552.05262999999</v>
      </c>
      <c r="J34" s="236">
        <v>315448.53175000002</v>
      </c>
      <c r="K34" s="235">
        <v>712579.62659095961</v>
      </c>
      <c r="L34" s="236">
        <v>936420.20528900018</v>
      </c>
      <c r="M34" s="236">
        <v>777106.9124309998</v>
      </c>
      <c r="N34" s="236">
        <v>262963.93136000005</v>
      </c>
      <c r="O34" s="236">
        <v>328415.35399999999</v>
      </c>
      <c r="P34" s="236">
        <v>6547657.070110959</v>
      </c>
      <c r="Q34" s="236">
        <v>67858.734327000042</v>
      </c>
      <c r="R34" s="236">
        <v>6615515.8044379586</v>
      </c>
      <c r="S34" s="58"/>
      <c r="T34" s="57"/>
      <c r="U34" s="57"/>
      <c r="V34" s="57"/>
    </row>
    <row r="35" spans="1:22" ht="20.100000000000001" customHeight="1">
      <c r="A35" s="176" t="s">
        <v>164</v>
      </c>
      <c r="B35" s="235">
        <v>143054.44702999998</v>
      </c>
      <c r="C35" s="236">
        <v>441082.93212000001</v>
      </c>
      <c r="D35" s="236">
        <v>116607.30124999997</v>
      </c>
      <c r="E35" s="236">
        <v>160437.61641999992</v>
      </c>
      <c r="F35" s="236">
        <v>158758.61791999999</v>
      </c>
      <c r="G35" s="236">
        <v>523563.95371000009</v>
      </c>
      <c r="H35" s="236">
        <v>239463.31960999995</v>
      </c>
      <c r="I35" s="236">
        <v>183247.01032999999</v>
      </c>
      <c r="J35" s="236">
        <v>194907.31607999996</v>
      </c>
      <c r="K35" s="235">
        <v>341444.84026691742</v>
      </c>
      <c r="L35" s="236">
        <v>534371.03752399993</v>
      </c>
      <c r="M35" s="236">
        <v>588279.57665500022</v>
      </c>
      <c r="N35" s="236">
        <v>154838.44375999999</v>
      </c>
      <c r="O35" s="236">
        <v>192612.06093000001</v>
      </c>
      <c r="P35" s="236">
        <v>3972668.4736059173</v>
      </c>
      <c r="Q35" s="236">
        <v>65703.314756999927</v>
      </c>
      <c r="R35" s="236">
        <v>4038371.788362917</v>
      </c>
      <c r="S35" s="58"/>
      <c r="T35" s="57"/>
      <c r="U35" s="57"/>
      <c r="V35" s="57"/>
    </row>
    <row r="36" spans="1:22" ht="20.100000000000001" customHeight="1">
      <c r="A36" s="179" t="s">
        <v>165</v>
      </c>
      <c r="B36" s="238">
        <v>110772.89489000001</v>
      </c>
      <c r="C36" s="239">
        <v>286673.37029000011</v>
      </c>
      <c r="D36" s="239">
        <v>104401.02447000002</v>
      </c>
      <c r="E36" s="239">
        <v>111160.62399000001</v>
      </c>
      <c r="F36" s="239">
        <v>110276.69091000002</v>
      </c>
      <c r="G36" s="239">
        <v>409845.81089000002</v>
      </c>
      <c r="H36" s="239">
        <v>172425.20081000001</v>
      </c>
      <c r="I36" s="239">
        <v>139413.99996999998</v>
      </c>
      <c r="J36" s="239">
        <v>144119.16976999998</v>
      </c>
      <c r="K36" s="238">
        <v>201678.87143487085</v>
      </c>
      <c r="L36" s="239">
        <v>414442.41787399992</v>
      </c>
      <c r="M36" s="239">
        <v>958762.53031299997</v>
      </c>
      <c r="N36" s="239">
        <v>105841.95027000002</v>
      </c>
      <c r="O36" s="239">
        <v>152186.79384</v>
      </c>
      <c r="P36" s="239">
        <v>3422001.3497218709</v>
      </c>
      <c r="Q36" s="239">
        <v>17012.563173999992</v>
      </c>
      <c r="R36" s="239">
        <v>3439013.9128958709</v>
      </c>
      <c r="S36" s="58"/>
      <c r="T36" s="57"/>
      <c r="U36" s="57"/>
      <c r="V36" s="57"/>
    </row>
    <row r="37" spans="1:22" ht="20.100000000000001" customHeight="1">
      <c r="A37" s="176" t="s">
        <v>166</v>
      </c>
      <c r="B37" s="235">
        <v>82162.377359999999</v>
      </c>
      <c r="C37" s="236">
        <v>257410.32520999998</v>
      </c>
      <c r="D37" s="236">
        <v>86734.737490000014</v>
      </c>
      <c r="E37" s="236">
        <v>86922.989559999987</v>
      </c>
      <c r="F37" s="236">
        <v>83577.256540000031</v>
      </c>
      <c r="G37" s="236">
        <v>368381.52848000004</v>
      </c>
      <c r="H37" s="236">
        <v>149535.44003</v>
      </c>
      <c r="I37" s="236">
        <v>141083.83490000005</v>
      </c>
      <c r="J37" s="236">
        <v>121132.76422</v>
      </c>
      <c r="K37" s="235">
        <v>193064.76025067197</v>
      </c>
      <c r="L37" s="236">
        <v>430304.96996799996</v>
      </c>
      <c r="M37" s="236">
        <v>854846.41429099988</v>
      </c>
      <c r="N37" s="236">
        <v>89881.508399999992</v>
      </c>
      <c r="O37" s="236">
        <v>120786.37697999996</v>
      </c>
      <c r="P37" s="236">
        <v>3065825.2836796725</v>
      </c>
      <c r="Q37" s="236">
        <v>15626.359576000021</v>
      </c>
      <c r="R37" s="236">
        <v>3081451.6432556724</v>
      </c>
      <c r="S37" s="58"/>
      <c r="T37" s="57"/>
      <c r="U37" s="57"/>
      <c r="V37" s="57"/>
    </row>
    <row r="38" spans="1:22" ht="20.100000000000001" customHeight="1">
      <c r="A38" s="176" t="s">
        <v>167</v>
      </c>
      <c r="B38" s="235">
        <v>94777.97064</v>
      </c>
      <c r="C38" s="236">
        <v>271596.23095</v>
      </c>
      <c r="D38" s="236">
        <v>91641.415549999991</v>
      </c>
      <c r="E38" s="236">
        <v>107515.93992999996</v>
      </c>
      <c r="F38" s="236">
        <v>98240.721310000023</v>
      </c>
      <c r="G38" s="236">
        <v>346778.98044000001</v>
      </c>
      <c r="H38" s="236">
        <v>162936.26285000003</v>
      </c>
      <c r="I38" s="236">
        <v>149030.84715000002</v>
      </c>
      <c r="J38" s="236">
        <v>132333.92552999995</v>
      </c>
      <c r="K38" s="235">
        <v>182223.08859500446</v>
      </c>
      <c r="L38" s="236">
        <v>475816.22693</v>
      </c>
      <c r="M38" s="236">
        <v>796778.19859300007</v>
      </c>
      <c r="N38" s="236">
        <v>107291.18212000001</v>
      </c>
      <c r="O38" s="236">
        <v>134395.66222000003</v>
      </c>
      <c r="P38" s="236">
        <v>3151356.6528080045</v>
      </c>
      <c r="Q38" s="236">
        <v>3525.4763180000004</v>
      </c>
      <c r="R38" s="236">
        <v>3154882.1291260044</v>
      </c>
      <c r="S38" s="58"/>
      <c r="T38" s="57"/>
      <c r="U38" s="57"/>
      <c r="V38" s="57"/>
    </row>
    <row r="39" spans="1:22" ht="20.100000000000001" customHeight="1">
      <c r="A39" s="179" t="s">
        <v>168</v>
      </c>
      <c r="B39" s="238">
        <v>96157.041189999989</v>
      </c>
      <c r="C39" s="239">
        <v>262479.95943999989</v>
      </c>
      <c r="D39" s="239">
        <v>83981.166910000014</v>
      </c>
      <c r="E39" s="239">
        <v>108024.43651999997</v>
      </c>
      <c r="F39" s="239">
        <v>101106.24248999999</v>
      </c>
      <c r="G39" s="239">
        <v>422679.74448999995</v>
      </c>
      <c r="H39" s="239">
        <v>164478.92584000004</v>
      </c>
      <c r="I39" s="239">
        <v>136494.63160999995</v>
      </c>
      <c r="J39" s="239">
        <v>144762.48605999997</v>
      </c>
      <c r="K39" s="238">
        <v>192399.44745999193</v>
      </c>
      <c r="L39" s="239">
        <v>506834.45169500011</v>
      </c>
      <c r="M39" s="239">
        <v>849469.07588499982</v>
      </c>
      <c r="N39" s="239">
        <v>103174.46094000002</v>
      </c>
      <c r="O39" s="239">
        <v>134446.67969000002</v>
      </c>
      <c r="P39" s="239">
        <v>3306488.7502199924</v>
      </c>
      <c r="Q39" s="239">
        <v>13698.718703000015</v>
      </c>
      <c r="R39" s="239">
        <v>3320187.4689229922</v>
      </c>
      <c r="S39" s="58"/>
      <c r="T39" s="57"/>
      <c r="U39" s="57"/>
      <c r="V39" s="57"/>
    </row>
    <row r="40" spans="1:22" ht="20.100000000000001" customHeight="1">
      <c r="A40" s="176" t="s">
        <v>169</v>
      </c>
      <c r="B40" s="235"/>
      <c r="C40" s="236"/>
      <c r="D40" s="236"/>
      <c r="E40" s="236"/>
      <c r="F40" s="236"/>
      <c r="G40" s="236"/>
      <c r="H40" s="236"/>
      <c r="I40" s="236"/>
      <c r="J40" s="236"/>
      <c r="K40" s="235"/>
      <c r="L40" s="236"/>
      <c r="M40" s="236"/>
      <c r="N40" s="236"/>
      <c r="O40" s="236"/>
      <c r="P40" s="236"/>
      <c r="Q40" s="236"/>
      <c r="R40" s="236"/>
      <c r="S40" s="58"/>
      <c r="T40" s="57"/>
      <c r="U40" s="57"/>
      <c r="V40" s="57"/>
    </row>
    <row r="41" spans="1:22" ht="20.100000000000001" customHeight="1">
      <c r="A41" s="176" t="s">
        <v>170</v>
      </c>
      <c r="B41" s="235"/>
      <c r="C41" s="236"/>
      <c r="D41" s="236"/>
      <c r="E41" s="236"/>
      <c r="F41" s="236"/>
      <c r="G41" s="236"/>
      <c r="H41" s="236"/>
      <c r="I41" s="236"/>
      <c r="J41" s="236"/>
      <c r="K41" s="235"/>
      <c r="L41" s="236"/>
      <c r="M41" s="236"/>
      <c r="N41" s="236"/>
      <c r="O41" s="236"/>
      <c r="P41" s="236"/>
      <c r="Q41" s="236"/>
      <c r="R41" s="236"/>
      <c r="S41" s="58"/>
      <c r="T41" s="57"/>
      <c r="U41" s="57"/>
      <c r="V41" s="57"/>
    </row>
    <row r="42" spans="1:22" ht="20.100000000000001" customHeight="1">
      <c r="A42" s="179" t="s">
        <v>171</v>
      </c>
      <c r="B42" s="238"/>
      <c r="C42" s="239"/>
      <c r="D42" s="239"/>
      <c r="E42" s="239"/>
      <c r="F42" s="239"/>
      <c r="G42" s="239"/>
      <c r="H42" s="239"/>
      <c r="I42" s="239"/>
      <c r="J42" s="239"/>
      <c r="K42" s="238"/>
      <c r="L42" s="239"/>
      <c r="M42" s="239"/>
      <c r="N42" s="239"/>
      <c r="O42" s="239"/>
      <c r="P42" s="239"/>
      <c r="Q42" s="239"/>
      <c r="R42" s="239"/>
      <c r="S42" s="58"/>
      <c r="T42" s="57"/>
      <c r="U42" s="57"/>
      <c r="V42" s="57"/>
    </row>
    <row r="43" spans="1:22" ht="20.100000000000001" customHeight="1">
      <c r="A43" s="176" t="s">
        <v>48</v>
      </c>
      <c r="B43" s="235">
        <f>SUM(B31:B33)</f>
        <v>951078.44559999998</v>
      </c>
      <c r="C43" s="235">
        <f>SUM(C31:C33)</f>
        <v>3632102.0089599998</v>
      </c>
      <c r="D43" s="235">
        <f t="shared" ref="D43:J43" si="14">SUM(D31:D33)</f>
        <v>697806.31865000003</v>
      </c>
      <c r="E43" s="235">
        <f t="shared" si="14"/>
        <v>1149090.2838600001</v>
      </c>
      <c r="F43" s="235">
        <f t="shared" si="14"/>
        <v>1095733.0420000001</v>
      </c>
      <c r="G43" s="235">
        <f t="shared" si="14"/>
        <v>2823654.07651</v>
      </c>
      <c r="H43" s="235">
        <f t="shared" si="14"/>
        <v>1669011.5899800002</v>
      </c>
      <c r="I43" s="235">
        <f t="shared" si="14"/>
        <v>1201392.1911499999</v>
      </c>
      <c r="J43" s="235">
        <f t="shared" si="14"/>
        <v>1277271.2998299999</v>
      </c>
      <c r="K43" s="235">
        <f>SUM(K31:K33)</f>
        <v>3099821.7995189545</v>
      </c>
      <c r="L43" s="235">
        <f t="shared" ref="L43:Q43" si="15">SUM(L31:L33)</f>
        <v>3519993.3603279991</v>
      </c>
      <c r="M43" s="235">
        <f t="shared" si="15"/>
        <v>3206340.7547699995</v>
      </c>
      <c r="N43" s="235">
        <f t="shared" si="15"/>
        <v>1102878.5532599997</v>
      </c>
      <c r="O43" s="235">
        <f t="shared" si="15"/>
        <v>1392492.43163</v>
      </c>
      <c r="P43" s="235">
        <f t="shared" si="15"/>
        <v>26818666.156046953</v>
      </c>
      <c r="Q43" s="235">
        <f t="shared" si="15"/>
        <v>577305.90518100001</v>
      </c>
      <c r="R43" s="235">
        <f>SUM(R31:R33)</f>
        <v>27395972.061227951</v>
      </c>
    </row>
    <row r="44" spans="1:22" ht="20.100000000000001" customHeight="1">
      <c r="A44" s="176" t="s">
        <v>56</v>
      </c>
      <c r="B44" s="235">
        <f>SUM(B34:B36)</f>
        <v>493582.79236999998</v>
      </c>
      <c r="C44" s="235">
        <f>SUM(C34:C36)</f>
        <v>1573180.1115100002</v>
      </c>
      <c r="D44" s="235">
        <f t="shared" ref="D44:J44" si="16">SUM(D34:D36)</f>
        <v>395742.27782999998</v>
      </c>
      <c r="E44" s="235">
        <f t="shared" si="16"/>
        <v>542762.72255999991</v>
      </c>
      <c r="F44" s="235">
        <f t="shared" si="16"/>
        <v>528622.28383000009</v>
      </c>
      <c r="G44" s="235">
        <f t="shared" si="16"/>
        <v>1652211.4073100004</v>
      </c>
      <c r="H44" s="235">
        <f t="shared" si="16"/>
        <v>808592.66495999997</v>
      </c>
      <c r="I44" s="235">
        <f t="shared" si="16"/>
        <v>631213.06293000001</v>
      </c>
      <c r="J44" s="235">
        <f t="shared" si="16"/>
        <v>654475.0175999999</v>
      </c>
      <c r="K44" s="235">
        <f>SUM(K34:K36)</f>
        <v>1255703.338292748</v>
      </c>
      <c r="L44" s="235">
        <f t="shared" ref="L44:Q44" si="17">SUM(L34:L36)</f>
        <v>1885233.660687</v>
      </c>
      <c r="M44" s="235">
        <f t="shared" si="17"/>
        <v>2324149.0193989999</v>
      </c>
      <c r="N44" s="235">
        <f t="shared" si="17"/>
        <v>523644.32539000007</v>
      </c>
      <c r="O44" s="235">
        <f t="shared" si="17"/>
        <v>673214.20876999991</v>
      </c>
      <c r="P44" s="235">
        <f t="shared" si="17"/>
        <v>13942326.893438747</v>
      </c>
      <c r="Q44" s="235">
        <f t="shared" si="17"/>
        <v>150574.61225799995</v>
      </c>
      <c r="R44" s="235">
        <f>SUM(R34:R36)</f>
        <v>14092901.505696747</v>
      </c>
    </row>
    <row r="45" spans="1:22" ht="20.100000000000001" customHeight="1">
      <c r="A45" s="176" t="s">
        <v>63</v>
      </c>
      <c r="B45" s="235">
        <f>SUM(B37:B39)</f>
        <v>273097.38919000002</v>
      </c>
      <c r="C45" s="235">
        <f>SUM(C37:C39)</f>
        <v>791486.51559999981</v>
      </c>
      <c r="D45" s="235">
        <f t="shared" ref="D45:J45" si="18">SUM(D37:D39)</f>
        <v>262357.31995000003</v>
      </c>
      <c r="E45" s="235">
        <f t="shared" si="18"/>
        <v>302463.36600999994</v>
      </c>
      <c r="F45" s="235">
        <f t="shared" si="18"/>
        <v>282924.22034000006</v>
      </c>
      <c r="G45" s="235">
        <f t="shared" si="18"/>
        <v>1137840.2534099999</v>
      </c>
      <c r="H45" s="235">
        <f t="shared" si="18"/>
        <v>476950.62872000004</v>
      </c>
      <c r="I45" s="235">
        <f t="shared" si="18"/>
        <v>426609.31365999999</v>
      </c>
      <c r="J45" s="235">
        <f t="shared" si="18"/>
        <v>398229.17580999993</v>
      </c>
      <c r="K45" s="235">
        <f>SUM(K37:K39)</f>
        <v>567687.29630566831</v>
      </c>
      <c r="L45" s="235">
        <f t="shared" ref="L45:R45" si="19">SUM(L37:L39)</f>
        <v>1412955.6485930001</v>
      </c>
      <c r="M45" s="235">
        <f t="shared" si="19"/>
        <v>2501093.6887689997</v>
      </c>
      <c r="N45" s="235">
        <f t="shared" si="19"/>
        <v>300347.15146000002</v>
      </c>
      <c r="O45" s="235">
        <f t="shared" si="19"/>
        <v>389628.71889000002</v>
      </c>
      <c r="P45" s="235">
        <f t="shared" si="19"/>
        <v>9523670.686707668</v>
      </c>
      <c r="Q45" s="235">
        <f t="shared" si="19"/>
        <v>32850.554597000038</v>
      </c>
      <c r="R45" s="235">
        <f t="shared" si="19"/>
        <v>9556521.2413046695</v>
      </c>
    </row>
    <row r="46" spans="1:22" ht="20.100000000000001" customHeight="1">
      <c r="A46" s="179" t="s">
        <v>57</v>
      </c>
      <c r="B46" s="401">
        <f>SUM(B40:B42)</f>
        <v>0</v>
      </c>
      <c r="C46" s="401">
        <f>SUM(C40:C42)</f>
        <v>0</v>
      </c>
      <c r="D46" s="401">
        <f t="shared" ref="D46:J46" si="20">SUM(D40:D42)</f>
        <v>0</v>
      </c>
      <c r="E46" s="401">
        <f t="shared" si="20"/>
        <v>0</v>
      </c>
      <c r="F46" s="401">
        <f t="shared" si="20"/>
        <v>0</v>
      </c>
      <c r="G46" s="401">
        <f t="shared" si="20"/>
        <v>0</v>
      </c>
      <c r="H46" s="401">
        <f t="shared" si="20"/>
        <v>0</v>
      </c>
      <c r="I46" s="401">
        <f t="shared" si="20"/>
        <v>0</v>
      </c>
      <c r="J46" s="401">
        <f t="shared" si="20"/>
        <v>0</v>
      </c>
      <c r="K46" s="401">
        <f>SUM(K40:K42)</f>
        <v>0</v>
      </c>
      <c r="L46" s="401">
        <f t="shared" ref="L46:R46" si="21">SUM(L40:L42)</f>
        <v>0</v>
      </c>
      <c r="M46" s="401">
        <f t="shared" si="21"/>
        <v>0</v>
      </c>
      <c r="N46" s="401">
        <f t="shared" si="21"/>
        <v>0</v>
      </c>
      <c r="O46" s="401">
        <f t="shared" si="21"/>
        <v>0</v>
      </c>
      <c r="P46" s="401">
        <f t="shared" si="21"/>
        <v>0</v>
      </c>
      <c r="Q46" s="401">
        <f t="shared" si="21"/>
        <v>0</v>
      </c>
      <c r="R46" s="401">
        <f t="shared" si="21"/>
        <v>0</v>
      </c>
    </row>
    <row r="47" spans="1:22" ht="20.100000000000001" customHeight="1">
      <c r="A47" s="176" t="s">
        <v>58</v>
      </c>
      <c r="B47" s="235">
        <f>SUM(B31:B36)</f>
        <v>1444661.2379700001</v>
      </c>
      <c r="C47" s="235">
        <f>SUM(C31:C36)</f>
        <v>5205282.1204699995</v>
      </c>
      <c r="D47" s="235">
        <f t="shared" ref="D47:J47" si="22">SUM(D31:D36)</f>
        <v>1093548.5964800001</v>
      </c>
      <c r="E47" s="235">
        <f t="shared" si="22"/>
        <v>1691853.0064199998</v>
      </c>
      <c r="F47" s="235">
        <f t="shared" si="22"/>
        <v>1624355.3258300002</v>
      </c>
      <c r="G47" s="235">
        <f t="shared" si="22"/>
        <v>4475865.4838200007</v>
      </c>
      <c r="H47" s="235">
        <f t="shared" si="22"/>
        <v>2477604.2549399999</v>
      </c>
      <c r="I47" s="235">
        <f t="shared" si="22"/>
        <v>1832605.2540799999</v>
      </c>
      <c r="J47" s="235">
        <f t="shared" si="22"/>
        <v>1931746.3174300001</v>
      </c>
      <c r="K47" s="235">
        <f>SUM(K31:K36)</f>
        <v>4355525.1378117027</v>
      </c>
      <c r="L47" s="235">
        <f t="shared" ref="L47:R47" si="23">SUM(L31:L36)</f>
        <v>5405227.0210149987</v>
      </c>
      <c r="M47" s="235">
        <f t="shared" si="23"/>
        <v>5530489.7741689999</v>
      </c>
      <c r="N47" s="235">
        <f t="shared" si="23"/>
        <v>1626522.8786499996</v>
      </c>
      <c r="O47" s="235">
        <f t="shared" si="23"/>
        <v>2065706.6403999999</v>
      </c>
      <c r="P47" s="235">
        <f t="shared" si="23"/>
        <v>40760993.049485698</v>
      </c>
      <c r="Q47" s="235">
        <f t="shared" si="23"/>
        <v>727880.51743900008</v>
      </c>
      <c r="R47" s="235">
        <f t="shared" si="23"/>
        <v>41488873.566924706</v>
      </c>
    </row>
    <row r="48" spans="1:22" ht="20.100000000000001" customHeight="1">
      <c r="A48" s="179" t="s">
        <v>59</v>
      </c>
      <c r="B48" s="401">
        <f>SUM(B37:B42)</f>
        <v>273097.38919000002</v>
      </c>
      <c r="C48" s="401">
        <f>SUM(C37:C42)</f>
        <v>791486.51559999981</v>
      </c>
      <c r="D48" s="401">
        <f t="shared" ref="D48:J48" si="24">SUM(D37:D42)</f>
        <v>262357.31995000003</v>
      </c>
      <c r="E48" s="401">
        <f t="shared" si="24"/>
        <v>302463.36600999994</v>
      </c>
      <c r="F48" s="401">
        <f t="shared" si="24"/>
        <v>282924.22034000006</v>
      </c>
      <c r="G48" s="401">
        <f t="shared" si="24"/>
        <v>1137840.2534099999</v>
      </c>
      <c r="H48" s="401">
        <f t="shared" si="24"/>
        <v>476950.62872000004</v>
      </c>
      <c r="I48" s="401">
        <f t="shared" si="24"/>
        <v>426609.31365999999</v>
      </c>
      <c r="J48" s="401">
        <f t="shared" si="24"/>
        <v>398229.17580999993</v>
      </c>
      <c r="K48" s="401">
        <f>SUM(K37:K42)</f>
        <v>567687.29630566831</v>
      </c>
      <c r="L48" s="401">
        <f t="shared" ref="L48:R48" si="25">SUM(L37:L42)</f>
        <v>1412955.6485930001</v>
      </c>
      <c r="M48" s="401">
        <f t="shared" si="25"/>
        <v>2501093.6887689997</v>
      </c>
      <c r="N48" s="401">
        <f t="shared" si="25"/>
        <v>300347.15146000002</v>
      </c>
      <c r="O48" s="401">
        <f t="shared" si="25"/>
        <v>389628.71889000002</v>
      </c>
      <c r="P48" s="401">
        <f t="shared" si="25"/>
        <v>9523670.686707668</v>
      </c>
      <c r="Q48" s="401">
        <f t="shared" si="25"/>
        <v>32850.554597000038</v>
      </c>
      <c r="R48" s="401">
        <f t="shared" si="25"/>
        <v>9556521.2413046695</v>
      </c>
    </row>
    <row r="49" spans="1:18" ht="20.100000000000001" customHeight="1">
      <c r="A49" s="179" t="s">
        <v>172</v>
      </c>
      <c r="B49" s="401">
        <f>SUM(B31:B42)</f>
        <v>1717758.6271600001</v>
      </c>
      <c r="C49" s="401">
        <f>SUM(C31:C42)</f>
        <v>5996768.63607</v>
      </c>
      <c r="D49" s="401">
        <f t="shared" ref="D49:J49" si="26">SUM(D31:D42)</f>
        <v>1355905.91643</v>
      </c>
      <c r="E49" s="401">
        <f t="shared" si="26"/>
        <v>1994316.3724299995</v>
      </c>
      <c r="F49" s="401">
        <f t="shared" si="26"/>
        <v>1907279.5461700002</v>
      </c>
      <c r="G49" s="401">
        <f t="shared" si="26"/>
        <v>5613705.737230001</v>
      </c>
      <c r="H49" s="401">
        <f t="shared" si="26"/>
        <v>2954554.8836600003</v>
      </c>
      <c r="I49" s="401">
        <f t="shared" si="26"/>
        <v>2259214.5677399999</v>
      </c>
      <c r="J49" s="401">
        <f t="shared" si="26"/>
        <v>2329975.4932400002</v>
      </c>
      <c r="K49" s="401">
        <f>SUM(K31:K42)</f>
        <v>4923212.4341173712</v>
      </c>
      <c r="L49" s="401">
        <f t="shared" ref="L49:R49" si="27">SUM(L31:L42)</f>
        <v>6818182.6696079979</v>
      </c>
      <c r="M49" s="401">
        <f t="shared" si="27"/>
        <v>8031583.4629379995</v>
      </c>
      <c r="N49" s="401">
        <f t="shared" si="27"/>
        <v>1926870.0301099997</v>
      </c>
      <c r="O49" s="401">
        <f t="shared" si="27"/>
        <v>2455335.3592900001</v>
      </c>
      <c r="P49" s="401">
        <f t="shared" si="27"/>
        <v>50284663.736193366</v>
      </c>
      <c r="Q49" s="401">
        <f t="shared" si="27"/>
        <v>760731.07203600009</v>
      </c>
      <c r="R49" s="401">
        <f t="shared" si="27"/>
        <v>51045394.808229379</v>
      </c>
    </row>
    <row r="50" spans="1:18" ht="12" customHeight="1">
      <c r="E50" s="63"/>
      <c r="F50" s="63"/>
      <c r="G50" s="63"/>
      <c r="L50" s="63"/>
      <c r="M50" s="63"/>
      <c r="N50" s="63"/>
    </row>
    <row r="51" spans="1:18" ht="12" customHeight="1">
      <c r="E51" s="63"/>
      <c r="F51" s="63"/>
      <c r="G51" s="63"/>
      <c r="L51" s="63"/>
      <c r="M51" s="63"/>
      <c r="N51" s="63"/>
    </row>
    <row r="52" spans="1:18" ht="12" customHeight="1">
      <c r="E52" s="63"/>
      <c r="F52" s="63"/>
      <c r="G52" s="63"/>
      <c r="L52" s="63"/>
      <c r="M52" s="63"/>
      <c r="N52" s="63"/>
    </row>
    <row r="53" spans="1:18" ht="12" customHeight="1">
      <c r="E53" s="63"/>
      <c r="F53" s="63"/>
      <c r="G53" s="63"/>
      <c r="L53" s="63"/>
      <c r="M53" s="63"/>
      <c r="N53" s="63"/>
    </row>
    <row r="54" spans="1:18" ht="12" customHeight="1"/>
    <row r="55" spans="1:18" ht="12" customHeight="1"/>
    <row r="56" spans="1:18" ht="12" customHeight="1"/>
    <row r="57" spans="1:18" ht="12" customHeight="1"/>
    <row r="58" spans="1:18" ht="12" customHeight="1"/>
  </sheetData>
  <mergeCells count="4">
    <mergeCell ref="A29:R29"/>
    <mergeCell ref="A1:R1"/>
    <mergeCell ref="A2:I2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8:R18 B44:Q44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6"/>
  <dimension ref="A1:U29"/>
  <sheetViews>
    <sheetView showGridLines="0" topLeftCell="A13" zoomScaleNormal="100" zoomScaleSheetLayoutView="100" workbookViewId="0">
      <selection activeCell="G1" sqref="G1"/>
    </sheetView>
  </sheetViews>
  <sheetFormatPr defaultColWidth="9.140625" defaultRowHeight="12.75"/>
  <cols>
    <col min="1" max="1" width="6.42578125" style="107" customWidth="1"/>
    <col min="2" max="6" width="4.7109375" style="107" customWidth="1"/>
    <col min="7" max="9" width="4.85546875" style="107" customWidth="1"/>
    <col min="10" max="14" width="4.7109375" style="107" customWidth="1"/>
    <col min="15" max="15" width="3.7109375" style="107" customWidth="1"/>
    <col min="16" max="19" width="4.7109375" style="107" customWidth="1"/>
    <col min="20" max="20" width="3.7109375" style="107" customWidth="1"/>
    <col min="21" max="21" width="5" style="107" customWidth="1"/>
    <col min="22" max="16384" width="9.140625" style="107"/>
  </cols>
  <sheetData>
    <row r="1" spans="1:20" ht="20.25">
      <c r="A1" s="117" t="s">
        <v>291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ht="15" customHeight="1">
      <c r="E2" s="108"/>
      <c r="F2" s="108"/>
    </row>
    <row r="3" spans="1:20" ht="15" customHeight="1">
      <c r="A3" s="532" t="s">
        <v>188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</row>
    <row r="4" spans="1:20" ht="15" customHeight="1">
      <c r="A4" s="72"/>
      <c r="C4" s="109"/>
      <c r="D4" s="109"/>
      <c r="E4" s="109"/>
      <c r="F4" s="109"/>
      <c r="G4" s="109"/>
      <c r="H4" s="61"/>
      <c r="I4" s="61"/>
    </row>
    <row r="5" spans="1:20" ht="15" customHeight="1">
      <c r="A5" s="72"/>
      <c r="C5" s="109"/>
      <c r="D5" s="109"/>
      <c r="E5" s="109"/>
      <c r="F5" s="109"/>
      <c r="G5" s="109"/>
      <c r="H5" s="61"/>
      <c r="I5" s="61"/>
    </row>
    <row r="6" spans="1:20" ht="15" customHeight="1">
      <c r="A6" s="72"/>
      <c r="B6" s="110"/>
      <c r="C6" s="110"/>
      <c r="D6" s="109"/>
      <c r="E6" s="109"/>
      <c r="F6" s="109"/>
      <c r="G6" s="110"/>
      <c r="H6" s="12"/>
      <c r="I6" s="61"/>
    </row>
    <row r="7" spans="1:20" ht="15" customHeight="1">
      <c r="A7" s="72"/>
      <c r="B7" s="110"/>
      <c r="C7" s="110"/>
      <c r="D7" s="109"/>
      <c r="E7" s="109"/>
      <c r="F7" s="109"/>
      <c r="G7" s="110"/>
      <c r="H7" s="12"/>
      <c r="I7" s="61"/>
    </row>
    <row r="8" spans="1:20" ht="15" customHeight="1">
      <c r="A8" s="72"/>
      <c r="B8" s="110"/>
      <c r="C8" s="110"/>
      <c r="D8" s="109"/>
      <c r="E8" s="109"/>
      <c r="F8" s="109"/>
      <c r="G8" s="110"/>
      <c r="H8" s="12"/>
      <c r="I8" s="61"/>
    </row>
    <row r="9" spans="1:20" ht="15" customHeight="1">
      <c r="A9" s="72"/>
      <c r="B9" s="109"/>
      <c r="C9" s="109"/>
      <c r="D9" s="109"/>
      <c r="E9" s="109"/>
      <c r="F9" s="109"/>
      <c r="G9" s="110"/>
      <c r="H9" s="12"/>
      <c r="I9" s="61"/>
    </row>
    <row r="10" spans="1:20" ht="15" customHeight="1">
      <c r="A10" s="72"/>
      <c r="B10" s="109"/>
      <c r="C10" s="109"/>
      <c r="D10" s="109"/>
      <c r="E10" s="109"/>
      <c r="F10" s="109"/>
      <c r="G10" s="109"/>
      <c r="H10" s="61"/>
      <c r="I10" s="61"/>
    </row>
    <row r="11" spans="1:20" ht="15" customHeight="1">
      <c r="A11" s="72"/>
      <c r="B11" s="109"/>
      <c r="C11" s="109"/>
      <c r="D11" s="109"/>
      <c r="E11" s="109"/>
      <c r="F11" s="109"/>
      <c r="G11" s="109"/>
      <c r="H11" s="61"/>
      <c r="I11" s="61"/>
    </row>
    <row r="12" spans="1:20" ht="15" customHeight="1">
      <c r="A12" s="72"/>
      <c r="B12" s="109"/>
      <c r="C12" s="109"/>
      <c r="D12" s="109"/>
      <c r="E12" s="109"/>
      <c r="F12" s="109"/>
      <c r="G12" s="109"/>
      <c r="H12" s="61"/>
      <c r="I12" s="61"/>
    </row>
    <row r="13" spans="1:20" ht="15" customHeight="1">
      <c r="A13" s="72"/>
      <c r="B13" s="109"/>
      <c r="C13" s="109"/>
      <c r="D13" s="109"/>
      <c r="E13" s="109"/>
      <c r="F13" s="109"/>
      <c r="G13" s="109"/>
      <c r="H13" s="61"/>
      <c r="I13" s="61"/>
    </row>
    <row r="14" spans="1:20" ht="15" customHeight="1">
      <c r="A14" s="72"/>
      <c r="B14" s="109"/>
      <c r="C14" s="109"/>
      <c r="D14" s="109"/>
      <c r="E14" s="109"/>
      <c r="F14" s="109"/>
      <c r="G14" s="109"/>
      <c r="H14" s="111"/>
      <c r="I14" s="111"/>
    </row>
    <row r="15" spans="1:20" ht="15" customHeight="1">
      <c r="A15" s="112"/>
      <c r="B15" s="112"/>
      <c r="C15" s="112"/>
      <c r="D15" s="112"/>
      <c r="E15" s="112"/>
      <c r="F15" s="112"/>
      <c r="G15" s="113"/>
      <c r="H15" s="114"/>
      <c r="I15" s="114"/>
    </row>
    <row r="16" spans="1:20" ht="15" customHeight="1">
      <c r="A16" s="112"/>
      <c r="B16" s="112"/>
      <c r="C16" s="112"/>
      <c r="D16" s="112"/>
      <c r="E16" s="112"/>
      <c r="F16" s="112"/>
    </row>
    <row r="17" spans="1:21" ht="15" customHeight="1">
      <c r="A17" s="112"/>
      <c r="B17" s="112"/>
      <c r="C17" s="112"/>
      <c r="D17" s="112"/>
      <c r="E17" s="112"/>
      <c r="F17" s="112"/>
    </row>
    <row r="18" spans="1:21" ht="15" customHeight="1">
      <c r="A18" s="112"/>
      <c r="B18" s="112"/>
      <c r="C18" s="112"/>
      <c r="D18" s="112"/>
      <c r="E18" s="112"/>
      <c r="F18" s="112"/>
    </row>
    <row r="19" spans="1:21" ht="15" customHeight="1">
      <c r="A19" s="112"/>
      <c r="B19" s="112"/>
      <c r="C19" s="112"/>
      <c r="D19" s="112"/>
      <c r="E19" s="112"/>
      <c r="F19" s="112"/>
    </row>
    <row r="20" spans="1:21" ht="15" customHeight="1">
      <c r="A20" s="112"/>
      <c r="B20" s="112"/>
      <c r="C20" s="112"/>
      <c r="D20" s="112"/>
      <c r="E20" s="112"/>
      <c r="F20" s="112"/>
    </row>
    <row r="21" spans="1:21" ht="12.95" customHeight="1">
      <c r="B21" s="115"/>
      <c r="C21" s="115"/>
      <c r="D21" s="115"/>
      <c r="E21" s="112"/>
      <c r="F21" s="113"/>
      <c r="G21" s="113"/>
      <c r="H21" s="113"/>
    </row>
    <row r="22" spans="1:21" ht="12.95" customHeight="1">
      <c r="B22" s="115"/>
      <c r="C22" s="115"/>
      <c r="D22" s="115"/>
      <c r="G22" s="533"/>
      <c r="H22" s="533"/>
      <c r="I22" s="533"/>
      <c r="K22" s="533"/>
      <c r="L22" s="533"/>
      <c r="M22" s="533"/>
      <c r="N22" s="533"/>
      <c r="P22" s="533"/>
      <c r="Q22" s="533"/>
      <c r="R22" s="533"/>
      <c r="S22" s="533"/>
      <c r="T22" s="533"/>
      <c r="U22" s="533"/>
    </row>
    <row r="23" spans="1:21" ht="12.95" customHeight="1">
      <c r="B23" s="115"/>
      <c r="C23" s="115"/>
      <c r="D23" s="115"/>
      <c r="G23" s="533"/>
      <c r="H23" s="533"/>
      <c r="I23" s="533"/>
      <c r="K23" s="534"/>
      <c r="L23" s="534"/>
      <c r="M23" s="534"/>
      <c r="N23" s="534"/>
      <c r="P23" s="533"/>
      <c r="Q23" s="533"/>
      <c r="R23" s="533"/>
      <c r="S23" s="533"/>
      <c r="T23" s="533"/>
      <c r="U23" s="533"/>
    </row>
    <row r="24" spans="1:21" ht="12.95" customHeight="1">
      <c r="B24" s="115"/>
      <c r="C24" s="115"/>
      <c r="D24" s="115"/>
      <c r="G24" s="533"/>
      <c r="H24" s="533"/>
      <c r="I24" s="533"/>
      <c r="K24" s="534"/>
      <c r="L24" s="534"/>
      <c r="M24" s="534"/>
      <c r="N24" s="534"/>
      <c r="P24" s="534"/>
      <c r="Q24" s="534"/>
      <c r="R24" s="534"/>
      <c r="S24" s="534"/>
      <c r="T24" s="534"/>
      <c r="U24" s="534"/>
    </row>
    <row r="25" spans="1:21" ht="12" customHeight="1">
      <c r="A25" s="112"/>
      <c r="B25" s="112"/>
      <c r="C25" s="112"/>
      <c r="D25" s="112"/>
      <c r="E25" s="112"/>
      <c r="F25" s="112"/>
      <c r="H25" s="116"/>
      <c r="I25" s="116"/>
      <c r="P25" s="534"/>
      <c r="Q25" s="534"/>
      <c r="R25" s="534"/>
      <c r="S25" s="534"/>
      <c r="T25" s="534"/>
      <c r="U25" s="534"/>
    </row>
    <row r="26" spans="1:21" ht="15" customHeight="1"/>
    <row r="27" spans="1:21" ht="15" customHeight="1"/>
    <row r="28" spans="1:21" ht="15" customHeight="1"/>
    <row r="29" spans="1:21" ht="15" customHeight="1"/>
  </sheetData>
  <mergeCells count="9"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CD3B-C327-4840-8DA5-C5AE8410C6E1}">
  <dimension ref="A25:F50"/>
  <sheetViews>
    <sheetView showGridLines="0" topLeftCell="A22" zoomScaleNormal="100" workbookViewId="0">
      <selection activeCell="G1" sqref="G1"/>
    </sheetView>
  </sheetViews>
  <sheetFormatPr defaultColWidth="9.140625" defaultRowHeight="12.75"/>
  <cols>
    <col min="1" max="1" width="9.140625" style="380"/>
    <col min="2" max="2" width="11.28515625" style="380" bestFit="1" customWidth="1"/>
    <col min="3" max="16384" width="9.140625" style="380"/>
  </cols>
  <sheetData>
    <row r="25" spans="6:6">
      <c r="F25" s="379"/>
    </row>
    <row r="26" spans="6:6">
      <c r="F26" s="379"/>
    </row>
    <row r="27" spans="6:6">
      <c r="F27" s="379"/>
    </row>
    <row r="28" spans="6:6">
      <c r="F28" s="379"/>
    </row>
    <row r="47" spans="1:3" ht="15">
      <c r="A47" s="381" t="s">
        <v>312</v>
      </c>
    </row>
    <row r="48" spans="1:3" ht="14.25">
      <c r="A48" s="382" t="s">
        <v>313</v>
      </c>
      <c r="B48" s="383"/>
      <c r="C48" s="383"/>
    </row>
    <row r="50" spans="1:2" ht="14.25">
      <c r="A50" s="384" t="s">
        <v>315</v>
      </c>
      <c r="B50" s="385">
        <f ca="1">TODAY()</f>
        <v>45231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zoomScaleNormal="100" zoomScaleSheetLayoutView="100" workbookViewId="0">
      <selection activeCell="G1" sqref="G1"/>
    </sheetView>
  </sheetViews>
  <sheetFormatPr defaultColWidth="9.140625" defaultRowHeight="14.25"/>
  <cols>
    <col min="1" max="1" width="20.28515625" style="1" customWidth="1"/>
    <col min="2" max="2" width="79" style="24" customWidth="1"/>
    <col min="3" max="3" width="6.5703125" style="22" customWidth="1"/>
    <col min="4" max="4" width="11.7109375" style="22" customWidth="1"/>
    <col min="5" max="6" width="9.140625" style="22"/>
    <col min="7" max="7" width="11.7109375" style="22" customWidth="1"/>
    <col min="8" max="16384" width="9.140625" style="22"/>
  </cols>
  <sheetData>
    <row r="1" spans="1:2" ht="20.25">
      <c r="A1" s="54" t="s">
        <v>286</v>
      </c>
      <c r="B1" s="21"/>
    </row>
    <row r="2" spans="1:2" ht="6" customHeight="1">
      <c r="B2" s="21"/>
    </row>
    <row r="3" spans="1:2" ht="39.950000000000003" customHeight="1">
      <c r="A3" s="13" t="s">
        <v>240</v>
      </c>
      <c r="B3" s="14" t="s">
        <v>316</v>
      </c>
    </row>
    <row r="4" spans="1:2" ht="24.95" customHeight="1">
      <c r="A4" s="15" t="s">
        <v>93</v>
      </c>
      <c r="B4" s="16" t="s">
        <v>98</v>
      </c>
    </row>
    <row r="5" spans="1:2" ht="24.95" customHeight="1">
      <c r="A5" s="15" t="s">
        <v>99</v>
      </c>
      <c r="B5" s="17" t="s">
        <v>100</v>
      </c>
    </row>
    <row r="6" spans="1:2" ht="24.95" customHeight="1">
      <c r="A6" s="15" t="s">
        <v>7</v>
      </c>
      <c r="B6" s="16" t="s">
        <v>101</v>
      </c>
    </row>
    <row r="7" spans="1:2" ht="24.95" customHeight="1">
      <c r="A7" s="15" t="s">
        <v>102</v>
      </c>
      <c r="B7" s="16" t="s">
        <v>103</v>
      </c>
    </row>
    <row r="8" spans="1:2" ht="24.95" customHeight="1">
      <c r="A8" s="15" t="s">
        <v>104</v>
      </c>
      <c r="B8" s="16" t="s">
        <v>105</v>
      </c>
    </row>
    <row r="9" spans="1:2" ht="24.95" customHeight="1">
      <c r="A9" s="15" t="s">
        <v>211</v>
      </c>
      <c r="B9" s="16" t="s">
        <v>210</v>
      </c>
    </row>
    <row r="10" spans="1:2" ht="24.95" customHeight="1">
      <c r="A10" s="15" t="s">
        <v>87</v>
      </c>
      <c r="B10" s="18" t="s">
        <v>203</v>
      </c>
    </row>
    <row r="11" spans="1:2" ht="24.95" customHeight="1">
      <c r="A11" s="15" t="s">
        <v>106</v>
      </c>
      <c r="B11" s="16" t="s">
        <v>107</v>
      </c>
    </row>
    <row r="12" spans="1:2" ht="24.95" customHeight="1">
      <c r="A12" s="15" t="s">
        <v>108</v>
      </c>
      <c r="B12" s="16" t="s">
        <v>109</v>
      </c>
    </row>
    <row r="13" spans="1:2" ht="24.95" customHeight="1">
      <c r="A13" s="15" t="s">
        <v>110</v>
      </c>
      <c r="B13" s="16" t="s">
        <v>111</v>
      </c>
    </row>
    <row r="14" spans="1:2" ht="24.95" customHeight="1">
      <c r="A14" s="15" t="s">
        <v>213</v>
      </c>
      <c r="B14" s="16" t="s">
        <v>214</v>
      </c>
    </row>
    <row r="15" spans="1:2" ht="24.95" customHeight="1">
      <c r="A15" s="15" t="s">
        <v>6</v>
      </c>
      <c r="B15" s="16" t="s">
        <v>112</v>
      </c>
    </row>
    <row r="16" spans="1:2" ht="24.95" customHeight="1">
      <c r="A16" s="15" t="s">
        <v>65</v>
      </c>
      <c r="B16" s="16" t="s">
        <v>204</v>
      </c>
    </row>
    <row r="17" spans="1:2" ht="24.95" customHeight="1">
      <c r="A17" s="15" t="s">
        <v>113</v>
      </c>
      <c r="B17" s="16" t="s">
        <v>205</v>
      </c>
    </row>
    <row r="18" spans="1:2" ht="24.95" customHeight="1">
      <c r="A18" s="15" t="s">
        <v>114</v>
      </c>
      <c r="B18" s="19" t="s">
        <v>115</v>
      </c>
    </row>
    <row r="19" spans="1:2" ht="24.95" customHeight="1">
      <c r="A19" s="13" t="s">
        <v>116</v>
      </c>
      <c r="B19" s="19" t="s">
        <v>117</v>
      </c>
    </row>
    <row r="20" spans="1:2" ht="39.950000000000003" customHeight="1">
      <c r="A20" s="15" t="s">
        <v>118</v>
      </c>
      <c r="B20" s="19" t="s">
        <v>119</v>
      </c>
    </row>
    <row r="21" spans="1:2" ht="24.75" customHeight="1">
      <c r="A21" s="15" t="s">
        <v>32</v>
      </c>
      <c r="B21" s="20" t="s">
        <v>120</v>
      </c>
    </row>
    <row r="22" spans="1:2" ht="24.95" customHeight="1">
      <c r="A22" s="15" t="s">
        <v>121</v>
      </c>
      <c r="B22" s="19" t="s">
        <v>122</v>
      </c>
    </row>
    <row r="23" spans="1:2" ht="24.95" customHeight="1">
      <c r="A23" s="15" t="s">
        <v>123</v>
      </c>
      <c r="B23" s="16" t="s">
        <v>124</v>
      </c>
    </row>
    <row r="24" spans="1:2" ht="24.95" customHeight="1">
      <c r="A24" s="15" t="s">
        <v>151</v>
      </c>
      <c r="B24" s="16" t="s">
        <v>152</v>
      </c>
    </row>
    <row r="25" spans="1:2" ht="24.95" customHeight="1">
      <c r="A25" s="15" t="s">
        <v>125</v>
      </c>
      <c r="B25" s="16" t="s">
        <v>126</v>
      </c>
    </row>
    <row r="26" spans="1:2" ht="39.950000000000003" customHeight="1">
      <c r="A26" s="15" t="s">
        <v>20</v>
      </c>
      <c r="B26" s="16" t="s">
        <v>206</v>
      </c>
    </row>
    <row r="27" spans="1:2" ht="24.95" customHeight="1">
      <c r="A27" s="15" t="s">
        <v>127</v>
      </c>
      <c r="B27" s="16" t="s">
        <v>128</v>
      </c>
    </row>
    <row r="28" spans="1:2" ht="24.95" customHeight="1">
      <c r="A28" s="15" t="s">
        <v>129</v>
      </c>
      <c r="B28" s="16" t="s">
        <v>130</v>
      </c>
    </row>
    <row r="29" spans="1:2" ht="24.95" customHeight="1">
      <c r="A29" s="15" t="s">
        <v>131</v>
      </c>
      <c r="B29" s="16" t="s">
        <v>132</v>
      </c>
    </row>
    <row r="30" spans="1:2" ht="39.950000000000003" customHeight="1">
      <c r="A30" s="15" t="s">
        <v>133</v>
      </c>
      <c r="B30" s="19" t="s">
        <v>149</v>
      </c>
    </row>
    <row r="31" spans="1:2" ht="24.95" customHeight="1">
      <c r="A31" s="15" t="s">
        <v>134</v>
      </c>
      <c r="B31" s="16" t="s">
        <v>135</v>
      </c>
    </row>
    <row r="32" spans="1:2" ht="24.95" customHeight="1">
      <c r="A32" s="15" t="s">
        <v>136</v>
      </c>
      <c r="B32" s="16" t="s">
        <v>137</v>
      </c>
    </row>
    <row r="33" spans="1:2" ht="24.95" customHeight="1">
      <c r="A33" s="15" t="s">
        <v>201</v>
      </c>
      <c r="B33" s="16" t="s">
        <v>207</v>
      </c>
    </row>
    <row r="34" spans="1:2" ht="24.95" customHeight="1">
      <c r="A34" s="15" t="s">
        <v>138</v>
      </c>
      <c r="B34" s="19" t="s">
        <v>139</v>
      </c>
    </row>
    <row r="35" spans="1:2" ht="24.95" customHeight="1">
      <c r="A35" s="15" t="s">
        <v>5</v>
      </c>
      <c r="B35" s="16" t="s">
        <v>140</v>
      </c>
    </row>
    <row r="36" spans="1:2" ht="24.95" customHeight="1">
      <c r="A36" s="15" t="s">
        <v>4</v>
      </c>
      <c r="B36" s="16" t="s">
        <v>141</v>
      </c>
    </row>
    <row r="37" spans="1:2" ht="24.95" customHeight="1">
      <c r="A37" s="15" t="s">
        <v>142</v>
      </c>
      <c r="B37" s="16" t="s">
        <v>143</v>
      </c>
    </row>
    <row r="38" spans="1:2" ht="24.95" customHeight="1">
      <c r="A38" s="15" t="s">
        <v>31</v>
      </c>
      <c r="B38" s="16" t="s">
        <v>144</v>
      </c>
    </row>
    <row r="39" spans="1:2" ht="24.95" customHeight="1">
      <c r="A39" s="15" t="s">
        <v>145</v>
      </c>
      <c r="B39" s="19" t="s">
        <v>146</v>
      </c>
    </row>
    <row r="40" spans="1:2" ht="24.95" customHeight="1">
      <c r="A40" s="15" t="s">
        <v>147</v>
      </c>
      <c r="B40" s="16" t="s">
        <v>148</v>
      </c>
    </row>
    <row r="41" spans="1:2" ht="24.95" customHeight="1">
      <c r="A41" s="23"/>
      <c r="B41" s="19"/>
    </row>
    <row r="42" spans="1:2" ht="24.95" customHeight="1">
      <c r="A42" s="23"/>
      <c r="B42" s="16"/>
    </row>
  </sheetData>
  <sortState ref="A5:B40">
    <sortCondition ref="A4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A9F4-9809-412C-812A-5ED8778E106C}">
  <sheetPr codeName="List5"/>
  <dimension ref="A1:J61"/>
  <sheetViews>
    <sheetView showGridLines="0" view="pageBreakPreview" topLeftCell="A14" zoomScaleNormal="100" zoomScaleSheetLayoutView="100" workbookViewId="0">
      <selection activeCell="G1" sqref="G1"/>
    </sheetView>
  </sheetViews>
  <sheetFormatPr defaultColWidth="9.140625" defaultRowHeight="14.25"/>
  <cols>
    <col min="1" max="1" width="14.7109375" style="25" customWidth="1"/>
    <col min="2" max="3" width="10.7109375" style="25" customWidth="1"/>
    <col min="4" max="4" width="31.5703125" style="25" customWidth="1"/>
    <col min="5" max="5" width="8" style="25" customWidth="1"/>
    <col min="6" max="6" width="7.28515625" style="25" customWidth="1"/>
    <col min="7" max="7" width="1.7109375" style="25" customWidth="1"/>
    <col min="8" max="8" width="9" style="25" customWidth="1"/>
    <col min="9" max="9" width="5.7109375" style="25" customWidth="1"/>
    <col min="10" max="10" width="9.140625" style="25" customWidth="1"/>
    <col min="11" max="16384" width="9.140625" style="25"/>
  </cols>
  <sheetData>
    <row r="1" spans="1:10" ht="20.25">
      <c r="A1" s="45" t="str">
        <f>"2 STRUČNÝ PŘEHLED ZA "&amp;UPPER('3.1'!G5)&amp;" "&amp;'3.1'!A4</f>
        <v>2 STRUČNÝ PŘEHLED ZA III. ČTVRTLETÍ 2023</v>
      </c>
      <c r="C1" s="26"/>
      <c r="D1" s="26"/>
    </row>
    <row r="2" spans="1:10" s="28" customFormat="1" ht="6" customHeight="1">
      <c r="A2" s="27"/>
      <c r="B2" s="27"/>
      <c r="C2" s="27"/>
      <c r="D2" s="27"/>
    </row>
    <row r="3" spans="1:10" ht="15" customHeight="1">
      <c r="A3" s="422" t="s">
        <v>215</v>
      </c>
      <c r="B3" s="422"/>
      <c r="C3" s="422"/>
      <c r="D3" s="422"/>
      <c r="E3" s="422"/>
      <c r="F3" s="422"/>
      <c r="G3" s="422"/>
      <c r="H3" s="422"/>
      <c r="I3" s="422"/>
    </row>
    <row r="4" spans="1:10" ht="15" customHeight="1">
      <c r="A4" s="422"/>
      <c r="B4" s="422"/>
      <c r="C4" s="422"/>
      <c r="D4" s="422"/>
      <c r="E4" s="422"/>
      <c r="F4" s="422"/>
      <c r="G4" s="422"/>
      <c r="H4" s="422"/>
      <c r="I4" s="422"/>
    </row>
    <row r="5" spans="1:10" ht="15" customHeight="1">
      <c r="A5" s="422"/>
      <c r="B5" s="422"/>
      <c r="C5" s="422"/>
      <c r="D5" s="422"/>
      <c r="E5" s="422"/>
      <c r="F5" s="422"/>
      <c r="G5" s="422"/>
      <c r="H5" s="422"/>
      <c r="I5" s="422"/>
    </row>
    <row r="6" spans="1:10" ht="15" customHeight="1">
      <c r="A6" s="422"/>
      <c r="B6" s="422"/>
      <c r="C6" s="422"/>
      <c r="D6" s="422"/>
      <c r="E6" s="422"/>
      <c r="F6" s="422"/>
      <c r="G6" s="422"/>
      <c r="H6" s="422"/>
      <c r="I6" s="422"/>
    </row>
    <row r="7" spans="1:10" ht="30" customHeight="1">
      <c r="A7" s="420" t="s">
        <v>251</v>
      </c>
      <c r="B7" s="420"/>
      <c r="C7" s="420"/>
      <c r="D7" s="420"/>
      <c r="E7" s="420"/>
      <c r="F7" s="420"/>
      <c r="G7" s="420"/>
      <c r="H7" s="420"/>
      <c r="I7" s="420"/>
      <c r="J7" s="29"/>
    </row>
    <row r="8" spans="1:10" ht="9.9499999999999993" customHeight="1">
      <c r="A8" s="29"/>
      <c r="B8" s="29"/>
      <c r="C8" s="30"/>
      <c r="D8" s="30"/>
    </row>
    <row r="9" spans="1:10" ht="15.95" customHeight="1">
      <c r="A9" s="421" t="s">
        <v>216</v>
      </c>
      <c r="B9" s="421"/>
      <c r="C9" s="421"/>
      <c r="D9" s="421"/>
      <c r="E9" s="31">
        <f>'3.1'!G8/1000</f>
        <v>1633.5034072208637</v>
      </c>
      <c r="F9" s="32" t="s">
        <v>258</v>
      </c>
      <c r="G9" s="32" t="s">
        <v>217</v>
      </c>
      <c r="H9" s="31">
        <f>'3.1'!K8/1000</f>
        <v>17908.170227596998</v>
      </c>
      <c r="I9" s="32" t="s">
        <v>218</v>
      </c>
    </row>
    <row r="10" spans="1:10" ht="15.95" customHeight="1">
      <c r="A10" s="419" t="s">
        <v>219</v>
      </c>
      <c r="B10" s="419"/>
      <c r="C10" s="419"/>
      <c r="D10" s="419"/>
      <c r="E10" s="31">
        <f>'3.1'!G11/1000</f>
        <v>321.69233921649561</v>
      </c>
      <c r="F10" s="32" t="s">
        <v>258</v>
      </c>
      <c r="G10" s="32" t="s">
        <v>217</v>
      </c>
      <c r="H10" s="31">
        <f>'3.1'!K11/1000</f>
        <v>3522.4118747196999</v>
      </c>
      <c r="I10" s="32" t="s">
        <v>218</v>
      </c>
    </row>
    <row r="11" spans="1:10" ht="9.9499999999999993" customHeight="1">
      <c r="A11" s="33"/>
      <c r="B11" s="33"/>
      <c r="C11" s="34"/>
      <c r="D11" s="34"/>
      <c r="E11" s="35"/>
    </row>
    <row r="12" spans="1:10" ht="15.95" customHeight="1">
      <c r="A12" s="419" t="s">
        <v>220</v>
      </c>
      <c r="B12" s="419"/>
      <c r="C12" s="419"/>
      <c r="D12" s="419"/>
      <c r="E12" s="31">
        <f>'3.1'!G18/1000</f>
        <v>44.801681000000002</v>
      </c>
      <c r="F12" s="32" t="s">
        <v>258</v>
      </c>
      <c r="G12" s="32" t="s">
        <v>217</v>
      </c>
      <c r="H12" s="31">
        <f>'3.1'!K18/1000</f>
        <v>490.95358899999997</v>
      </c>
      <c r="I12" s="32" t="s">
        <v>218</v>
      </c>
    </row>
    <row r="13" spans="1:10" ht="15.95" customHeight="1">
      <c r="A13" s="419" t="s">
        <v>221</v>
      </c>
      <c r="B13" s="419"/>
      <c r="C13" s="419"/>
      <c r="D13" s="419"/>
      <c r="E13" s="31">
        <f>'3.1'!G22/1000</f>
        <v>504.54703999999998</v>
      </c>
      <c r="F13" s="32" t="s">
        <v>258</v>
      </c>
      <c r="G13" s="32" t="s">
        <v>217</v>
      </c>
      <c r="H13" s="31">
        <f>'3.1'!K22/1000</f>
        <v>5530.1794240520003</v>
      </c>
      <c r="I13" s="32" t="s">
        <v>218</v>
      </c>
    </row>
    <row r="14" spans="1:10" ht="15.95" customHeight="1">
      <c r="A14" s="419" t="s">
        <v>222</v>
      </c>
      <c r="B14" s="419"/>
      <c r="C14" s="419"/>
      <c r="D14" s="419"/>
      <c r="E14" s="31">
        <f>'3.1'!G27/1000</f>
        <v>3341.6992997324905</v>
      </c>
      <c r="F14" s="32" t="s">
        <v>258</v>
      </c>
      <c r="G14" s="32" t="s">
        <v>217</v>
      </c>
      <c r="H14" s="31">
        <f>'3.1'!K27/1000</f>
        <v>36332.065257644397</v>
      </c>
      <c r="I14" s="32" t="s">
        <v>218</v>
      </c>
    </row>
    <row r="15" spans="1:10" ht="9.9499999999999993" customHeight="1">
      <c r="A15" s="33"/>
      <c r="B15" s="33"/>
      <c r="C15" s="34"/>
      <c r="D15" s="34"/>
      <c r="E15" s="35"/>
    </row>
    <row r="16" spans="1:10" ht="15.95" customHeight="1">
      <c r="A16" s="419" t="s">
        <v>223</v>
      </c>
      <c r="B16" s="419"/>
      <c r="C16" s="419"/>
      <c r="D16" s="419"/>
      <c r="E16" s="31">
        <f>'3.1'!G36/1000</f>
        <v>16.65286</v>
      </c>
      <c r="F16" s="32" t="s">
        <v>258</v>
      </c>
      <c r="G16" s="32" t="s">
        <v>217</v>
      </c>
      <c r="H16" s="31">
        <f>'3.1'!K36/1000</f>
        <v>181.51109064909903</v>
      </c>
      <c r="I16" s="32" t="s">
        <v>218</v>
      </c>
    </row>
    <row r="17" spans="1:9" ht="30" customHeight="1">
      <c r="A17" s="420" t="s">
        <v>252</v>
      </c>
      <c r="B17" s="420"/>
      <c r="C17" s="420"/>
      <c r="D17" s="420"/>
      <c r="E17" s="420"/>
      <c r="F17" s="420"/>
      <c r="G17" s="420"/>
      <c r="H17" s="420"/>
      <c r="I17" s="420"/>
    </row>
    <row r="18" spans="1:9" ht="9.9499999999999993" customHeight="1">
      <c r="A18" s="29"/>
      <c r="B18" s="29"/>
      <c r="C18" s="30"/>
      <c r="D18" s="30"/>
    </row>
    <row r="19" spans="1:9" ht="15.95" customHeight="1">
      <c r="A19" s="421" t="s">
        <v>224</v>
      </c>
      <c r="B19" s="421"/>
      <c r="C19" s="421"/>
      <c r="D19" s="421"/>
      <c r="E19" s="31">
        <f>'4.1'!B21</f>
        <v>871.0028617158946</v>
      </c>
      <c r="F19" s="32" t="s">
        <v>258</v>
      </c>
      <c r="G19" s="32" t="s">
        <v>217</v>
      </c>
      <c r="H19" s="31">
        <f>'4.1'!I21</f>
        <v>9556.5213248159998</v>
      </c>
      <c r="I19" s="32" t="s">
        <v>218</v>
      </c>
    </row>
    <row r="20" spans="1:9" ht="15.95" customHeight="1">
      <c r="A20" s="419" t="s">
        <v>225</v>
      </c>
      <c r="B20" s="419"/>
      <c r="C20" s="419"/>
      <c r="D20" s="419"/>
      <c r="E20" s="36">
        <f>'4.1'!D21*100</f>
        <v>-11.395989365859343</v>
      </c>
      <c r="F20" s="32" t="s">
        <v>226</v>
      </c>
      <c r="G20" s="32"/>
      <c r="H20" s="31"/>
      <c r="I20" s="32"/>
    </row>
    <row r="21" spans="1:9" ht="9.9499999999999993" customHeight="1">
      <c r="A21" s="37"/>
      <c r="B21" s="37"/>
      <c r="C21" s="37"/>
      <c r="D21" s="37"/>
      <c r="E21" s="36"/>
      <c r="F21" s="32"/>
      <c r="G21" s="32"/>
      <c r="H21" s="31"/>
      <c r="I21" s="32"/>
    </row>
    <row r="22" spans="1:9" ht="15.95" customHeight="1">
      <c r="A22" s="419" t="s">
        <v>227</v>
      </c>
      <c r="B22" s="419"/>
      <c r="C22" s="419"/>
      <c r="D22" s="419"/>
      <c r="E22" s="31">
        <f>'4.1'!E21</f>
        <v>932.19032791817267</v>
      </c>
      <c r="F22" s="32" t="s">
        <v>258</v>
      </c>
      <c r="G22" s="32" t="s">
        <v>217</v>
      </c>
      <c r="H22" s="31">
        <f>'4.1'!K21</f>
        <v>10228.42011321451</v>
      </c>
      <c r="I22" s="32" t="s">
        <v>218</v>
      </c>
    </row>
    <row r="23" spans="1:9" ht="15.95" customHeight="1">
      <c r="A23" s="419" t="s">
        <v>228</v>
      </c>
      <c r="B23" s="419"/>
      <c r="C23" s="419"/>
      <c r="D23" s="419"/>
      <c r="E23" s="36">
        <f>'4.1'!G21*100</f>
        <v>-4.018630892519619</v>
      </c>
      <c r="F23" s="32" t="s">
        <v>226</v>
      </c>
    </row>
    <row r="24" spans="1:9" ht="9.9499999999999993" customHeight="1">
      <c r="A24" s="37"/>
      <c r="B24" s="37"/>
      <c r="C24" s="37"/>
      <c r="D24" s="37"/>
      <c r="E24" s="36"/>
      <c r="F24" s="32"/>
      <c r="G24" s="32"/>
      <c r="H24" s="31"/>
      <c r="I24" s="32"/>
    </row>
    <row r="25" spans="1:9" ht="15.95" customHeight="1">
      <c r="A25" s="419" t="s">
        <v>229</v>
      </c>
      <c r="B25" s="419"/>
      <c r="C25" s="419"/>
      <c r="D25" s="419"/>
      <c r="E25" s="36">
        <f>'4.1'!N21</f>
        <v>18.464050179211469</v>
      </c>
      <c r="F25" s="32" t="s">
        <v>230</v>
      </c>
      <c r="G25" s="32"/>
      <c r="H25" s="31"/>
      <c r="I25" s="32"/>
    </row>
    <row r="26" spans="1:9" ht="15.95" customHeight="1">
      <c r="A26" s="419" t="s">
        <v>231</v>
      </c>
      <c r="B26" s="419"/>
      <c r="C26" s="419"/>
      <c r="D26" s="419"/>
      <c r="E26" s="36">
        <f>'4.1'!Q21</f>
        <v>16.621756272401431</v>
      </c>
      <c r="F26" s="32" t="s">
        <v>230</v>
      </c>
      <c r="G26" s="32"/>
      <c r="H26" s="31"/>
      <c r="I26" s="32"/>
    </row>
    <row r="27" spans="1:9" ht="15.95" customHeight="1">
      <c r="A27" s="419" t="s">
        <v>232</v>
      </c>
      <c r="B27" s="419"/>
      <c r="C27" s="419"/>
      <c r="D27" s="419"/>
      <c r="E27" s="36">
        <f>'4.1'!R21</f>
        <v>1.8422939068100384</v>
      </c>
      <c r="F27" s="32" t="s">
        <v>230</v>
      </c>
      <c r="G27" s="32"/>
      <c r="H27" s="31"/>
      <c r="I27" s="32"/>
    </row>
    <row r="28" spans="1:9" ht="9.9499999999999993" customHeight="1">
      <c r="A28" s="37"/>
      <c r="B28" s="37"/>
      <c r="C28" s="37"/>
      <c r="D28" s="37"/>
      <c r="E28" s="31"/>
      <c r="F28" s="32"/>
      <c r="G28" s="32"/>
      <c r="H28" s="31"/>
      <c r="I28" s="32"/>
    </row>
    <row r="29" spans="1:9" ht="15.95" customHeight="1">
      <c r="A29" s="419" t="s">
        <v>233</v>
      </c>
      <c r="B29" s="419"/>
      <c r="C29" s="419"/>
      <c r="D29" s="419"/>
      <c r="E29" s="38">
        <f>MAX('4.3'!B38,'4.3'!E38,'4.3'!H38)/1000</f>
        <v>12.313555622104722</v>
      </c>
      <c r="F29" s="32" t="s">
        <v>258</v>
      </c>
      <c r="G29" s="32" t="s">
        <v>217</v>
      </c>
      <c r="H29" s="38">
        <f>MAX('4.3'!C38,'4.3'!F38,'4.3'!I38)/1000</f>
        <v>135.08578872543336</v>
      </c>
      <c r="I29" s="32" t="s">
        <v>218</v>
      </c>
    </row>
    <row r="30" spans="1:9" ht="15.95" customHeight="1">
      <c r="A30" s="419" t="s">
        <v>234</v>
      </c>
      <c r="B30" s="419"/>
      <c r="C30" s="419"/>
      <c r="D30" s="419"/>
      <c r="E30" s="38">
        <f>MIN('4.3'!B39,'4.3'!E39,'4.3'!H39)/1000</f>
        <v>6.4750270940252852</v>
      </c>
      <c r="F30" s="32" t="s">
        <v>258</v>
      </c>
      <c r="G30" s="32" t="s">
        <v>217</v>
      </c>
      <c r="H30" s="38">
        <f>MIN('4.3'!C39,'4.3'!F39,'4.3'!I39)/1000</f>
        <v>70.962261902741943</v>
      </c>
      <c r="I30" s="32" t="s">
        <v>218</v>
      </c>
    </row>
    <row r="31" spans="1:9" ht="30" customHeight="1">
      <c r="A31" s="425" t="s">
        <v>253</v>
      </c>
      <c r="B31" s="425"/>
      <c r="C31" s="425"/>
      <c r="D31" s="425"/>
      <c r="E31" s="425"/>
      <c r="F31" s="425"/>
      <c r="G31" s="425"/>
      <c r="H31" s="425"/>
      <c r="I31" s="425"/>
    </row>
    <row r="32" spans="1:9" ht="9.9499999999999993" customHeight="1"/>
    <row r="33" spans="1:9" ht="15.95" customHeight="1">
      <c r="A33" s="421" t="s">
        <v>235</v>
      </c>
      <c r="B33" s="421"/>
      <c r="C33" s="421"/>
      <c r="D33" s="421"/>
      <c r="E33" s="38">
        <f>'5.9'!E7*100</f>
        <v>6.2029665271393384</v>
      </c>
      <c r="F33" s="32" t="s">
        <v>226</v>
      </c>
      <c r="H33" s="38">
        <f>'5.9'!F7*100</f>
        <v>-19.594724215160237</v>
      </c>
      <c r="I33" s="32" t="s">
        <v>226</v>
      </c>
    </row>
    <row r="34" spans="1:9" ht="15.95" customHeight="1">
      <c r="A34" s="419" t="s">
        <v>236</v>
      </c>
      <c r="B34" s="419"/>
      <c r="C34" s="419"/>
      <c r="D34" s="419"/>
      <c r="E34" s="38">
        <f>'5.9'!E8*100</f>
        <v>77.30771292092669</v>
      </c>
      <c r="F34" s="32" t="s">
        <v>226</v>
      </c>
      <c r="H34" s="38">
        <f>'5.9'!F8*100</f>
        <v>-13.247653964071956</v>
      </c>
      <c r="I34" s="32" t="s">
        <v>226</v>
      </c>
    </row>
    <row r="35" spans="1:9" ht="15.95" customHeight="1">
      <c r="A35" s="419" t="s">
        <v>237</v>
      </c>
      <c r="B35" s="419"/>
      <c r="C35" s="419"/>
      <c r="D35" s="419"/>
      <c r="E35" s="38">
        <f>'5.9'!E9*100</f>
        <v>3.3386444054629427</v>
      </c>
      <c r="F35" s="32" t="s">
        <v>226</v>
      </c>
      <c r="H35" s="38">
        <f>'5.9'!F9*100</f>
        <v>-19.303667313161153</v>
      </c>
      <c r="I35" s="32" t="s">
        <v>226</v>
      </c>
    </row>
    <row r="36" spans="1:9" ht="15.95" customHeight="1">
      <c r="A36" s="419" t="s">
        <v>238</v>
      </c>
      <c r="B36" s="419"/>
      <c r="C36" s="419"/>
      <c r="D36" s="419"/>
      <c r="E36" s="38">
        <f>'5.9'!E10*100</f>
        <v>13.150676146471049</v>
      </c>
      <c r="F36" s="32" t="s">
        <v>226</v>
      </c>
      <c r="H36" s="38">
        <f>'5.9'!F10*100</f>
        <v>10.542165420196989</v>
      </c>
      <c r="I36" s="32" t="s">
        <v>226</v>
      </c>
    </row>
    <row r="37" spans="1:9" ht="15" customHeight="1">
      <c r="A37" s="37"/>
      <c r="B37" s="37"/>
      <c r="C37" s="37"/>
      <c r="D37" s="37"/>
      <c r="E37" s="38"/>
      <c r="F37" s="32"/>
      <c r="H37" s="38"/>
      <c r="I37" s="32"/>
    </row>
    <row r="38" spans="1:9" ht="15.95" customHeight="1">
      <c r="A38" s="419" t="s">
        <v>239</v>
      </c>
      <c r="B38" s="419"/>
      <c r="C38" s="419"/>
      <c r="D38" s="419"/>
      <c r="E38" s="424">
        <f>'5.1'!D35</f>
        <v>2756504.9390000002</v>
      </c>
      <c r="F38" s="424"/>
      <c r="H38" s="38"/>
      <c r="I38" s="32"/>
    </row>
    <row r="39" spans="1:9" ht="30" customHeight="1">
      <c r="A39" s="426"/>
      <c r="B39" s="426"/>
      <c r="C39" s="426"/>
      <c r="D39" s="426"/>
      <c r="E39" s="426"/>
      <c r="F39" s="426"/>
      <c r="G39" s="426"/>
      <c r="H39" s="426"/>
      <c r="I39" s="426"/>
    </row>
    <row r="40" spans="1:9" ht="15.95" customHeight="1">
      <c r="A40" s="29"/>
      <c r="B40" s="29"/>
    </row>
    <row r="41" spans="1:9" ht="15.95" customHeight="1">
      <c r="A41" s="423"/>
      <c r="B41" s="423"/>
      <c r="C41" s="423"/>
      <c r="D41" s="423"/>
      <c r="E41" s="423"/>
      <c r="F41" s="423"/>
      <c r="G41" s="423"/>
      <c r="H41" s="423"/>
      <c r="I41" s="423"/>
    </row>
    <row r="42" spans="1:9" ht="15.95" customHeight="1">
      <c r="A42" s="423"/>
      <c r="B42" s="423"/>
      <c r="C42" s="423"/>
      <c r="D42" s="423"/>
      <c r="E42" s="423"/>
      <c r="F42" s="423"/>
      <c r="G42" s="423"/>
      <c r="H42" s="423"/>
      <c r="I42" s="423"/>
    </row>
    <row r="43" spans="1:9" ht="15.95" customHeight="1">
      <c r="A43" s="423"/>
      <c r="B43" s="423"/>
      <c r="C43" s="423"/>
      <c r="D43" s="423"/>
      <c r="E43" s="423"/>
      <c r="F43" s="423"/>
      <c r="G43" s="423"/>
      <c r="H43" s="423"/>
      <c r="I43" s="423"/>
    </row>
    <row r="44" spans="1:9" ht="15.95" customHeight="1">
      <c r="A44" s="423"/>
      <c r="B44" s="423"/>
      <c r="C44" s="423"/>
      <c r="D44" s="423"/>
      <c r="E44" s="423"/>
      <c r="F44" s="423"/>
      <c r="G44" s="423"/>
      <c r="H44" s="423"/>
      <c r="I44" s="423"/>
    </row>
    <row r="45" spans="1:9" ht="15.95" customHeight="1">
      <c r="A45" s="423"/>
      <c r="B45" s="423"/>
      <c r="C45" s="423"/>
      <c r="D45" s="423"/>
      <c r="E45" s="423"/>
      <c r="F45" s="423"/>
      <c r="G45" s="423"/>
      <c r="H45" s="423"/>
      <c r="I45" s="423"/>
    </row>
    <row r="46" spans="1:9" ht="15.95" customHeight="1">
      <c r="A46" s="423"/>
      <c r="B46" s="423"/>
      <c r="C46" s="423"/>
      <c r="D46" s="423"/>
      <c r="E46" s="423"/>
      <c r="F46" s="423"/>
      <c r="G46" s="423"/>
      <c r="H46" s="423"/>
      <c r="I46" s="423"/>
    </row>
    <row r="47" spans="1:9" ht="15.95" customHeight="1">
      <c r="A47" s="423"/>
      <c r="B47" s="423"/>
      <c r="C47" s="423"/>
      <c r="D47" s="423"/>
      <c r="E47" s="423"/>
      <c r="F47" s="423"/>
      <c r="G47" s="423"/>
      <c r="H47" s="423"/>
      <c r="I47" s="423"/>
    </row>
    <row r="48" spans="1:9" ht="15" customHeight="1">
      <c r="A48" s="423"/>
      <c r="B48" s="423"/>
      <c r="C48" s="423"/>
      <c r="D48" s="423"/>
      <c r="E48" s="423"/>
      <c r="F48" s="423"/>
      <c r="G48" s="423"/>
      <c r="H48" s="423"/>
      <c r="I48" s="423"/>
    </row>
    <row r="49" spans="1:9" ht="15" customHeight="1">
      <c r="A49" s="423"/>
      <c r="B49" s="423"/>
      <c r="C49" s="423"/>
      <c r="D49" s="423"/>
      <c r="E49" s="423"/>
      <c r="F49" s="423"/>
      <c r="G49" s="423"/>
      <c r="H49" s="423"/>
      <c r="I49" s="423"/>
    </row>
    <row r="50" spans="1:9" ht="15" customHeight="1">
      <c r="A50" s="29"/>
      <c r="B50" s="29"/>
      <c r="C50" s="29"/>
      <c r="D50" s="29"/>
      <c r="E50" s="29"/>
      <c r="F50" s="29"/>
      <c r="G50" s="29"/>
      <c r="H50" s="29"/>
      <c r="I50" s="29"/>
    </row>
    <row r="51" spans="1:9" ht="15.95" customHeight="1">
      <c r="A51" s="29"/>
      <c r="B51" s="29"/>
      <c r="C51" s="29"/>
      <c r="D51" s="29"/>
      <c r="E51" s="29"/>
      <c r="F51" s="29"/>
      <c r="G51" s="29"/>
      <c r="H51" s="29"/>
      <c r="I51" s="29"/>
    </row>
    <row r="52" spans="1:9" ht="15.95" customHeight="1">
      <c r="A52" s="29"/>
      <c r="B52" s="29"/>
    </row>
    <row r="53" spans="1:9" ht="15.95" customHeight="1">
      <c r="A53" s="29"/>
      <c r="B53" s="29"/>
    </row>
    <row r="54" spans="1:9" ht="15.95" customHeight="1">
      <c r="A54" s="29"/>
      <c r="B54" s="29"/>
    </row>
    <row r="55" spans="1:9" ht="15" customHeight="1">
      <c r="A55" s="29"/>
      <c r="B55" s="29"/>
    </row>
    <row r="56" spans="1:9" ht="15" customHeight="1">
      <c r="A56" s="29"/>
      <c r="B56" s="29"/>
    </row>
    <row r="57" spans="1:9" ht="15" customHeight="1">
      <c r="A57" s="29"/>
      <c r="B57" s="29"/>
    </row>
    <row r="58" spans="1:9" ht="15" customHeight="1">
      <c r="A58" s="29"/>
      <c r="B58" s="29"/>
    </row>
    <row r="59" spans="1:9" ht="15" customHeight="1">
      <c r="A59" s="29"/>
      <c r="B59" s="29"/>
    </row>
    <row r="60" spans="1:9" ht="11.45" customHeight="1">
      <c r="A60" s="29"/>
      <c r="B60" s="29"/>
    </row>
    <row r="61" spans="1:9" ht="10.9" customHeight="1"/>
  </sheetData>
  <mergeCells count="27">
    <mergeCell ref="A41:I49"/>
    <mergeCell ref="E38:F38"/>
    <mergeCell ref="A31:I31"/>
    <mergeCell ref="A33:D33"/>
    <mergeCell ref="A34:D34"/>
    <mergeCell ref="A35:D35"/>
    <mergeCell ref="A36:D36"/>
    <mergeCell ref="A39:I39"/>
    <mergeCell ref="A25:D25"/>
    <mergeCell ref="A26:D26"/>
    <mergeCell ref="A27:D27"/>
    <mergeCell ref="A29:D29"/>
    <mergeCell ref="A38:D38"/>
    <mergeCell ref="A30:D30"/>
    <mergeCell ref="A13:D13"/>
    <mergeCell ref="A3:I6"/>
    <mergeCell ref="A7:I7"/>
    <mergeCell ref="A9:D9"/>
    <mergeCell ref="A10:D10"/>
    <mergeCell ref="A12:D12"/>
    <mergeCell ref="A22:D22"/>
    <mergeCell ref="A23:D23"/>
    <mergeCell ref="A14:D14"/>
    <mergeCell ref="A16:D16"/>
    <mergeCell ref="A17:I17"/>
    <mergeCell ref="A19:D19"/>
    <mergeCell ref="A20:D2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R56"/>
  <sheetViews>
    <sheetView showGridLines="0" topLeftCell="A13" zoomScaleNormal="100" zoomScaleSheetLayoutView="100" workbookViewId="0">
      <selection activeCell="G1" sqref="G1"/>
    </sheetView>
  </sheetViews>
  <sheetFormatPr defaultColWidth="9.140625" defaultRowHeight="11.25"/>
  <cols>
    <col min="1" max="1" width="6.85546875" style="39" customWidth="1"/>
    <col min="2" max="2" width="8.42578125" style="39" customWidth="1"/>
    <col min="3" max="3" width="13.140625" style="39" customWidth="1"/>
    <col min="4" max="6" width="8.28515625" style="39" customWidth="1"/>
    <col min="7" max="7" width="9.7109375" style="39" customWidth="1"/>
    <col min="8" max="10" width="8.7109375" style="39" customWidth="1"/>
    <col min="11" max="11" width="9.7109375" style="39" customWidth="1"/>
    <col min="12" max="16384" width="9.140625" style="39"/>
  </cols>
  <sheetData>
    <row r="1" spans="1:18" ht="20.25">
      <c r="A1" s="55" t="s">
        <v>287</v>
      </c>
    </row>
    <row r="2" spans="1:18" ht="18">
      <c r="A2" s="428" t="s">
        <v>292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</row>
    <row r="3" spans="1:18" ht="6" customHeight="1">
      <c r="A3" s="229"/>
      <c r="B3" s="229"/>
      <c r="C3" s="230"/>
      <c r="D3" s="429"/>
      <c r="E3" s="430"/>
      <c r="F3" s="430"/>
      <c r="G3" s="430"/>
      <c r="H3" s="430"/>
      <c r="I3" s="430"/>
      <c r="J3" s="430"/>
      <c r="K3" s="430"/>
    </row>
    <row r="4" spans="1:18" s="40" customFormat="1" ht="20.100000000000001" customHeight="1">
      <c r="A4" s="377">
        <v>2023</v>
      </c>
      <c r="B4" s="150"/>
      <c r="C4" s="198"/>
      <c r="D4" s="431" t="s">
        <v>261</v>
      </c>
      <c r="E4" s="432"/>
      <c r="F4" s="432"/>
      <c r="G4" s="433"/>
      <c r="H4" s="431" t="s">
        <v>262</v>
      </c>
      <c r="I4" s="432"/>
      <c r="J4" s="432"/>
      <c r="K4" s="432"/>
    </row>
    <row r="5" spans="1:18" ht="20.100000000000001" customHeight="1">
      <c r="A5" s="153"/>
      <c r="B5" s="153"/>
      <c r="C5" s="199"/>
      <c r="D5" s="200" t="s">
        <v>166</v>
      </c>
      <c r="E5" s="201" t="s">
        <v>167</v>
      </c>
      <c r="F5" s="201" t="s">
        <v>168</v>
      </c>
      <c r="G5" s="202" t="s">
        <v>63</v>
      </c>
      <c r="H5" s="200" t="str">
        <f>D5</f>
        <v>Červenec</v>
      </c>
      <c r="I5" s="201" t="str">
        <f>E5</f>
        <v>Srpen</v>
      </c>
      <c r="J5" s="201" t="str">
        <f>F5</f>
        <v>Září</v>
      </c>
      <c r="K5" s="203" t="str">
        <f>G5</f>
        <v>III. čtvrtletí</v>
      </c>
    </row>
    <row r="6" spans="1:18" ht="15" customHeight="1">
      <c r="A6" s="438" t="s">
        <v>49</v>
      </c>
      <c r="B6" s="434" t="s">
        <v>21</v>
      </c>
      <c r="C6" s="154" t="s">
        <v>23</v>
      </c>
      <c r="D6" s="155">
        <v>572449.83499999996</v>
      </c>
      <c r="E6" s="156">
        <v>587063.13899999997</v>
      </c>
      <c r="F6" s="156">
        <v>473888.78399999999</v>
      </c>
      <c r="G6" s="157">
        <f>SUM(D6:F6)</f>
        <v>1633401.7579999999</v>
      </c>
      <c r="H6" s="155">
        <v>6272646.6799999997</v>
      </c>
      <c r="I6" s="156">
        <v>6431213.9790000003</v>
      </c>
      <c r="J6" s="156">
        <v>5203133.983</v>
      </c>
      <c r="K6" s="158">
        <f>SUM(H6:J6)</f>
        <v>17906994.642000001</v>
      </c>
      <c r="L6" s="42"/>
      <c r="M6" s="42"/>
      <c r="N6" s="42"/>
      <c r="O6" s="42"/>
      <c r="P6" s="42"/>
      <c r="Q6" s="42"/>
      <c r="R6" s="42"/>
    </row>
    <row r="7" spans="1:18" ht="15" customHeight="1">
      <c r="A7" s="438"/>
      <c r="B7" s="434"/>
      <c r="C7" s="154" t="s">
        <v>24</v>
      </c>
      <c r="D7" s="155">
        <v>28.345556886523568</v>
      </c>
      <c r="E7" s="156">
        <v>30.766999999999999</v>
      </c>
      <c r="F7" s="156">
        <v>42.536663977303036</v>
      </c>
      <c r="G7" s="157">
        <f>SUM(D7:F7)</f>
        <v>101.6492208638266</v>
      </c>
      <c r="H7" s="155">
        <v>327.92112299999985</v>
      </c>
      <c r="I7" s="156">
        <v>355.71800500000001</v>
      </c>
      <c r="J7" s="156">
        <v>491.94646899999998</v>
      </c>
      <c r="K7" s="158">
        <f t="shared" ref="K7:K47" si="0">SUM(H7:J7)</f>
        <v>1175.5855969999998</v>
      </c>
      <c r="L7" s="42"/>
      <c r="M7" s="42"/>
      <c r="N7" s="42"/>
      <c r="O7" s="42"/>
      <c r="P7" s="42"/>
      <c r="Q7" s="42"/>
    </row>
    <row r="8" spans="1:18" ht="15" customHeight="1">
      <c r="A8" s="438"/>
      <c r="B8" s="435"/>
      <c r="C8" s="159" t="s">
        <v>25</v>
      </c>
      <c r="D8" s="160">
        <v>572478.18055688648</v>
      </c>
      <c r="E8" s="161">
        <v>587093.90599999996</v>
      </c>
      <c r="F8" s="161">
        <v>473931.3206639773</v>
      </c>
      <c r="G8" s="162">
        <f t="shared" ref="G8" si="1">SUM(D8:F8)</f>
        <v>1633503.4072208637</v>
      </c>
      <c r="H8" s="160">
        <v>6272974.6011229996</v>
      </c>
      <c r="I8" s="161">
        <v>6431569.697005</v>
      </c>
      <c r="J8" s="161">
        <v>5203625.9294689996</v>
      </c>
      <c r="K8" s="163">
        <f t="shared" si="0"/>
        <v>17908170.227596998</v>
      </c>
      <c r="L8" s="42"/>
      <c r="M8" s="42"/>
      <c r="N8" s="42"/>
      <c r="O8" s="42"/>
      <c r="P8" s="42"/>
      <c r="Q8" s="42"/>
    </row>
    <row r="9" spans="1:18" ht="15" customHeight="1">
      <c r="A9" s="438"/>
      <c r="B9" s="436" t="s">
        <v>22</v>
      </c>
      <c r="C9" s="164" t="s">
        <v>23</v>
      </c>
      <c r="D9" s="165">
        <v>78766.486999999994</v>
      </c>
      <c r="E9" s="166">
        <v>145149.61600000001</v>
      </c>
      <c r="F9" s="166">
        <v>97748.702000000005</v>
      </c>
      <c r="G9" s="167">
        <f>SUM(D9:F9)</f>
        <v>321664.80499999999</v>
      </c>
      <c r="H9" s="165">
        <v>861981.96</v>
      </c>
      <c r="I9" s="166">
        <v>1590838.09</v>
      </c>
      <c r="J9" s="166">
        <v>1069289.797</v>
      </c>
      <c r="K9" s="168">
        <f t="shared" si="0"/>
        <v>3522109.8470000001</v>
      </c>
      <c r="L9" s="42"/>
      <c r="M9" s="42"/>
      <c r="N9" s="42"/>
      <c r="O9" s="42"/>
      <c r="P9" s="42"/>
      <c r="Q9" s="42"/>
    </row>
    <row r="10" spans="1:18" ht="15" customHeight="1">
      <c r="A10" s="438"/>
      <c r="B10" s="434"/>
      <c r="C10" s="154" t="s">
        <v>24</v>
      </c>
      <c r="D10" s="155">
        <v>9.4732163209011908</v>
      </c>
      <c r="E10" s="156">
        <v>8.815592775717775</v>
      </c>
      <c r="F10" s="156">
        <v>9.2454073989872168</v>
      </c>
      <c r="G10" s="157">
        <f>SUM(D10:F10)</f>
        <v>27.534216495606181</v>
      </c>
      <c r="H10" s="155">
        <v>103.814836</v>
      </c>
      <c r="I10" s="156">
        <v>96.691645100000002</v>
      </c>
      <c r="J10" s="156">
        <v>101.5212386</v>
      </c>
      <c r="K10" s="158">
        <f t="shared" si="0"/>
        <v>302.02771970000003</v>
      </c>
      <c r="L10" s="42"/>
      <c r="M10" s="42"/>
      <c r="N10" s="42"/>
      <c r="O10" s="42"/>
      <c r="P10" s="42"/>
      <c r="Q10" s="42"/>
    </row>
    <row r="11" spans="1:18" ht="15" customHeight="1">
      <c r="A11" s="438"/>
      <c r="B11" s="435"/>
      <c r="C11" s="159" t="s">
        <v>25</v>
      </c>
      <c r="D11" s="160">
        <v>78775.960216320891</v>
      </c>
      <c r="E11" s="161">
        <v>145158.43159277571</v>
      </c>
      <c r="F11" s="161">
        <v>97757.947407398999</v>
      </c>
      <c r="G11" s="162">
        <f t="shared" ref="G11" si="2">SUM(D11:F11)</f>
        <v>321692.33921649563</v>
      </c>
      <c r="H11" s="160">
        <v>862085.77483599994</v>
      </c>
      <c r="I11" s="161">
        <v>1590934.7816451001</v>
      </c>
      <c r="J11" s="161">
        <v>1069391.3182385999</v>
      </c>
      <c r="K11" s="163">
        <f t="shared" si="0"/>
        <v>3522411.8747196998</v>
      </c>
      <c r="L11" s="42"/>
      <c r="M11" s="42"/>
      <c r="N11" s="42"/>
      <c r="O11" s="42"/>
      <c r="P11" s="42"/>
      <c r="Q11" s="42"/>
    </row>
    <row r="12" spans="1:18" ht="15" customHeight="1">
      <c r="A12" s="438"/>
      <c r="B12" s="437" t="s">
        <v>51</v>
      </c>
      <c r="C12" s="154" t="s">
        <v>23</v>
      </c>
      <c r="D12" s="155">
        <v>493683.348</v>
      </c>
      <c r="E12" s="156">
        <v>441913.52299999993</v>
      </c>
      <c r="F12" s="156">
        <v>376140.08199999999</v>
      </c>
      <c r="G12" s="157">
        <f>SUM(D12:F12)</f>
        <v>1311736.953</v>
      </c>
      <c r="H12" s="155">
        <v>5410664.7199999997</v>
      </c>
      <c r="I12" s="156">
        <v>4840375.8890000004</v>
      </c>
      <c r="J12" s="156">
        <v>4133844.1859999998</v>
      </c>
      <c r="K12" s="158">
        <f t="shared" si="0"/>
        <v>14384884.795000002</v>
      </c>
      <c r="L12" s="42"/>
      <c r="M12" s="42"/>
      <c r="N12" s="42"/>
      <c r="O12" s="42"/>
      <c r="P12" s="42"/>
      <c r="Q12" s="42"/>
    </row>
    <row r="13" spans="1:18" ht="15" customHeight="1">
      <c r="A13" s="438"/>
      <c r="B13" s="434"/>
      <c r="C13" s="154" t="s">
        <v>24</v>
      </c>
      <c r="D13" s="155">
        <v>18.872340565622377</v>
      </c>
      <c r="E13" s="156">
        <v>21.951407224282224</v>
      </c>
      <c r="F13" s="156">
        <v>33.291256578315817</v>
      </c>
      <c r="G13" s="157">
        <f>SUM(D13:F13)</f>
        <v>74.115004368220411</v>
      </c>
      <c r="H13" s="155">
        <v>224.10628699999984</v>
      </c>
      <c r="I13" s="156">
        <v>259.02635989999999</v>
      </c>
      <c r="J13" s="156">
        <v>390.42523039999998</v>
      </c>
      <c r="K13" s="158">
        <f t="shared" si="0"/>
        <v>873.55787729999975</v>
      </c>
      <c r="L13" s="42"/>
      <c r="M13" s="42"/>
      <c r="N13" s="42"/>
      <c r="O13" s="42"/>
      <c r="P13" s="42"/>
      <c r="Q13" s="42"/>
    </row>
    <row r="14" spans="1:18" ht="15" customHeight="1">
      <c r="A14" s="439"/>
      <c r="B14" s="435"/>
      <c r="C14" s="159" t="s">
        <v>25</v>
      </c>
      <c r="D14" s="160">
        <v>493702.2203405656</v>
      </c>
      <c r="E14" s="161">
        <v>441935.47440722422</v>
      </c>
      <c r="F14" s="161">
        <v>376173.37325657828</v>
      </c>
      <c r="G14" s="162">
        <f t="shared" ref="G14:G51" si="3">SUM(D14:F14)</f>
        <v>1311811.0680043681</v>
      </c>
      <c r="H14" s="160">
        <v>5410888.8262869995</v>
      </c>
      <c r="I14" s="161">
        <v>4840634.9153599003</v>
      </c>
      <c r="J14" s="161">
        <v>4134234.6112303999</v>
      </c>
      <c r="K14" s="163">
        <f t="shared" si="0"/>
        <v>14385758.3528773</v>
      </c>
      <c r="L14" s="42"/>
      <c r="M14" s="42"/>
      <c r="N14" s="42"/>
      <c r="O14" s="42"/>
      <c r="P14" s="42"/>
      <c r="Q14" s="42"/>
    </row>
    <row r="15" spans="1:18" ht="15" customHeight="1">
      <c r="A15" s="440" t="s">
        <v>150</v>
      </c>
      <c r="B15" s="436" t="s">
        <v>26</v>
      </c>
      <c r="C15" s="164" t="s">
        <v>201</v>
      </c>
      <c r="D15" s="165">
        <v>0</v>
      </c>
      <c r="E15" s="166">
        <v>0</v>
      </c>
      <c r="F15" s="166">
        <v>10206.566000000001</v>
      </c>
      <c r="G15" s="167">
        <f t="shared" si="3"/>
        <v>10206.566000000001</v>
      </c>
      <c r="H15" s="165">
        <v>0</v>
      </c>
      <c r="I15" s="166">
        <v>0</v>
      </c>
      <c r="J15" s="166">
        <v>111691.232</v>
      </c>
      <c r="K15" s="168">
        <f t="shared" si="0"/>
        <v>111691.232</v>
      </c>
      <c r="L15" s="42"/>
      <c r="M15" s="42"/>
      <c r="N15" s="42"/>
      <c r="O15" s="42"/>
      <c r="P15" s="42"/>
      <c r="Q15" s="42"/>
    </row>
    <row r="16" spans="1:18" ht="15" customHeight="1">
      <c r="A16" s="438"/>
      <c r="B16" s="434"/>
      <c r="C16" s="154" t="s">
        <v>213</v>
      </c>
      <c r="D16" s="155">
        <v>0</v>
      </c>
      <c r="E16" s="156">
        <v>11553.126</v>
      </c>
      <c r="F16" s="156">
        <v>2315.136</v>
      </c>
      <c r="G16" s="157">
        <f>SUM(D16:F16)</f>
        <v>13868.262000000001</v>
      </c>
      <c r="H16" s="155">
        <v>0</v>
      </c>
      <c r="I16" s="156">
        <v>126678.69882799999</v>
      </c>
      <c r="J16" s="156">
        <v>25365.709878899997</v>
      </c>
      <c r="K16" s="158">
        <f t="shared" si="0"/>
        <v>152044.40870689999</v>
      </c>
      <c r="L16" s="42"/>
      <c r="M16" s="42"/>
      <c r="N16" s="42"/>
      <c r="O16" s="42"/>
      <c r="P16" s="42"/>
      <c r="Q16" s="42"/>
    </row>
    <row r="17" spans="1:17" ht="15" customHeight="1">
      <c r="A17" s="438"/>
      <c r="B17" s="434"/>
      <c r="C17" s="154" t="s">
        <v>65</v>
      </c>
      <c r="D17" s="155">
        <v>0</v>
      </c>
      <c r="E17" s="156">
        <v>2898.4840000000004</v>
      </c>
      <c r="F17" s="156">
        <v>17828.369000000002</v>
      </c>
      <c r="G17" s="157">
        <f>SUM(D17:F17)</f>
        <v>20726.853000000003</v>
      </c>
      <c r="H17" s="155">
        <v>0</v>
      </c>
      <c r="I17" s="156">
        <v>31803.649172000005</v>
      </c>
      <c r="J17" s="156">
        <v>195414.29912109999</v>
      </c>
      <c r="K17" s="158">
        <f t="shared" si="0"/>
        <v>227217.94829309999</v>
      </c>
      <c r="L17" s="42"/>
      <c r="M17" s="42"/>
      <c r="N17" s="42"/>
      <c r="O17" s="42"/>
      <c r="P17" s="42"/>
      <c r="Q17" s="42"/>
    </row>
    <row r="18" spans="1:17" ht="15" customHeight="1">
      <c r="A18" s="438"/>
      <c r="B18" s="435"/>
      <c r="C18" s="159" t="s">
        <v>25</v>
      </c>
      <c r="D18" s="160">
        <v>0</v>
      </c>
      <c r="E18" s="161">
        <v>14451.61</v>
      </c>
      <c r="F18" s="161">
        <v>30350.071000000004</v>
      </c>
      <c r="G18" s="162">
        <f>SUM(D18:F18)</f>
        <v>44801.681000000004</v>
      </c>
      <c r="H18" s="160">
        <v>0</v>
      </c>
      <c r="I18" s="161">
        <v>158482.348</v>
      </c>
      <c r="J18" s="161">
        <v>332471.24099999998</v>
      </c>
      <c r="K18" s="163">
        <f>SUM(H18:J18)</f>
        <v>490953.58899999998</v>
      </c>
      <c r="L18" s="42"/>
      <c r="M18" s="42"/>
      <c r="N18" s="42"/>
      <c r="O18" s="42"/>
      <c r="P18" s="42"/>
      <c r="Q18" s="42"/>
    </row>
    <row r="19" spans="1:17" ht="15" customHeight="1">
      <c r="A19" s="438"/>
      <c r="B19" s="436" t="s">
        <v>27</v>
      </c>
      <c r="C19" s="164" t="s">
        <v>201</v>
      </c>
      <c r="D19" s="165">
        <v>133138.09699999998</v>
      </c>
      <c r="E19" s="166">
        <v>149490.90100000001</v>
      </c>
      <c r="F19" s="166">
        <v>88527.337</v>
      </c>
      <c r="G19" s="167">
        <f t="shared" si="3"/>
        <v>371156.33500000002</v>
      </c>
      <c r="H19" s="165">
        <v>1456098.9394980001</v>
      </c>
      <c r="I19" s="166">
        <v>1640115.5277129998</v>
      </c>
      <c r="J19" s="166">
        <v>970940.304841</v>
      </c>
      <c r="K19" s="168">
        <f t="shared" si="0"/>
        <v>4067154.7720519998</v>
      </c>
      <c r="L19" s="42"/>
      <c r="M19" s="42"/>
      <c r="N19" s="42"/>
      <c r="O19" s="42"/>
      <c r="P19" s="42"/>
      <c r="Q19" s="42"/>
    </row>
    <row r="20" spans="1:17" ht="15" customHeight="1">
      <c r="A20" s="438"/>
      <c r="B20" s="434"/>
      <c r="C20" s="154" t="s">
        <v>213</v>
      </c>
      <c r="D20" s="155">
        <v>43656.402000000009</v>
      </c>
      <c r="E20" s="156">
        <v>7622.8979999999992</v>
      </c>
      <c r="F20" s="156">
        <v>7382.8580000000011</v>
      </c>
      <c r="G20" s="157">
        <f t="shared" si="3"/>
        <v>58662.15800000001</v>
      </c>
      <c r="H20" s="155">
        <v>478800.63909199997</v>
      </c>
      <c r="I20" s="156">
        <v>83629.018983799993</v>
      </c>
      <c r="J20" s="156">
        <v>80868.965117500018</v>
      </c>
      <c r="K20" s="158">
        <f t="shared" si="0"/>
        <v>643298.62319329998</v>
      </c>
      <c r="L20" s="42"/>
      <c r="M20" s="42"/>
      <c r="N20" s="42"/>
      <c r="O20" s="42"/>
      <c r="P20" s="42"/>
      <c r="Q20" s="42"/>
    </row>
    <row r="21" spans="1:17" ht="15" customHeight="1">
      <c r="A21" s="438"/>
      <c r="B21" s="434"/>
      <c r="C21" s="154" t="s">
        <v>65</v>
      </c>
      <c r="D21" s="155">
        <v>42648.373999999989</v>
      </c>
      <c r="E21" s="156">
        <v>21575.084999999999</v>
      </c>
      <c r="F21" s="156">
        <v>10505.088</v>
      </c>
      <c r="G21" s="157">
        <f t="shared" si="3"/>
        <v>74728.546999999991</v>
      </c>
      <c r="H21" s="155">
        <v>467888.01390800008</v>
      </c>
      <c r="I21" s="156">
        <v>236777.1120162</v>
      </c>
      <c r="J21" s="156">
        <v>115060.90288249997</v>
      </c>
      <c r="K21" s="158">
        <f t="shared" si="0"/>
        <v>819726.02880670002</v>
      </c>
      <c r="L21" s="42"/>
      <c r="M21" s="42"/>
      <c r="N21" s="42"/>
      <c r="O21" s="42"/>
      <c r="P21" s="42"/>
      <c r="Q21" s="42"/>
    </row>
    <row r="22" spans="1:17" ht="15" customHeight="1">
      <c r="A22" s="438"/>
      <c r="B22" s="435"/>
      <c r="C22" s="159" t="s">
        <v>25</v>
      </c>
      <c r="D22" s="160">
        <v>219442.87299999996</v>
      </c>
      <c r="E22" s="161">
        <v>178688.88399999999</v>
      </c>
      <c r="F22" s="161">
        <v>106415.28300000001</v>
      </c>
      <c r="G22" s="162">
        <f t="shared" si="3"/>
        <v>504547.04</v>
      </c>
      <c r="H22" s="160">
        <v>2402787.5924980002</v>
      </c>
      <c r="I22" s="161">
        <v>1960521.6587129999</v>
      </c>
      <c r="J22" s="161">
        <v>1166870.1728409999</v>
      </c>
      <c r="K22" s="163">
        <f t="shared" si="0"/>
        <v>5530179.424052</v>
      </c>
      <c r="L22" s="42"/>
      <c r="M22" s="42"/>
      <c r="N22" s="42"/>
      <c r="O22" s="42"/>
      <c r="P22" s="42"/>
      <c r="Q22" s="42"/>
    </row>
    <row r="23" spans="1:17" ht="15" customHeight="1">
      <c r="A23" s="438"/>
      <c r="B23" s="437" t="s">
        <v>52</v>
      </c>
      <c r="C23" s="154" t="s">
        <v>201</v>
      </c>
      <c r="D23" s="155">
        <v>-133138.09699999998</v>
      </c>
      <c r="E23" s="156">
        <v>-149490.90100000001</v>
      </c>
      <c r="F23" s="156">
        <v>-78320.770999999993</v>
      </c>
      <c r="G23" s="157">
        <f t="shared" si="3"/>
        <v>-360949.76900000003</v>
      </c>
      <c r="H23" s="155">
        <v>-1456098.9394980001</v>
      </c>
      <c r="I23" s="156">
        <v>-1640115.5277129998</v>
      </c>
      <c r="J23" s="156">
        <v>-859249.07284100004</v>
      </c>
      <c r="K23" s="158">
        <f t="shared" si="0"/>
        <v>-3955463.5400519995</v>
      </c>
      <c r="L23" s="42"/>
      <c r="M23" s="42"/>
      <c r="N23" s="42"/>
      <c r="O23" s="42"/>
      <c r="P23" s="42"/>
      <c r="Q23" s="42"/>
    </row>
    <row r="24" spans="1:17" ht="15" customHeight="1">
      <c r="A24" s="438"/>
      <c r="B24" s="434"/>
      <c r="C24" s="154" t="s">
        <v>213</v>
      </c>
      <c r="D24" s="155">
        <v>-43656.402000000009</v>
      </c>
      <c r="E24" s="156">
        <v>3930.228000000001</v>
      </c>
      <c r="F24" s="156">
        <v>-5067.7220000000016</v>
      </c>
      <c r="G24" s="157">
        <f t="shared" si="3"/>
        <v>-44793.896000000008</v>
      </c>
      <c r="H24" s="155">
        <v>-478800.63909199997</v>
      </c>
      <c r="I24" s="156">
        <v>43049.6798442</v>
      </c>
      <c r="J24" s="156">
        <v>-55503.255238600017</v>
      </c>
      <c r="K24" s="158">
        <f t="shared" si="0"/>
        <v>-491254.21448639996</v>
      </c>
      <c r="L24" s="42"/>
      <c r="M24" s="42"/>
      <c r="N24" s="42"/>
      <c r="O24" s="42"/>
      <c r="P24" s="42"/>
      <c r="Q24" s="42"/>
    </row>
    <row r="25" spans="1:17" ht="15" customHeight="1">
      <c r="A25" s="438"/>
      <c r="B25" s="434"/>
      <c r="C25" s="154" t="s">
        <v>65</v>
      </c>
      <c r="D25" s="155">
        <v>-42648.373999999989</v>
      </c>
      <c r="E25" s="156">
        <v>-18676.600999999999</v>
      </c>
      <c r="F25" s="156">
        <v>7323.2810000000027</v>
      </c>
      <c r="G25" s="157">
        <f t="shared" si="3"/>
        <v>-54001.693999999989</v>
      </c>
      <c r="H25" s="155">
        <v>-467888.01390800008</v>
      </c>
      <c r="I25" s="156">
        <v>-204973.4628442</v>
      </c>
      <c r="J25" s="156">
        <v>80353.39623860002</v>
      </c>
      <c r="K25" s="158">
        <f t="shared" si="0"/>
        <v>-592508.08051360003</v>
      </c>
      <c r="L25" s="42"/>
      <c r="M25" s="42"/>
      <c r="N25" s="42"/>
      <c r="O25" s="42"/>
      <c r="P25" s="42"/>
      <c r="Q25" s="42"/>
    </row>
    <row r="26" spans="1:17" ht="15" customHeight="1">
      <c r="A26" s="438"/>
      <c r="B26" s="435"/>
      <c r="C26" s="159" t="s">
        <v>25</v>
      </c>
      <c r="D26" s="160">
        <v>-219442.87299999996</v>
      </c>
      <c r="E26" s="161">
        <v>-164237.274</v>
      </c>
      <c r="F26" s="161">
        <v>-76065.211999999985</v>
      </c>
      <c r="G26" s="162">
        <f t="shared" si="3"/>
        <v>-459745.359</v>
      </c>
      <c r="H26" s="160">
        <v>-2402787.5924980002</v>
      </c>
      <c r="I26" s="161">
        <v>-1802039.3107129999</v>
      </c>
      <c r="J26" s="161">
        <v>-834398.9318410001</v>
      </c>
      <c r="K26" s="163">
        <f t="shared" si="0"/>
        <v>-5039225.8350520004</v>
      </c>
      <c r="L26" s="42"/>
      <c r="M26" s="42"/>
      <c r="N26" s="42"/>
      <c r="O26" s="42"/>
      <c r="P26" s="42"/>
      <c r="Q26" s="42"/>
    </row>
    <row r="27" spans="1:17" ht="15" customHeight="1">
      <c r="A27" s="439"/>
      <c r="B27" s="441" t="s">
        <v>54</v>
      </c>
      <c r="C27" s="441"/>
      <c r="D27" s="160">
        <v>3102196.3127324902</v>
      </c>
      <c r="E27" s="161">
        <v>3265974.9687324902</v>
      </c>
      <c r="F27" s="161">
        <v>3341699.2997324904</v>
      </c>
      <c r="G27" s="162">
        <f>F27</f>
        <v>3341699.2997324904</v>
      </c>
      <c r="H27" s="160">
        <v>33704396.298667915</v>
      </c>
      <c r="I27" s="161">
        <v>35501406.383178905</v>
      </c>
      <c r="J27" s="161">
        <v>36332065.2576444</v>
      </c>
      <c r="K27" s="163">
        <f>J27</f>
        <v>36332065.2576444</v>
      </c>
      <c r="L27" s="42"/>
      <c r="M27" s="42"/>
      <c r="N27" s="42"/>
      <c r="O27" s="42"/>
      <c r="P27" s="42"/>
      <c r="Q27" s="42"/>
    </row>
    <row r="28" spans="1:17" ht="15" customHeight="1">
      <c r="A28" s="440" t="s">
        <v>50</v>
      </c>
      <c r="B28" s="443" t="s">
        <v>195</v>
      </c>
      <c r="C28" s="164" t="s">
        <v>28</v>
      </c>
      <c r="D28" s="165">
        <v>6962.0150000000003</v>
      </c>
      <c r="E28" s="166">
        <v>4751.6190000000006</v>
      </c>
      <c r="F28" s="166">
        <v>2958.0250000000001</v>
      </c>
      <c r="G28" s="167">
        <f t="shared" si="3"/>
        <v>14671.659000000001</v>
      </c>
      <c r="H28" s="165">
        <v>76333.010469700006</v>
      </c>
      <c r="I28" s="166">
        <v>51824.1932410847</v>
      </c>
      <c r="J28" s="166">
        <v>32105.505118314286</v>
      </c>
      <c r="K28" s="168">
        <f t="shared" si="0"/>
        <v>160262.70882909899</v>
      </c>
      <c r="L28" s="42"/>
      <c r="M28" s="42"/>
      <c r="N28" s="42"/>
      <c r="O28" s="42"/>
      <c r="P28" s="42"/>
      <c r="Q28" s="42"/>
    </row>
    <row r="29" spans="1:17" ht="15" customHeight="1">
      <c r="A29" s="438"/>
      <c r="B29" s="437"/>
      <c r="C29" s="154" t="s">
        <v>31</v>
      </c>
      <c r="D29" s="155">
        <v>111.33199999999943</v>
      </c>
      <c r="E29" s="156">
        <v>116.15699999999924</v>
      </c>
      <c r="F29" s="156">
        <v>46.72800000000052</v>
      </c>
      <c r="G29" s="157">
        <f t="shared" si="3"/>
        <v>274.21699999999919</v>
      </c>
      <c r="H29" s="155">
        <v>1269.0187200000073</v>
      </c>
      <c r="I29" s="156">
        <v>1400.9034000000029</v>
      </c>
      <c r="J29" s="156">
        <v>597.19120000000839</v>
      </c>
      <c r="K29" s="158">
        <f t="shared" si="0"/>
        <v>3267.1133200000186</v>
      </c>
      <c r="L29" s="42"/>
      <c r="M29" s="42"/>
      <c r="N29" s="42"/>
      <c r="O29" s="42"/>
      <c r="P29" s="42"/>
      <c r="Q29" s="42"/>
    </row>
    <row r="30" spans="1:17" ht="15" customHeight="1">
      <c r="A30" s="438"/>
      <c r="B30" s="442"/>
      <c r="C30" s="159" t="s">
        <v>25</v>
      </c>
      <c r="D30" s="160">
        <v>7073.3469999999998</v>
      </c>
      <c r="E30" s="161">
        <v>4867.7759999999998</v>
      </c>
      <c r="F30" s="161">
        <v>3004.7530000000006</v>
      </c>
      <c r="G30" s="162">
        <f t="shared" si="3"/>
        <v>14945.876</v>
      </c>
      <c r="H30" s="160">
        <v>77602.029189700013</v>
      </c>
      <c r="I30" s="161">
        <v>53225.096641084703</v>
      </c>
      <c r="J30" s="161">
        <v>32702.696318314294</v>
      </c>
      <c r="K30" s="163">
        <f t="shared" si="0"/>
        <v>163529.82214909903</v>
      </c>
      <c r="L30" s="42"/>
      <c r="M30" s="42"/>
      <c r="N30" s="42"/>
      <c r="O30" s="42"/>
      <c r="P30" s="42"/>
      <c r="Q30" s="42"/>
    </row>
    <row r="31" spans="1:17" ht="15" customHeight="1">
      <c r="A31" s="438"/>
      <c r="B31" s="437" t="s">
        <v>196</v>
      </c>
      <c r="C31" s="154" t="s">
        <v>28</v>
      </c>
      <c r="D31" s="155">
        <v>616.56399999999996</v>
      </c>
      <c r="E31" s="156">
        <v>464.09700000000004</v>
      </c>
      <c r="F31" s="156">
        <v>626.32299999999998</v>
      </c>
      <c r="G31" s="157">
        <f t="shared" si="3"/>
        <v>1706.9839999999999</v>
      </c>
      <c r="H31" s="155">
        <v>6473.5325000000003</v>
      </c>
      <c r="I31" s="156">
        <v>4916.2775000000001</v>
      </c>
      <c r="J31" s="156">
        <v>6591.4585000000006</v>
      </c>
      <c r="K31" s="158">
        <f t="shared" si="0"/>
        <v>17981.268500000002</v>
      </c>
      <c r="L31" s="42"/>
      <c r="M31" s="42"/>
      <c r="N31" s="42"/>
      <c r="O31" s="42"/>
      <c r="P31" s="42"/>
      <c r="Q31" s="42"/>
    </row>
    <row r="32" spans="1:17" ht="15" customHeight="1">
      <c r="A32" s="438"/>
      <c r="B32" s="437"/>
      <c r="C32" s="154" t="s">
        <v>31</v>
      </c>
      <c r="D32" s="155">
        <v>0</v>
      </c>
      <c r="E32" s="156">
        <v>0</v>
      </c>
      <c r="F32" s="156">
        <v>0</v>
      </c>
      <c r="G32" s="157">
        <f t="shared" si="3"/>
        <v>0</v>
      </c>
      <c r="H32" s="155">
        <v>0</v>
      </c>
      <c r="I32" s="156">
        <v>0</v>
      </c>
      <c r="J32" s="156">
        <v>0</v>
      </c>
      <c r="K32" s="158">
        <f t="shared" si="0"/>
        <v>0</v>
      </c>
      <c r="L32" s="42"/>
      <c r="M32" s="42"/>
      <c r="N32" s="42"/>
      <c r="O32" s="42"/>
      <c r="P32" s="42"/>
      <c r="Q32" s="42"/>
    </row>
    <row r="33" spans="1:17" ht="15" customHeight="1">
      <c r="A33" s="438"/>
      <c r="B33" s="442"/>
      <c r="C33" s="159" t="s">
        <v>25</v>
      </c>
      <c r="D33" s="160">
        <v>616.56399999999996</v>
      </c>
      <c r="E33" s="161">
        <v>464.09700000000004</v>
      </c>
      <c r="F33" s="161">
        <v>626.32299999999998</v>
      </c>
      <c r="G33" s="162">
        <f t="shared" si="3"/>
        <v>1706.9839999999999</v>
      </c>
      <c r="H33" s="160">
        <v>6473.5325000000003</v>
      </c>
      <c r="I33" s="161">
        <v>4916.2775000000001</v>
      </c>
      <c r="J33" s="161">
        <v>6591.4585000000006</v>
      </c>
      <c r="K33" s="163">
        <f t="shared" si="0"/>
        <v>17981.268500000002</v>
      </c>
      <c r="L33" s="42"/>
      <c r="M33" s="42"/>
      <c r="N33" s="42"/>
      <c r="O33" s="42"/>
      <c r="P33" s="42"/>
      <c r="Q33" s="42"/>
    </row>
    <row r="34" spans="1:17" ht="15" customHeight="1">
      <c r="A34" s="438"/>
      <c r="B34" s="437" t="s">
        <v>25</v>
      </c>
      <c r="C34" s="154" t="s">
        <v>28</v>
      </c>
      <c r="D34" s="155">
        <v>7578.5790000000006</v>
      </c>
      <c r="E34" s="156">
        <v>5215.7160000000003</v>
      </c>
      <c r="F34" s="156">
        <v>3584.348</v>
      </c>
      <c r="G34" s="157">
        <f t="shared" si="3"/>
        <v>16378.643000000002</v>
      </c>
      <c r="H34" s="155">
        <v>82806.542969700007</v>
      </c>
      <c r="I34" s="156">
        <v>56740.470741084704</v>
      </c>
      <c r="J34" s="156">
        <v>38696.963618314287</v>
      </c>
      <c r="K34" s="158">
        <f t="shared" si="0"/>
        <v>178243.97732909903</v>
      </c>
      <c r="L34" s="42"/>
      <c r="M34" s="42"/>
      <c r="N34" s="42"/>
      <c r="O34" s="42"/>
      <c r="P34" s="42"/>
      <c r="Q34" s="42"/>
    </row>
    <row r="35" spans="1:17" ht="15" customHeight="1">
      <c r="A35" s="438"/>
      <c r="B35" s="437"/>
      <c r="C35" s="154" t="s">
        <v>31</v>
      </c>
      <c r="D35" s="155">
        <v>111.33199999999943</v>
      </c>
      <c r="E35" s="156">
        <v>116.15699999999924</v>
      </c>
      <c r="F35" s="156">
        <v>46.72800000000052</v>
      </c>
      <c r="G35" s="157">
        <f t="shared" si="3"/>
        <v>274.21699999999919</v>
      </c>
      <c r="H35" s="155">
        <v>1269.0187200000073</v>
      </c>
      <c r="I35" s="156">
        <v>1400.9034000000029</v>
      </c>
      <c r="J35" s="156">
        <v>597.19120000000839</v>
      </c>
      <c r="K35" s="158">
        <f t="shared" si="0"/>
        <v>3267.1133200000186</v>
      </c>
      <c r="L35" s="42"/>
      <c r="M35" s="42"/>
      <c r="N35" s="42"/>
      <c r="O35" s="42"/>
      <c r="P35" s="42"/>
      <c r="Q35" s="42"/>
    </row>
    <row r="36" spans="1:17" ht="15" customHeight="1">
      <c r="A36" s="439"/>
      <c r="B36" s="442"/>
      <c r="C36" s="159" t="s">
        <v>25</v>
      </c>
      <c r="D36" s="160">
        <v>7689.9110000000001</v>
      </c>
      <c r="E36" s="161">
        <v>5331.8729999999996</v>
      </c>
      <c r="F36" s="161">
        <v>3631.0760000000005</v>
      </c>
      <c r="G36" s="162">
        <f t="shared" si="3"/>
        <v>16652.86</v>
      </c>
      <c r="H36" s="160">
        <v>84075.561689700015</v>
      </c>
      <c r="I36" s="161">
        <v>58141.374141084707</v>
      </c>
      <c r="J36" s="161">
        <v>39294.154818314295</v>
      </c>
      <c r="K36" s="163">
        <f t="shared" si="0"/>
        <v>181511.09064909903</v>
      </c>
      <c r="L36" s="42"/>
      <c r="M36" s="42"/>
      <c r="N36" s="42"/>
      <c r="O36" s="42"/>
      <c r="P36" s="42"/>
      <c r="Q36" s="42"/>
    </row>
    <row r="37" spans="1:17" ht="15" customHeight="1">
      <c r="A37" s="440" t="s">
        <v>64</v>
      </c>
      <c r="B37" s="443" t="s">
        <v>53</v>
      </c>
      <c r="C37" s="164" t="s">
        <v>67</v>
      </c>
      <c r="D37" s="165">
        <v>236912.70106268273</v>
      </c>
      <c r="E37" s="166">
        <v>252928.38677866926</v>
      </c>
      <c r="F37" s="166">
        <v>264002.49101348559</v>
      </c>
      <c r="G37" s="167">
        <f t="shared" si="3"/>
        <v>753843.57885483757</v>
      </c>
      <c r="H37" s="165">
        <v>2596569.9034906724</v>
      </c>
      <c r="I37" s="166">
        <v>2774392.5570850042</v>
      </c>
      <c r="J37" s="166">
        <v>2899423.3808899922</v>
      </c>
      <c r="K37" s="168">
        <f t="shared" si="0"/>
        <v>8270385.8414656688</v>
      </c>
      <c r="L37" s="42"/>
      <c r="M37" s="42"/>
      <c r="N37" s="42"/>
      <c r="O37" s="42"/>
      <c r="P37" s="42"/>
      <c r="Q37" s="42"/>
    </row>
    <row r="38" spans="1:17" ht="15" customHeight="1">
      <c r="A38" s="438"/>
      <c r="B38" s="437"/>
      <c r="C38" s="154" t="s">
        <v>29</v>
      </c>
      <c r="D38" s="155">
        <v>1307.1184521262633</v>
      </c>
      <c r="E38" s="156">
        <v>137.45230884149029</v>
      </c>
      <c r="F38" s="156">
        <v>1172.9791526624001</v>
      </c>
      <c r="G38" s="157">
        <f t="shared" si="3"/>
        <v>2617.5499136301537</v>
      </c>
      <c r="H38" s="155">
        <v>14337.659091000012</v>
      </c>
      <c r="I38" s="156">
        <v>1518.1267499999985</v>
      </c>
      <c r="J38" s="156">
        <v>12906.068440000006</v>
      </c>
      <c r="K38" s="158">
        <f t="shared" si="0"/>
        <v>28761.854281000018</v>
      </c>
      <c r="L38" s="42"/>
      <c r="M38" s="42"/>
      <c r="N38" s="42"/>
      <c r="O38" s="42"/>
      <c r="P38" s="42"/>
      <c r="Q38" s="42"/>
    </row>
    <row r="39" spans="1:17" ht="15" customHeight="1">
      <c r="A39" s="438"/>
      <c r="B39" s="442"/>
      <c r="C39" s="159" t="s">
        <v>25</v>
      </c>
      <c r="D39" s="160">
        <v>238219.819514809</v>
      </c>
      <c r="E39" s="161">
        <v>253065.83908751074</v>
      </c>
      <c r="F39" s="161">
        <v>265175.47016614798</v>
      </c>
      <c r="G39" s="162">
        <f t="shared" si="3"/>
        <v>756461.12876846781</v>
      </c>
      <c r="H39" s="160">
        <v>2610907.5625816723</v>
      </c>
      <c r="I39" s="161">
        <v>2775910.683835004</v>
      </c>
      <c r="J39" s="161">
        <v>2912329.4493299923</v>
      </c>
      <c r="K39" s="163">
        <f t="shared" si="0"/>
        <v>8299147.6957466695</v>
      </c>
      <c r="L39" s="42"/>
      <c r="M39" s="42"/>
      <c r="N39" s="42"/>
      <c r="O39" s="42"/>
      <c r="P39" s="42"/>
      <c r="Q39" s="42"/>
    </row>
    <row r="40" spans="1:17" ht="15" customHeight="1">
      <c r="A40" s="438"/>
      <c r="B40" s="443" t="s">
        <v>314</v>
      </c>
      <c r="C40" s="164" t="s">
        <v>67</v>
      </c>
      <c r="D40" s="165">
        <v>598.68399999999997</v>
      </c>
      <c r="E40" s="166">
        <v>447.87599999999998</v>
      </c>
      <c r="F40" s="166">
        <v>611.48</v>
      </c>
      <c r="G40" s="167">
        <f t="shared" si="3"/>
        <v>1658.04</v>
      </c>
      <c r="H40" s="165">
        <v>6275.7795000000006</v>
      </c>
      <c r="I40" s="166">
        <v>4736.9055000000008</v>
      </c>
      <c r="J40" s="166">
        <v>6426.8644999999997</v>
      </c>
      <c r="K40" s="168">
        <f t="shared" si="0"/>
        <v>17439.549500000001</v>
      </c>
      <c r="L40" s="42"/>
      <c r="M40" s="42"/>
      <c r="N40" s="42"/>
      <c r="O40" s="42"/>
      <c r="P40" s="42"/>
      <c r="Q40" s="42"/>
    </row>
    <row r="41" spans="1:17" ht="15" customHeight="1">
      <c r="A41" s="438"/>
      <c r="B41" s="437"/>
      <c r="C41" s="154" t="s">
        <v>29</v>
      </c>
      <c r="D41" s="155">
        <v>0</v>
      </c>
      <c r="E41" s="156">
        <v>0</v>
      </c>
      <c r="F41" s="156">
        <v>0</v>
      </c>
      <c r="G41" s="157">
        <f t="shared" si="3"/>
        <v>0</v>
      </c>
      <c r="H41" s="155">
        <v>0</v>
      </c>
      <c r="I41" s="156">
        <v>0</v>
      </c>
      <c r="J41" s="156">
        <v>0</v>
      </c>
      <c r="K41" s="158">
        <f t="shared" si="0"/>
        <v>0</v>
      </c>
      <c r="L41" s="42"/>
      <c r="M41" s="42"/>
      <c r="N41" s="42"/>
      <c r="O41" s="42"/>
      <c r="P41" s="42"/>
      <c r="Q41" s="42"/>
    </row>
    <row r="42" spans="1:17" ht="15" customHeight="1">
      <c r="A42" s="438"/>
      <c r="B42" s="442"/>
      <c r="C42" s="159" t="s">
        <v>25</v>
      </c>
      <c r="D42" s="160">
        <v>598.68399999999997</v>
      </c>
      <c r="E42" s="161">
        <v>447.87599999999998</v>
      </c>
      <c r="F42" s="161">
        <v>611.48</v>
      </c>
      <c r="G42" s="162">
        <f t="shared" si="3"/>
        <v>1658.04</v>
      </c>
      <c r="H42" s="160">
        <v>6275.7795000000006</v>
      </c>
      <c r="I42" s="161">
        <v>4736.9055000000008</v>
      </c>
      <c r="J42" s="161">
        <v>6426.8644999999997</v>
      </c>
      <c r="K42" s="163">
        <f t="shared" si="0"/>
        <v>17439.549500000001</v>
      </c>
      <c r="L42" s="42"/>
      <c r="M42" s="42"/>
      <c r="N42" s="42"/>
      <c r="O42" s="42"/>
      <c r="P42" s="42"/>
      <c r="Q42" s="42"/>
    </row>
    <row r="43" spans="1:17" ht="15" customHeight="1">
      <c r="A43" s="438"/>
      <c r="B43" s="444" t="s">
        <v>86</v>
      </c>
      <c r="C43" s="444"/>
      <c r="D43" s="169">
        <v>111.33199999999943</v>
      </c>
      <c r="E43" s="170">
        <v>116.15699999999924</v>
      </c>
      <c r="F43" s="170">
        <v>46.72800000000052</v>
      </c>
      <c r="G43" s="171">
        <f t="shared" si="3"/>
        <v>274.21699999999919</v>
      </c>
      <c r="H43" s="169">
        <v>1269.0187200000073</v>
      </c>
      <c r="I43" s="170">
        <v>1400.9034000000029</v>
      </c>
      <c r="J43" s="170">
        <v>597.19120000000839</v>
      </c>
      <c r="K43" s="172">
        <f t="shared" si="0"/>
        <v>3267.1133200000186</v>
      </c>
      <c r="L43" s="42"/>
      <c r="M43" s="42"/>
      <c r="N43" s="42"/>
      <c r="O43" s="42"/>
      <c r="P43" s="42"/>
      <c r="Q43" s="42"/>
    </row>
    <row r="44" spans="1:17" ht="15" customHeight="1">
      <c r="A44" s="438"/>
      <c r="B44" s="444" t="s">
        <v>85</v>
      </c>
      <c r="C44" s="444"/>
      <c r="D44" s="169">
        <v>42205.248999999996</v>
      </c>
      <c r="E44" s="170">
        <v>33928.161</v>
      </c>
      <c r="F44" s="170">
        <v>36402.381000000008</v>
      </c>
      <c r="G44" s="171">
        <f t="shared" si="3"/>
        <v>112535.79100000001</v>
      </c>
      <c r="H44" s="169">
        <v>462979.60068899993</v>
      </c>
      <c r="I44" s="170">
        <v>372227.19022300001</v>
      </c>
      <c r="J44" s="170">
        <v>400638.50482999987</v>
      </c>
      <c r="K44" s="172">
        <f t="shared" si="0"/>
        <v>1235845.295742</v>
      </c>
      <c r="L44" s="42"/>
      <c r="M44" s="42"/>
      <c r="N44" s="42"/>
      <c r="O44" s="42"/>
      <c r="P44" s="42"/>
      <c r="Q44" s="42"/>
    </row>
    <row r="45" spans="1:17" ht="15" customHeight="1">
      <c r="A45" s="438"/>
      <c r="B45" s="437" t="s">
        <v>30</v>
      </c>
      <c r="C45" s="154" t="s">
        <v>67</v>
      </c>
      <c r="D45" s="155">
        <v>279716.63406268274</v>
      </c>
      <c r="E45" s="156">
        <v>287304.42377866927</v>
      </c>
      <c r="F45" s="156">
        <v>301016.35201348556</v>
      </c>
      <c r="G45" s="157">
        <f t="shared" si="3"/>
        <v>868037.40985483746</v>
      </c>
      <c r="H45" s="155">
        <v>3065825.2836796725</v>
      </c>
      <c r="I45" s="156">
        <v>3151356.6528080041</v>
      </c>
      <c r="J45" s="156">
        <v>3306488.7502199924</v>
      </c>
      <c r="K45" s="158">
        <f t="shared" si="0"/>
        <v>9523670.686707668</v>
      </c>
      <c r="L45" s="42"/>
      <c r="M45" s="42"/>
      <c r="N45" s="42"/>
      <c r="O45" s="42"/>
      <c r="P45" s="42"/>
      <c r="Q45" s="42"/>
    </row>
    <row r="46" spans="1:17" ht="15" customHeight="1">
      <c r="A46" s="438"/>
      <c r="B46" s="437"/>
      <c r="C46" s="154" t="s">
        <v>94</v>
      </c>
      <c r="D46" s="155">
        <v>1420.2454921262627</v>
      </c>
      <c r="E46" s="156">
        <v>308.87319884148951</v>
      </c>
      <c r="F46" s="156">
        <v>1237.5221526624007</v>
      </c>
      <c r="G46" s="157">
        <f t="shared" si="3"/>
        <v>2966.6408436301526</v>
      </c>
      <c r="H46" s="155">
        <v>15626.359576000019</v>
      </c>
      <c r="I46" s="156">
        <v>3525.4763180000014</v>
      </c>
      <c r="J46" s="156">
        <v>13698.718703000015</v>
      </c>
      <c r="K46" s="158">
        <f t="shared" si="0"/>
        <v>32850.554597000038</v>
      </c>
      <c r="L46" s="42"/>
      <c r="M46" s="42"/>
      <c r="N46" s="42"/>
      <c r="O46" s="42"/>
      <c r="P46" s="42"/>
      <c r="Q46" s="42"/>
    </row>
    <row r="47" spans="1:17" ht="15" customHeight="1">
      <c r="A47" s="439"/>
      <c r="B47" s="442"/>
      <c r="C47" s="159" t="s">
        <v>25</v>
      </c>
      <c r="D47" s="160">
        <v>281136.87955480901</v>
      </c>
      <c r="E47" s="161">
        <v>287613.29697751073</v>
      </c>
      <c r="F47" s="161">
        <v>302253.87416614796</v>
      </c>
      <c r="G47" s="162">
        <f>SUM(D47:F47)</f>
        <v>871004.05069846776</v>
      </c>
      <c r="H47" s="160">
        <v>3081451.6432556724</v>
      </c>
      <c r="I47" s="161">
        <v>3154882.1291260039</v>
      </c>
      <c r="J47" s="161">
        <v>3320187.4689229922</v>
      </c>
      <c r="K47" s="163">
        <f t="shared" si="0"/>
        <v>9556521.2413046695</v>
      </c>
      <c r="L47" s="42"/>
      <c r="M47" s="42"/>
      <c r="N47" s="42"/>
      <c r="O47" s="42"/>
      <c r="P47" s="42"/>
      <c r="Q47" s="42"/>
    </row>
    <row r="48" spans="1:17" ht="0.95" customHeight="1">
      <c r="A48" s="151"/>
      <c r="B48" s="152"/>
      <c r="C48" s="173"/>
      <c r="D48" s="155"/>
      <c r="E48" s="156"/>
      <c r="F48" s="156"/>
      <c r="G48" s="157"/>
      <c r="H48" s="155"/>
      <c r="I48" s="156"/>
      <c r="J48" s="156"/>
      <c r="K48" s="158"/>
      <c r="L48" s="42"/>
      <c r="M48" s="42"/>
      <c r="N48" s="42"/>
      <c r="O48" s="42"/>
      <c r="P48" s="42"/>
      <c r="Q48" s="42"/>
    </row>
    <row r="49" spans="1:17" ht="0.95" customHeight="1">
      <c r="A49" s="151"/>
      <c r="B49" s="152"/>
      <c r="C49" s="173"/>
      <c r="D49" s="155"/>
      <c r="E49" s="156"/>
      <c r="F49" s="156"/>
      <c r="G49" s="157"/>
      <c r="H49" s="155"/>
      <c r="I49" s="156"/>
      <c r="J49" s="156"/>
      <c r="K49" s="158"/>
      <c r="L49" s="42"/>
      <c r="M49" s="42"/>
      <c r="N49" s="42"/>
      <c r="O49" s="42"/>
      <c r="P49" s="42"/>
      <c r="Q49" s="42"/>
    </row>
    <row r="50" spans="1:17" ht="0.95" customHeight="1">
      <c r="A50" s="151"/>
      <c r="B50" s="152"/>
      <c r="C50" s="173"/>
      <c r="D50" s="155"/>
      <c r="E50" s="156"/>
      <c r="F50" s="156"/>
      <c r="G50" s="157"/>
      <c r="H50" s="155"/>
      <c r="I50" s="156"/>
      <c r="J50" s="156"/>
      <c r="K50" s="158"/>
      <c r="L50" s="42"/>
      <c r="M50" s="42"/>
      <c r="N50" s="42"/>
      <c r="O50" s="42"/>
      <c r="P50" s="42"/>
      <c r="Q50" s="42"/>
    </row>
    <row r="51" spans="1:17" ht="15" customHeight="1">
      <c r="A51" s="441" t="s">
        <v>97</v>
      </c>
      <c r="B51" s="441"/>
      <c r="C51" s="441"/>
      <c r="D51" s="160">
        <v>-812.37878575664945</v>
      </c>
      <c r="E51" s="161">
        <v>4583.2235702864709</v>
      </c>
      <c r="F51" s="161">
        <v>-1485.3630904303282</v>
      </c>
      <c r="G51" s="162">
        <f t="shared" si="3"/>
        <v>2285.4816940994933</v>
      </c>
      <c r="H51" s="160">
        <v>-10725.152223026846</v>
      </c>
      <c r="I51" s="161">
        <v>58145.15033801971</v>
      </c>
      <c r="J51" s="161">
        <v>-18942.365284721833</v>
      </c>
      <c r="K51" s="163">
        <f>SUM(H51:J51)</f>
        <v>28477.632830271032</v>
      </c>
      <c r="L51" s="42"/>
      <c r="M51" s="42"/>
      <c r="N51" s="42"/>
      <c r="O51" s="42"/>
      <c r="P51" s="42"/>
      <c r="Q51" s="42"/>
    </row>
    <row r="52" spans="1:17" ht="5.0999999999999996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M52" s="42"/>
    </row>
    <row r="53" spans="1:17">
      <c r="A53" s="427" t="s">
        <v>317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</row>
    <row r="54" spans="1:17">
      <c r="A54" s="427"/>
      <c r="B54" s="427"/>
      <c r="C54" s="427"/>
      <c r="D54" s="427"/>
      <c r="E54" s="427"/>
      <c r="F54" s="427"/>
      <c r="G54" s="427"/>
      <c r="H54" s="427"/>
      <c r="I54" s="427"/>
      <c r="J54" s="427"/>
      <c r="K54" s="427"/>
    </row>
    <row r="55" spans="1:17">
      <c r="A55" s="427"/>
      <c r="B55" s="427"/>
      <c r="C55" s="427"/>
      <c r="D55" s="427"/>
      <c r="E55" s="427"/>
      <c r="F55" s="427"/>
      <c r="G55" s="427"/>
      <c r="H55" s="427"/>
      <c r="I55" s="427"/>
      <c r="J55" s="427"/>
      <c r="K55" s="427"/>
    </row>
    <row r="56" spans="1:17">
      <c r="A56" s="427"/>
      <c r="B56" s="427"/>
      <c r="C56" s="427"/>
      <c r="D56" s="427"/>
      <c r="E56" s="427"/>
      <c r="F56" s="427"/>
      <c r="G56" s="427"/>
      <c r="H56" s="427"/>
      <c r="I56" s="427"/>
      <c r="J56" s="427"/>
      <c r="K56" s="427"/>
    </row>
  </sheetData>
  <mergeCells count="25">
    <mergeCell ref="A51:C51"/>
    <mergeCell ref="A28:A36"/>
    <mergeCell ref="B28:B30"/>
    <mergeCell ref="B31:B33"/>
    <mergeCell ref="B34:B36"/>
    <mergeCell ref="B37:B39"/>
    <mergeCell ref="B40:B42"/>
    <mergeCell ref="B43:C43"/>
    <mergeCell ref="B44:C44"/>
    <mergeCell ref="A53:K56"/>
    <mergeCell ref="A2:K2"/>
    <mergeCell ref="D3:K3"/>
    <mergeCell ref="D4:G4"/>
    <mergeCell ref="H4:K4"/>
    <mergeCell ref="B6:B8"/>
    <mergeCell ref="B9:B11"/>
    <mergeCell ref="B12:B14"/>
    <mergeCell ref="A6:A14"/>
    <mergeCell ref="B15:B18"/>
    <mergeCell ref="B19:B22"/>
    <mergeCell ref="B23:B26"/>
    <mergeCell ref="A15:A27"/>
    <mergeCell ref="B27:C27"/>
    <mergeCell ref="B45:B47"/>
    <mergeCell ref="A37:A4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3"/>
  <sheetViews>
    <sheetView showGridLines="0" zoomScaleNormal="100" zoomScaleSheetLayoutView="100" workbookViewId="0">
      <selection activeCell="G1" sqref="G1"/>
    </sheetView>
  </sheetViews>
  <sheetFormatPr defaultRowHeight="11.25"/>
  <cols>
    <col min="1" max="1" width="8.28515625" style="12" customWidth="1"/>
    <col min="2" max="7" width="7.28515625" style="12" customWidth="1"/>
    <col min="8" max="8" width="6.7109375" style="12" customWidth="1"/>
    <col min="9" max="10" width="8.28515625" style="12" customWidth="1"/>
    <col min="11" max="11" width="8" style="12" customWidth="1"/>
    <col min="12" max="12" width="7.7109375" style="12" customWidth="1"/>
    <col min="13" max="16" width="7.42578125" style="12" customWidth="1"/>
    <col min="17" max="17" width="6.7109375" style="12" customWidth="1"/>
    <col min="18" max="18" width="8.28515625" style="12" customWidth="1"/>
    <col min="19" max="19" width="8.140625" style="12" customWidth="1"/>
    <col min="20" max="20" width="9.28515625" style="12" bestFit="1" customWidth="1"/>
    <col min="21" max="21" width="11.42578125" style="12" bestFit="1" customWidth="1"/>
    <col min="22" max="260" width="9.140625" style="12"/>
    <col min="261" max="273" width="10.7109375" style="12" customWidth="1"/>
    <col min="274" max="516" width="9.140625" style="12"/>
    <col min="517" max="529" width="10.7109375" style="12" customWidth="1"/>
    <col min="530" max="772" width="9.140625" style="12"/>
    <col min="773" max="785" width="10.7109375" style="12" customWidth="1"/>
    <col min="786" max="1028" width="9.140625" style="12"/>
    <col min="1029" max="1041" width="10.7109375" style="12" customWidth="1"/>
    <col min="1042" max="1284" width="9.140625" style="12"/>
    <col min="1285" max="1297" width="10.7109375" style="12" customWidth="1"/>
    <col min="1298" max="1540" width="9.140625" style="12"/>
    <col min="1541" max="1553" width="10.7109375" style="12" customWidth="1"/>
    <col min="1554" max="1796" width="9.140625" style="12"/>
    <col min="1797" max="1809" width="10.7109375" style="12" customWidth="1"/>
    <col min="1810" max="2052" width="9.140625" style="12"/>
    <col min="2053" max="2065" width="10.7109375" style="12" customWidth="1"/>
    <col min="2066" max="2308" width="9.140625" style="12"/>
    <col min="2309" max="2321" width="10.7109375" style="12" customWidth="1"/>
    <col min="2322" max="2564" width="9.140625" style="12"/>
    <col min="2565" max="2577" width="10.7109375" style="12" customWidth="1"/>
    <col min="2578" max="2820" width="9.140625" style="12"/>
    <col min="2821" max="2833" width="10.7109375" style="12" customWidth="1"/>
    <col min="2834" max="3076" width="9.140625" style="12"/>
    <col min="3077" max="3089" width="10.7109375" style="12" customWidth="1"/>
    <col min="3090" max="3332" width="9.140625" style="12"/>
    <col min="3333" max="3345" width="10.7109375" style="12" customWidth="1"/>
    <col min="3346" max="3588" width="9.140625" style="12"/>
    <col min="3589" max="3601" width="10.7109375" style="12" customWidth="1"/>
    <col min="3602" max="3844" width="9.140625" style="12"/>
    <col min="3845" max="3857" width="10.7109375" style="12" customWidth="1"/>
    <col min="3858" max="4100" width="9.140625" style="12"/>
    <col min="4101" max="4113" width="10.7109375" style="12" customWidth="1"/>
    <col min="4114" max="4356" width="9.140625" style="12"/>
    <col min="4357" max="4369" width="10.7109375" style="12" customWidth="1"/>
    <col min="4370" max="4612" width="9.140625" style="12"/>
    <col min="4613" max="4625" width="10.7109375" style="12" customWidth="1"/>
    <col min="4626" max="4868" width="9.140625" style="12"/>
    <col min="4869" max="4881" width="10.7109375" style="12" customWidth="1"/>
    <col min="4882" max="5124" width="9.140625" style="12"/>
    <col min="5125" max="5137" width="10.7109375" style="12" customWidth="1"/>
    <col min="5138" max="5380" width="9.140625" style="12"/>
    <col min="5381" max="5393" width="10.7109375" style="12" customWidth="1"/>
    <col min="5394" max="5636" width="9.140625" style="12"/>
    <col min="5637" max="5649" width="10.7109375" style="12" customWidth="1"/>
    <col min="5650" max="5892" width="9.140625" style="12"/>
    <col min="5893" max="5905" width="10.7109375" style="12" customWidth="1"/>
    <col min="5906" max="6148" width="9.140625" style="12"/>
    <col min="6149" max="6161" width="10.7109375" style="12" customWidth="1"/>
    <col min="6162" max="6404" width="9.140625" style="12"/>
    <col min="6405" max="6417" width="10.7109375" style="12" customWidth="1"/>
    <col min="6418" max="6660" width="9.140625" style="12"/>
    <col min="6661" max="6673" width="10.7109375" style="12" customWidth="1"/>
    <col min="6674" max="6916" width="9.140625" style="12"/>
    <col min="6917" max="6929" width="10.7109375" style="12" customWidth="1"/>
    <col min="6930" max="7172" width="9.140625" style="12"/>
    <col min="7173" max="7185" width="10.7109375" style="12" customWidth="1"/>
    <col min="7186" max="7428" width="9.140625" style="12"/>
    <col min="7429" max="7441" width="10.7109375" style="12" customWidth="1"/>
    <col min="7442" max="7684" width="9.140625" style="12"/>
    <col min="7685" max="7697" width="10.7109375" style="12" customWidth="1"/>
    <col min="7698" max="7940" width="9.140625" style="12"/>
    <col min="7941" max="7953" width="10.7109375" style="12" customWidth="1"/>
    <col min="7954" max="8196" width="9.140625" style="12"/>
    <col min="8197" max="8209" width="10.7109375" style="12" customWidth="1"/>
    <col min="8210" max="8452" width="9.140625" style="12"/>
    <col min="8453" max="8465" width="10.7109375" style="12" customWidth="1"/>
    <col min="8466" max="8708" width="9.140625" style="12"/>
    <col min="8709" max="8721" width="10.7109375" style="12" customWidth="1"/>
    <col min="8722" max="8964" width="9.140625" style="12"/>
    <col min="8965" max="8977" width="10.7109375" style="12" customWidth="1"/>
    <col min="8978" max="9220" width="9.140625" style="12"/>
    <col min="9221" max="9233" width="10.7109375" style="12" customWidth="1"/>
    <col min="9234" max="9476" width="9.140625" style="12"/>
    <col min="9477" max="9489" width="10.7109375" style="12" customWidth="1"/>
    <col min="9490" max="9732" width="9.140625" style="12"/>
    <col min="9733" max="9745" width="10.7109375" style="12" customWidth="1"/>
    <col min="9746" max="9988" width="9.140625" style="12"/>
    <col min="9989" max="10001" width="10.7109375" style="12" customWidth="1"/>
    <col min="10002" max="10244" width="9.140625" style="12"/>
    <col min="10245" max="10257" width="10.7109375" style="12" customWidth="1"/>
    <col min="10258" max="10500" width="9.140625" style="12"/>
    <col min="10501" max="10513" width="10.7109375" style="12" customWidth="1"/>
    <col min="10514" max="10756" width="9.140625" style="12"/>
    <col min="10757" max="10769" width="10.7109375" style="12" customWidth="1"/>
    <col min="10770" max="11012" width="9.140625" style="12"/>
    <col min="11013" max="11025" width="10.7109375" style="12" customWidth="1"/>
    <col min="11026" max="11268" width="9.140625" style="12"/>
    <col min="11269" max="11281" width="10.7109375" style="12" customWidth="1"/>
    <col min="11282" max="11524" width="9.140625" style="12"/>
    <col min="11525" max="11537" width="10.7109375" style="12" customWidth="1"/>
    <col min="11538" max="11780" width="9.140625" style="12"/>
    <col min="11781" max="11793" width="10.7109375" style="12" customWidth="1"/>
    <col min="11794" max="12036" width="9.140625" style="12"/>
    <col min="12037" max="12049" width="10.7109375" style="12" customWidth="1"/>
    <col min="12050" max="12292" width="9.140625" style="12"/>
    <col min="12293" max="12305" width="10.7109375" style="12" customWidth="1"/>
    <col min="12306" max="12548" width="9.140625" style="12"/>
    <col min="12549" max="12561" width="10.7109375" style="12" customWidth="1"/>
    <col min="12562" max="12804" width="9.140625" style="12"/>
    <col min="12805" max="12817" width="10.7109375" style="12" customWidth="1"/>
    <col min="12818" max="13060" width="9.140625" style="12"/>
    <col min="13061" max="13073" width="10.7109375" style="12" customWidth="1"/>
    <col min="13074" max="13316" width="9.140625" style="12"/>
    <col min="13317" max="13329" width="10.7109375" style="12" customWidth="1"/>
    <col min="13330" max="13572" width="9.140625" style="12"/>
    <col min="13573" max="13585" width="10.7109375" style="12" customWidth="1"/>
    <col min="13586" max="13828" width="9.140625" style="12"/>
    <col min="13829" max="13841" width="10.7109375" style="12" customWidth="1"/>
    <col min="13842" max="14084" width="9.140625" style="12"/>
    <col min="14085" max="14097" width="10.7109375" style="12" customWidth="1"/>
    <col min="14098" max="14340" width="9.140625" style="12"/>
    <col min="14341" max="14353" width="10.7109375" style="12" customWidth="1"/>
    <col min="14354" max="14596" width="9.140625" style="12"/>
    <col min="14597" max="14609" width="10.7109375" style="12" customWidth="1"/>
    <col min="14610" max="14852" width="9.140625" style="12"/>
    <col min="14853" max="14865" width="10.7109375" style="12" customWidth="1"/>
    <col min="14866" max="15108" width="9.140625" style="12"/>
    <col min="15109" max="15121" width="10.7109375" style="12" customWidth="1"/>
    <col min="15122" max="15364" width="9.140625" style="12"/>
    <col min="15365" max="15377" width="10.7109375" style="12" customWidth="1"/>
    <col min="15378" max="15620" width="9.140625" style="12"/>
    <col min="15621" max="15633" width="10.7109375" style="12" customWidth="1"/>
    <col min="15634" max="15876" width="9.140625" style="12"/>
    <col min="15877" max="15889" width="10.7109375" style="12" customWidth="1"/>
    <col min="15890" max="16132" width="9.140625" style="12"/>
    <col min="16133" max="16145" width="10.7109375" style="12" customWidth="1"/>
    <col min="16146" max="16384" width="9.140625" style="12"/>
  </cols>
  <sheetData>
    <row r="1" spans="1:23" ht="18">
      <c r="A1" s="450" t="s">
        <v>293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</row>
    <row r="2" spans="1:23" ht="6" customHeight="1">
      <c r="A2" s="175"/>
      <c r="B2" s="448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</row>
    <row r="3" spans="1:23" ht="15.95" customHeight="1">
      <c r="A3" s="205">
        <f>'3.1'!A4</f>
        <v>2023</v>
      </c>
      <c r="B3" s="456" t="s">
        <v>260</v>
      </c>
      <c r="C3" s="457"/>
      <c r="D3" s="457"/>
      <c r="E3" s="457"/>
      <c r="F3" s="457"/>
      <c r="G3" s="457"/>
      <c r="H3" s="457"/>
      <c r="I3" s="457"/>
      <c r="J3" s="458"/>
      <c r="K3" s="457" t="s">
        <v>218</v>
      </c>
      <c r="L3" s="457"/>
      <c r="M3" s="457"/>
      <c r="N3" s="457"/>
      <c r="O3" s="457"/>
      <c r="P3" s="457"/>
      <c r="Q3" s="457"/>
      <c r="R3" s="457"/>
      <c r="S3" s="457"/>
    </row>
    <row r="4" spans="1:23" ht="34.5" customHeight="1">
      <c r="A4" s="191"/>
      <c r="B4" s="445" t="s">
        <v>192</v>
      </c>
      <c r="C4" s="446"/>
      <c r="D4" s="446"/>
      <c r="E4" s="445" t="s">
        <v>193</v>
      </c>
      <c r="F4" s="446"/>
      <c r="G4" s="451"/>
      <c r="H4" s="452" t="s">
        <v>247</v>
      </c>
      <c r="I4" s="452" t="s">
        <v>189</v>
      </c>
      <c r="J4" s="454" t="s">
        <v>64</v>
      </c>
      <c r="K4" s="445" t="s">
        <v>192</v>
      </c>
      <c r="L4" s="446"/>
      <c r="M4" s="446"/>
      <c r="N4" s="445" t="s">
        <v>193</v>
      </c>
      <c r="O4" s="446"/>
      <c r="P4" s="451"/>
      <c r="Q4" s="452" t="s">
        <v>247</v>
      </c>
      <c r="R4" s="452" t="s">
        <v>189</v>
      </c>
      <c r="S4" s="452" t="s">
        <v>64</v>
      </c>
    </row>
    <row r="5" spans="1:23" ht="33.75">
      <c r="A5" s="192"/>
      <c r="B5" s="193" t="s">
        <v>21</v>
      </c>
      <c r="C5" s="194" t="s">
        <v>22</v>
      </c>
      <c r="D5" s="194" t="s">
        <v>191</v>
      </c>
      <c r="E5" s="193" t="s">
        <v>26</v>
      </c>
      <c r="F5" s="194" t="s">
        <v>27</v>
      </c>
      <c r="G5" s="195" t="s">
        <v>190</v>
      </c>
      <c r="H5" s="453"/>
      <c r="I5" s="453"/>
      <c r="J5" s="455"/>
      <c r="K5" s="194" t="s">
        <v>21</v>
      </c>
      <c r="L5" s="194" t="s">
        <v>22</v>
      </c>
      <c r="M5" s="194" t="s">
        <v>191</v>
      </c>
      <c r="N5" s="193" t="s">
        <v>26</v>
      </c>
      <c r="O5" s="194" t="s">
        <v>27</v>
      </c>
      <c r="P5" s="195" t="s">
        <v>190</v>
      </c>
      <c r="Q5" s="453"/>
      <c r="R5" s="453"/>
      <c r="S5" s="453"/>
    </row>
    <row r="6" spans="1:23" ht="12" customHeight="1">
      <c r="A6" s="176" t="s">
        <v>160</v>
      </c>
      <c r="B6" s="183">
        <v>611.86680951218455</v>
      </c>
      <c r="C6" s="177">
        <v>171.69380494119213</v>
      </c>
      <c r="D6" s="178">
        <v>440.17300457099242</v>
      </c>
      <c r="E6" s="189">
        <v>484.49456099999998</v>
      </c>
      <c r="F6" s="178">
        <v>50.764979000000004</v>
      </c>
      <c r="G6" s="185">
        <v>433.72958199999999</v>
      </c>
      <c r="H6" s="178">
        <v>11.429833030000001</v>
      </c>
      <c r="I6" s="178">
        <v>6.4471909485906362</v>
      </c>
      <c r="J6" s="185">
        <v>891.77961054958303</v>
      </c>
      <c r="K6" s="177">
        <v>6703.0347359069992</v>
      </c>
      <c r="L6" s="177">
        <v>1877.7108948210991</v>
      </c>
      <c r="M6" s="178">
        <v>4825.3238410859003</v>
      </c>
      <c r="N6" s="189">
        <v>5235.5694960000001</v>
      </c>
      <c r="O6" s="178">
        <v>556.08799066200004</v>
      </c>
      <c r="P6" s="185">
        <v>4679.4815053379998</v>
      </c>
      <c r="Q6" s="178">
        <v>124.53157613861373</v>
      </c>
      <c r="R6" s="178">
        <v>85.226372987484552</v>
      </c>
      <c r="S6" s="178">
        <v>9714.5632955500005</v>
      </c>
      <c r="T6" s="56"/>
      <c r="U6" s="57"/>
      <c r="V6" s="57"/>
      <c r="W6" s="57"/>
    </row>
    <row r="7" spans="1:23" ht="12" customHeight="1">
      <c r="A7" s="176" t="s">
        <v>161</v>
      </c>
      <c r="B7" s="183">
        <v>541.66979960431695</v>
      </c>
      <c r="C7" s="178">
        <v>191.63640082004457</v>
      </c>
      <c r="D7" s="178">
        <v>350.03339878427238</v>
      </c>
      <c r="E7" s="189">
        <v>502.731177</v>
      </c>
      <c r="F7" s="178">
        <v>0.45966299999999999</v>
      </c>
      <c r="G7" s="185">
        <v>502.27151400000002</v>
      </c>
      <c r="H7" s="178">
        <v>9.5859170000000002</v>
      </c>
      <c r="I7" s="178">
        <v>-1.1235212093694136</v>
      </c>
      <c r="J7" s="185">
        <v>860.76730857490304</v>
      </c>
      <c r="K7" s="177">
        <v>5941.867697744</v>
      </c>
      <c r="L7" s="178">
        <v>2104.3301660154002</v>
      </c>
      <c r="M7" s="178">
        <v>3837.5375317285998</v>
      </c>
      <c r="N7" s="189">
        <v>5409.0646379999998</v>
      </c>
      <c r="O7" s="178">
        <v>4.9343472260000008</v>
      </c>
      <c r="P7" s="185">
        <v>5404.1302907740001</v>
      </c>
      <c r="Q7" s="178">
        <v>104.29196078706303</v>
      </c>
      <c r="R7" s="178">
        <v>-4.5704322936646644</v>
      </c>
      <c r="S7" s="178">
        <v>9341.389350995998</v>
      </c>
      <c r="T7" s="58"/>
      <c r="U7" s="57"/>
      <c r="V7" s="57"/>
      <c r="W7" s="57"/>
    </row>
    <row r="8" spans="1:23" ht="12" customHeight="1">
      <c r="A8" s="179" t="s">
        <v>162</v>
      </c>
      <c r="B8" s="184">
        <v>558.67411079116368</v>
      </c>
      <c r="C8" s="181">
        <v>85.842169319862464</v>
      </c>
      <c r="D8" s="181">
        <v>472.83194147130121</v>
      </c>
      <c r="E8" s="190">
        <v>315.244956</v>
      </c>
      <c r="F8" s="181">
        <v>29.267647000000004</v>
      </c>
      <c r="G8" s="186">
        <v>285.97730899999999</v>
      </c>
      <c r="H8" s="181">
        <v>10.388249999999998</v>
      </c>
      <c r="I8" s="181">
        <v>7.0540718943811948E-2</v>
      </c>
      <c r="J8" s="186">
        <v>769.26804119024496</v>
      </c>
      <c r="K8" s="180">
        <v>6090.274693938999</v>
      </c>
      <c r="L8" s="181">
        <v>938.80963298649999</v>
      </c>
      <c r="M8" s="181">
        <v>5151.4650609524988</v>
      </c>
      <c r="N8" s="190">
        <v>3382.9934250000001</v>
      </c>
      <c r="O8" s="181">
        <v>319.51087461499998</v>
      </c>
      <c r="P8" s="186">
        <v>3063.4825503850002</v>
      </c>
      <c r="Q8" s="181">
        <v>113.01811002280003</v>
      </c>
      <c r="R8" s="181">
        <v>12.053693321652711</v>
      </c>
      <c r="S8" s="181">
        <v>8340.019414681954</v>
      </c>
      <c r="T8" s="59"/>
      <c r="U8" s="57"/>
      <c r="V8" s="57"/>
      <c r="W8" s="57"/>
    </row>
    <row r="9" spans="1:23" ht="12" customHeight="1">
      <c r="A9" s="176" t="s">
        <v>163</v>
      </c>
      <c r="B9" s="183">
        <v>678.89586636549586</v>
      </c>
      <c r="C9" s="178">
        <v>59.800538558553114</v>
      </c>
      <c r="D9" s="178">
        <v>619.09532780694281</v>
      </c>
      <c r="E9" s="189">
        <v>79.391479000000004</v>
      </c>
      <c r="F9" s="178">
        <v>102.569807</v>
      </c>
      <c r="G9" s="185">
        <v>-23.178327999999993</v>
      </c>
      <c r="H9" s="178">
        <v>8.0882229999999975</v>
      </c>
      <c r="I9" s="178">
        <v>2.4626851154144389</v>
      </c>
      <c r="J9" s="185">
        <v>606.4679079223572</v>
      </c>
      <c r="K9" s="177">
        <v>7418.138626072001</v>
      </c>
      <c r="L9" s="178">
        <v>650.37435719929999</v>
      </c>
      <c r="M9" s="178">
        <v>6767.764268872701</v>
      </c>
      <c r="N9" s="189">
        <v>854.34278900000015</v>
      </c>
      <c r="O9" s="178">
        <v>1121.3457927510001</v>
      </c>
      <c r="P9" s="185">
        <v>-267.00300375099994</v>
      </c>
      <c r="Q9" s="178">
        <v>87.648378846299977</v>
      </c>
      <c r="R9" s="178">
        <v>27.10616046995856</v>
      </c>
      <c r="S9" s="178">
        <v>6615.5158044379586</v>
      </c>
      <c r="T9" s="58"/>
      <c r="U9" s="57"/>
      <c r="V9" s="57"/>
      <c r="W9" s="57"/>
    </row>
    <row r="10" spans="1:23" ht="12" customHeight="1">
      <c r="A10" s="176" t="s">
        <v>164</v>
      </c>
      <c r="B10" s="183">
        <v>1032.1800539226767</v>
      </c>
      <c r="C10" s="178">
        <v>66.096829012414332</v>
      </c>
      <c r="D10" s="178">
        <v>966.0832249102624</v>
      </c>
      <c r="E10" s="189">
        <v>2.5809000000000002E-2</v>
      </c>
      <c r="F10" s="178">
        <v>612.77381700000001</v>
      </c>
      <c r="G10" s="185">
        <v>-612.74800800000003</v>
      </c>
      <c r="H10" s="178">
        <v>8.9483610000000002</v>
      </c>
      <c r="I10" s="178">
        <v>6.5704304657205359</v>
      </c>
      <c r="J10" s="185">
        <v>368.85400837598286</v>
      </c>
      <c r="K10" s="177">
        <v>11281.423186431</v>
      </c>
      <c r="L10" s="178">
        <v>720.7850049635</v>
      </c>
      <c r="M10" s="178">
        <v>10560.638181467501</v>
      </c>
      <c r="N10" s="189">
        <v>0.28195600000000004</v>
      </c>
      <c r="O10" s="178">
        <v>6700.8311898170004</v>
      </c>
      <c r="P10" s="185">
        <v>-6700.5492338170006</v>
      </c>
      <c r="Q10" s="178">
        <v>97.352468173100021</v>
      </c>
      <c r="R10" s="178">
        <v>80.930372539317702</v>
      </c>
      <c r="S10" s="178">
        <v>4038.3717883629174</v>
      </c>
      <c r="T10" s="58"/>
      <c r="U10" s="57"/>
      <c r="V10" s="57"/>
      <c r="W10" s="57"/>
    </row>
    <row r="11" spans="1:23" ht="12" customHeight="1">
      <c r="A11" s="179" t="s">
        <v>165</v>
      </c>
      <c r="B11" s="184">
        <v>889.48322247170688</v>
      </c>
      <c r="C11" s="181">
        <v>25.522451097333597</v>
      </c>
      <c r="D11" s="181">
        <v>863.96077137437328</v>
      </c>
      <c r="E11" s="190">
        <v>0.235014</v>
      </c>
      <c r="F11" s="181">
        <v>558.38072299999999</v>
      </c>
      <c r="G11" s="186">
        <v>-558.14570900000001</v>
      </c>
      <c r="H11" s="181">
        <v>7.7560479999999998</v>
      </c>
      <c r="I11" s="181">
        <v>0.38204125409340484</v>
      </c>
      <c r="J11" s="186">
        <v>313.95315162846674</v>
      </c>
      <c r="K11" s="180">
        <v>9718.507424292</v>
      </c>
      <c r="L11" s="181">
        <v>278.17757378269999</v>
      </c>
      <c r="M11" s="181">
        <v>9440.3298505093007</v>
      </c>
      <c r="N11" s="190">
        <v>2.5450689999999998</v>
      </c>
      <c r="O11" s="181">
        <v>6106.3090592620001</v>
      </c>
      <c r="P11" s="186">
        <v>-6103.7639902620003</v>
      </c>
      <c r="Q11" s="181">
        <v>84.586691749199986</v>
      </c>
      <c r="R11" s="181">
        <v>17.861360899369696</v>
      </c>
      <c r="S11" s="181">
        <v>3439.0139128958708</v>
      </c>
      <c r="T11" s="58"/>
      <c r="U11" s="57"/>
      <c r="V11" s="57"/>
      <c r="W11" s="57"/>
    </row>
    <row r="12" spans="1:23" ht="12" customHeight="1">
      <c r="A12" s="176" t="s">
        <v>166</v>
      </c>
      <c r="B12" s="183">
        <v>572.47818055688651</v>
      </c>
      <c r="C12" s="178">
        <v>78.775960216320897</v>
      </c>
      <c r="D12" s="178">
        <v>493.70222034056565</v>
      </c>
      <c r="E12" s="189">
        <v>0</v>
      </c>
      <c r="F12" s="178">
        <v>219.44287299999996</v>
      </c>
      <c r="G12" s="185">
        <v>-219.44287299999996</v>
      </c>
      <c r="H12" s="178">
        <v>7.6899110000000004</v>
      </c>
      <c r="I12" s="178">
        <v>-0.81237878575664946</v>
      </c>
      <c r="J12" s="185">
        <v>281.13687955480901</v>
      </c>
      <c r="K12" s="177">
        <v>6272.974601123</v>
      </c>
      <c r="L12" s="178">
        <v>862.08577483599993</v>
      </c>
      <c r="M12" s="178">
        <v>5410.8888262870005</v>
      </c>
      <c r="N12" s="189">
        <v>0</v>
      </c>
      <c r="O12" s="178">
        <v>2402.7875924980003</v>
      </c>
      <c r="P12" s="185">
        <v>-2402.7875924980003</v>
      </c>
      <c r="Q12" s="178">
        <v>84.07556168970001</v>
      </c>
      <c r="R12" s="178">
        <v>-10.725152223026846</v>
      </c>
      <c r="S12" s="178">
        <v>3081.4516432556725</v>
      </c>
      <c r="T12" s="58"/>
      <c r="U12" s="57"/>
      <c r="V12" s="57"/>
      <c r="W12" s="57"/>
    </row>
    <row r="13" spans="1:23" ht="12" customHeight="1">
      <c r="A13" s="176" t="s">
        <v>167</v>
      </c>
      <c r="B13" s="183">
        <v>587.09390599999995</v>
      </c>
      <c r="C13" s="178">
        <v>145.15843159277571</v>
      </c>
      <c r="D13" s="178">
        <v>441.93547440722421</v>
      </c>
      <c r="E13" s="189">
        <v>14.451610000000001</v>
      </c>
      <c r="F13" s="178">
        <v>178.688884</v>
      </c>
      <c r="G13" s="185">
        <v>-164.23727400000001</v>
      </c>
      <c r="H13" s="178">
        <v>5.3318729999999999</v>
      </c>
      <c r="I13" s="178">
        <v>4.5832235702864708</v>
      </c>
      <c r="J13" s="185">
        <v>287.61329697751074</v>
      </c>
      <c r="K13" s="177">
        <v>6431.5696970050003</v>
      </c>
      <c r="L13" s="178">
        <v>1590.9347816451002</v>
      </c>
      <c r="M13" s="178">
        <v>4840.6349153599003</v>
      </c>
      <c r="N13" s="189">
        <v>158.482348</v>
      </c>
      <c r="O13" s="178">
        <v>1960.5216587129999</v>
      </c>
      <c r="P13" s="185">
        <v>-1802.0393107129998</v>
      </c>
      <c r="Q13" s="178">
        <v>58.141374141084704</v>
      </c>
      <c r="R13" s="178">
        <v>58.145150338019711</v>
      </c>
      <c r="S13" s="178">
        <v>3154.8821291260037</v>
      </c>
      <c r="T13" s="58"/>
      <c r="U13" s="57"/>
      <c r="V13" s="57"/>
      <c r="W13" s="57"/>
    </row>
    <row r="14" spans="1:23" ht="12" customHeight="1">
      <c r="A14" s="179" t="s">
        <v>168</v>
      </c>
      <c r="B14" s="184">
        <v>473.93132066397732</v>
      </c>
      <c r="C14" s="181">
        <v>97.757947407399001</v>
      </c>
      <c r="D14" s="181">
        <v>376.17337325657832</v>
      </c>
      <c r="E14" s="190">
        <v>30.350071000000003</v>
      </c>
      <c r="F14" s="181">
        <v>106.41528300000002</v>
      </c>
      <c r="G14" s="186">
        <v>-76.065212000000017</v>
      </c>
      <c r="H14" s="181">
        <v>3.6310760000000006</v>
      </c>
      <c r="I14" s="181">
        <v>-1.4853630904303281</v>
      </c>
      <c r="J14" s="186">
        <v>302.25387416614797</v>
      </c>
      <c r="K14" s="180">
        <v>5203.6259294689999</v>
      </c>
      <c r="L14" s="181">
        <v>1069.3913182386</v>
      </c>
      <c r="M14" s="181">
        <v>4134.2346112304003</v>
      </c>
      <c r="N14" s="190">
        <v>332.47124099999996</v>
      </c>
      <c r="O14" s="181">
        <v>1166.8701728409999</v>
      </c>
      <c r="P14" s="186">
        <v>-834.39893184099992</v>
      </c>
      <c r="Q14" s="181">
        <v>39.294154818314297</v>
      </c>
      <c r="R14" s="181">
        <v>-18.942365284721834</v>
      </c>
      <c r="S14" s="181">
        <v>3320.1874689229921</v>
      </c>
      <c r="T14" s="58"/>
      <c r="U14" s="57"/>
      <c r="V14" s="57"/>
      <c r="W14" s="57"/>
    </row>
    <row r="15" spans="1:23" ht="12" customHeight="1">
      <c r="A15" s="176" t="s">
        <v>169</v>
      </c>
      <c r="B15" s="183"/>
      <c r="C15" s="178"/>
      <c r="D15" s="178"/>
      <c r="E15" s="189"/>
      <c r="F15" s="178"/>
      <c r="G15" s="185"/>
      <c r="H15" s="178"/>
      <c r="I15" s="178"/>
      <c r="J15" s="185"/>
      <c r="K15" s="177"/>
      <c r="L15" s="178"/>
      <c r="M15" s="178"/>
      <c r="N15" s="189"/>
      <c r="O15" s="178"/>
      <c r="P15" s="185"/>
      <c r="Q15" s="178"/>
      <c r="R15" s="178"/>
      <c r="S15" s="178"/>
      <c r="T15" s="58"/>
      <c r="U15" s="57"/>
      <c r="V15" s="57"/>
      <c r="W15" s="57"/>
    </row>
    <row r="16" spans="1:23" ht="12" customHeight="1">
      <c r="A16" s="176" t="s">
        <v>170</v>
      </c>
      <c r="B16" s="183"/>
      <c r="C16" s="178"/>
      <c r="D16" s="178"/>
      <c r="E16" s="189"/>
      <c r="F16" s="178"/>
      <c r="G16" s="185"/>
      <c r="H16" s="178"/>
      <c r="I16" s="178"/>
      <c r="J16" s="185"/>
      <c r="K16" s="177"/>
      <c r="L16" s="178"/>
      <c r="M16" s="178"/>
      <c r="N16" s="189"/>
      <c r="O16" s="178"/>
      <c r="P16" s="185"/>
      <c r="Q16" s="178"/>
      <c r="R16" s="178"/>
      <c r="S16" s="178"/>
      <c r="T16" s="58"/>
      <c r="U16" s="57"/>
      <c r="V16" s="57"/>
      <c r="W16" s="57"/>
    </row>
    <row r="17" spans="1:23" ht="12" customHeight="1">
      <c r="A17" s="179" t="s">
        <v>171</v>
      </c>
      <c r="B17" s="184"/>
      <c r="C17" s="181"/>
      <c r="D17" s="181"/>
      <c r="E17" s="190"/>
      <c r="F17" s="181"/>
      <c r="G17" s="186"/>
      <c r="H17" s="181"/>
      <c r="I17" s="181"/>
      <c r="J17" s="186"/>
      <c r="K17" s="180"/>
      <c r="L17" s="181"/>
      <c r="M17" s="181"/>
      <c r="N17" s="190"/>
      <c r="O17" s="181"/>
      <c r="P17" s="186"/>
      <c r="Q17" s="181"/>
      <c r="R17" s="181"/>
      <c r="S17" s="181"/>
      <c r="T17" s="58"/>
      <c r="U17" s="57"/>
      <c r="V17" s="57"/>
      <c r="W17" s="57"/>
    </row>
    <row r="18" spans="1:23" ht="12" customHeight="1">
      <c r="A18" s="176" t="s">
        <v>48</v>
      </c>
      <c r="B18" s="183">
        <f>SUM(B6:B8)</f>
        <v>1712.2107199076652</v>
      </c>
      <c r="C18" s="177">
        <f>SUM(C6:C8)</f>
        <v>449.17237508109918</v>
      </c>
      <c r="D18" s="177">
        <f>SUM(D6:D8)</f>
        <v>1263.0383448265661</v>
      </c>
      <c r="E18" s="183">
        <f t="shared" ref="E18:J18" si="0">SUM(E6:E8)</f>
        <v>1302.4706940000001</v>
      </c>
      <c r="F18" s="177">
        <f t="shared" si="0"/>
        <v>80.492289</v>
      </c>
      <c r="G18" s="187">
        <f>SUM(G6:G8)</f>
        <v>1221.9784049999998</v>
      </c>
      <c r="H18" s="177">
        <f t="shared" si="0"/>
        <v>31.404000029999999</v>
      </c>
      <c r="I18" s="177">
        <f t="shared" si="0"/>
        <v>5.394210458165035</v>
      </c>
      <c r="J18" s="187">
        <f t="shared" si="0"/>
        <v>2521.8149603147313</v>
      </c>
      <c r="K18" s="177">
        <f>SUM(K6:K8)</f>
        <v>18735.177127589999</v>
      </c>
      <c r="L18" s="177">
        <f>SUM(L6:L8)</f>
        <v>4920.8506938229993</v>
      </c>
      <c r="M18" s="177">
        <f t="shared" ref="M18:S18" si="1">SUM(M6:M8)</f>
        <v>13814.326433766997</v>
      </c>
      <c r="N18" s="183">
        <f t="shared" si="1"/>
        <v>14027.627559</v>
      </c>
      <c r="O18" s="177">
        <f t="shared" si="1"/>
        <v>880.53321250299996</v>
      </c>
      <c r="P18" s="187">
        <f t="shared" si="1"/>
        <v>13147.094346497001</v>
      </c>
      <c r="Q18" s="177">
        <f t="shared" si="1"/>
        <v>341.84164694847681</v>
      </c>
      <c r="R18" s="177">
        <f>SUM(R6:R8)</f>
        <v>92.709634015472602</v>
      </c>
      <c r="S18" s="177">
        <f t="shared" si="1"/>
        <v>27395.972061227956</v>
      </c>
    </row>
    <row r="19" spans="1:23" ht="12" customHeight="1">
      <c r="A19" s="176" t="s">
        <v>56</v>
      </c>
      <c r="B19" s="183">
        <f>SUM(B9:B11)</f>
        <v>2600.5591427598797</v>
      </c>
      <c r="C19" s="177">
        <f>SUM(C9:C11)</f>
        <v>151.41981866830105</v>
      </c>
      <c r="D19" s="177">
        <f t="shared" ref="D19:J19" si="2">SUM(D9:D11)</f>
        <v>2449.1393240915786</v>
      </c>
      <c r="E19" s="183">
        <f t="shared" si="2"/>
        <v>79.652302000000006</v>
      </c>
      <c r="F19" s="177">
        <f t="shared" si="2"/>
        <v>1273.7243469999999</v>
      </c>
      <c r="G19" s="187">
        <f t="shared" si="2"/>
        <v>-1194.0720449999999</v>
      </c>
      <c r="H19" s="177">
        <f t="shared" si="2"/>
        <v>24.792631999999998</v>
      </c>
      <c r="I19" s="177">
        <f t="shared" si="2"/>
        <v>9.4151568352283803</v>
      </c>
      <c r="J19" s="187">
        <f t="shared" si="2"/>
        <v>1289.2750679268067</v>
      </c>
      <c r="K19" s="177">
        <f>SUM(K9:K11)</f>
        <v>28418.069236795003</v>
      </c>
      <c r="L19" s="177">
        <f t="shared" ref="L19:S19" si="3">SUM(L9:L11)</f>
        <v>1649.3369359454998</v>
      </c>
      <c r="M19" s="177">
        <f t="shared" si="3"/>
        <v>26768.732300849504</v>
      </c>
      <c r="N19" s="183">
        <f t="shared" si="3"/>
        <v>857.1698140000002</v>
      </c>
      <c r="O19" s="177">
        <f>SUM(O9:O11)</f>
        <v>13928.486041830001</v>
      </c>
      <c r="P19" s="187">
        <f t="shared" si="3"/>
        <v>-13071.316227830001</v>
      </c>
      <c r="Q19" s="177">
        <f t="shared" si="3"/>
        <v>269.58753876859998</v>
      </c>
      <c r="R19" s="177">
        <f t="shared" si="3"/>
        <v>125.89789390864597</v>
      </c>
      <c r="S19" s="177">
        <f t="shared" si="3"/>
        <v>14092.901505696747</v>
      </c>
    </row>
    <row r="20" spans="1:23" ht="12" customHeight="1">
      <c r="A20" s="176" t="s">
        <v>63</v>
      </c>
      <c r="B20" s="183">
        <f>SUM(B12:B14)</f>
        <v>1633.5034072208637</v>
      </c>
      <c r="C20" s="177">
        <f>SUM(C12:C14)</f>
        <v>321.69233921649561</v>
      </c>
      <c r="D20" s="177">
        <f t="shared" ref="D20:J20" si="4">SUM(D12:D14)</f>
        <v>1311.8110680043683</v>
      </c>
      <c r="E20" s="183">
        <f t="shared" si="4"/>
        <v>44.801681000000002</v>
      </c>
      <c r="F20" s="177">
        <f t="shared" si="4"/>
        <v>504.54704000000004</v>
      </c>
      <c r="G20" s="187">
        <f t="shared" si="4"/>
        <v>-459.74535900000001</v>
      </c>
      <c r="H20" s="177">
        <f t="shared" si="4"/>
        <v>16.65286</v>
      </c>
      <c r="I20" s="177">
        <f>SUM(I12:I14)</f>
        <v>2.2854816940994933</v>
      </c>
      <c r="J20" s="187">
        <f t="shared" si="4"/>
        <v>871.00405069846772</v>
      </c>
      <c r="K20" s="177">
        <f>SUM(K12:K14)</f>
        <v>17908.170227596998</v>
      </c>
      <c r="L20" s="177">
        <f t="shared" ref="L20:S20" si="5">SUM(L12:L14)</f>
        <v>3522.4118747197003</v>
      </c>
      <c r="M20" s="177">
        <f t="shared" si="5"/>
        <v>14385.758352877301</v>
      </c>
      <c r="N20" s="183">
        <f t="shared" si="5"/>
        <v>490.95358899999997</v>
      </c>
      <c r="O20" s="177">
        <f t="shared" si="5"/>
        <v>5530.1794240519994</v>
      </c>
      <c r="P20" s="187">
        <f t="shared" si="5"/>
        <v>-5039.2258350520005</v>
      </c>
      <c r="Q20" s="177">
        <f t="shared" si="5"/>
        <v>181.511090649099</v>
      </c>
      <c r="R20" s="177">
        <f t="shared" si="5"/>
        <v>28.47763283027103</v>
      </c>
      <c r="S20" s="177">
        <f t="shared" si="5"/>
        <v>9556.5212413046684</v>
      </c>
    </row>
    <row r="21" spans="1:23" ht="12" customHeight="1">
      <c r="A21" s="179" t="s">
        <v>57</v>
      </c>
      <c r="B21" s="386">
        <f>SUM(B15:B17)</f>
        <v>0</v>
      </c>
      <c r="C21" s="387">
        <f>SUM(C15:C17)</f>
        <v>0</v>
      </c>
      <c r="D21" s="387">
        <f t="shared" ref="D21:J21" si="6">SUM(D15:D17)</f>
        <v>0</v>
      </c>
      <c r="E21" s="386">
        <f t="shared" si="6"/>
        <v>0</v>
      </c>
      <c r="F21" s="387">
        <f t="shared" si="6"/>
        <v>0</v>
      </c>
      <c r="G21" s="388">
        <f t="shared" si="6"/>
        <v>0</v>
      </c>
      <c r="H21" s="387">
        <f t="shared" si="6"/>
        <v>0</v>
      </c>
      <c r="I21" s="387">
        <f t="shared" si="6"/>
        <v>0</v>
      </c>
      <c r="J21" s="388">
        <f t="shared" si="6"/>
        <v>0</v>
      </c>
      <c r="K21" s="387">
        <f>SUM(K15:K17)</f>
        <v>0</v>
      </c>
      <c r="L21" s="387">
        <f t="shared" ref="L21:R21" si="7">SUM(L15:L17)</f>
        <v>0</v>
      </c>
      <c r="M21" s="387">
        <f t="shared" si="7"/>
        <v>0</v>
      </c>
      <c r="N21" s="386">
        <f t="shared" si="7"/>
        <v>0</v>
      </c>
      <c r="O21" s="387">
        <f t="shared" si="7"/>
        <v>0</v>
      </c>
      <c r="P21" s="388">
        <f t="shared" si="7"/>
        <v>0</v>
      </c>
      <c r="Q21" s="387">
        <f t="shared" si="7"/>
        <v>0</v>
      </c>
      <c r="R21" s="387">
        <f t="shared" si="7"/>
        <v>0</v>
      </c>
      <c r="S21" s="387">
        <f>SUM(S15:S17)</f>
        <v>0</v>
      </c>
    </row>
    <row r="22" spans="1:23" ht="12" customHeight="1">
      <c r="A22" s="176" t="s">
        <v>58</v>
      </c>
      <c r="B22" s="183">
        <f>SUM(B6:B11)</f>
        <v>4312.7698626675447</v>
      </c>
      <c r="C22" s="177">
        <f>SUM(C6:C11)</f>
        <v>600.59219374940028</v>
      </c>
      <c r="D22" s="177">
        <f t="shared" ref="D22:J22" si="8">SUM(D6:D11)</f>
        <v>3712.1776689181443</v>
      </c>
      <c r="E22" s="183">
        <f t="shared" si="8"/>
        <v>1382.1229960000001</v>
      </c>
      <c r="F22" s="177">
        <f t="shared" si="8"/>
        <v>1354.2166360000001</v>
      </c>
      <c r="G22" s="187">
        <f t="shared" si="8"/>
        <v>27.906359999999836</v>
      </c>
      <c r="H22" s="177">
        <f t="shared" si="8"/>
        <v>56.196632029999996</v>
      </c>
      <c r="I22" s="177">
        <f t="shared" si="8"/>
        <v>14.809367293393414</v>
      </c>
      <c r="J22" s="187">
        <f t="shared" si="8"/>
        <v>3811.0900282415378</v>
      </c>
      <c r="K22" s="177">
        <f>SUM(K6:K11)</f>
        <v>47153.246364384999</v>
      </c>
      <c r="L22" s="177">
        <f t="shared" ref="L22:S22" si="9">SUM(L6:L11)</f>
        <v>6570.1876297684994</v>
      </c>
      <c r="M22" s="177">
        <f t="shared" si="9"/>
        <v>40583.058734616498</v>
      </c>
      <c r="N22" s="183">
        <f t="shared" si="9"/>
        <v>14884.797373000001</v>
      </c>
      <c r="O22" s="177">
        <f t="shared" si="9"/>
        <v>14809.019254333001</v>
      </c>
      <c r="P22" s="187">
        <f t="shared" si="9"/>
        <v>75.778118666999035</v>
      </c>
      <c r="Q22" s="177">
        <f t="shared" si="9"/>
        <v>611.42918571707685</v>
      </c>
      <c r="R22" s="177">
        <f t="shared" si="9"/>
        <v>218.60752792411853</v>
      </c>
      <c r="S22" s="177">
        <f t="shared" si="9"/>
        <v>41488.873566924696</v>
      </c>
    </row>
    <row r="23" spans="1:23" ht="12" customHeight="1">
      <c r="A23" s="179" t="s">
        <v>59</v>
      </c>
      <c r="B23" s="386">
        <f>SUM(B12:B17)</f>
        <v>1633.5034072208637</v>
      </c>
      <c r="C23" s="387">
        <f>SUM(C12:C17)</f>
        <v>321.69233921649561</v>
      </c>
      <c r="D23" s="387">
        <f t="shared" ref="D23:J23" si="10">SUM(D12:D17)</f>
        <v>1311.8110680043683</v>
      </c>
      <c r="E23" s="386">
        <f t="shared" si="10"/>
        <v>44.801681000000002</v>
      </c>
      <c r="F23" s="387">
        <f t="shared" si="10"/>
        <v>504.54704000000004</v>
      </c>
      <c r="G23" s="388">
        <f t="shared" si="10"/>
        <v>-459.74535900000001</v>
      </c>
      <c r="H23" s="387">
        <f t="shared" si="10"/>
        <v>16.65286</v>
      </c>
      <c r="I23" s="387">
        <f t="shared" si="10"/>
        <v>2.2854816940994933</v>
      </c>
      <c r="J23" s="388">
        <f t="shared" si="10"/>
        <v>871.00405069846772</v>
      </c>
      <c r="K23" s="387">
        <f>SUM(K12:K17)</f>
        <v>17908.170227596998</v>
      </c>
      <c r="L23" s="387">
        <f t="shared" ref="L23:S23" si="11">SUM(L12:L17)</f>
        <v>3522.4118747197003</v>
      </c>
      <c r="M23" s="387">
        <f t="shared" si="11"/>
        <v>14385.758352877301</v>
      </c>
      <c r="N23" s="386">
        <f t="shared" si="11"/>
        <v>490.95358899999997</v>
      </c>
      <c r="O23" s="387">
        <f t="shared" si="11"/>
        <v>5530.1794240519994</v>
      </c>
      <c r="P23" s="388">
        <f t="shared" si="11"/>
        <v>-5039.2258350520005</v>
      </c>
      <c r="Q23" s="387">
        <f t="shared" si="11"/>
        <v>181.511090649099</v>
      </c>
      <c r="R23" s="387">
        <f t="shared" si="11"/>
        <v>28.47763283027103</v>
      </c>
      <c r="S23" s="387">
        <f t="shared" si="11"/>
        <v>9556.5212413046684</v>
      </c>
    </row>
    <row r="24" spans="1:23" ht="12" customHeight="1">
      <c r="A24" s="182" t="s">
        <v>172</v>
      </c>
      <c r="B24" s="389">
        <f>SUM(B6:B17)</f>
        <v>5946.2732698884083</v>
      </c>
      <c r="C24" s="390">
        <f>SUM(C6:C17)</f>
        <v>922.28453296589589</v>
      </c>
      <c r="D24" s="390">
        <f t="shared" ref="D24:J24" si="12">SUM(D6:D17)</f>
        <v>5023.9887369225125</v>
      </c>
      <c r="E24" s="389">
        <f t="shared" si="12"/>
        <v>1426.9246770000002</v>
      </c>
      <c r="F24" s="390">
        <f t="shared" si="12"/>
        <v>1858.763676</v>
      </c>
      <c r="G24" s="391">
        <f t="shared" si="12"/>
        <v>-431.83899900000017</v>
      </c>
      <c r="H24" s="390">
        <f t="shared" si="12"/>
        <v>72.849492030000008</v>
      </c>
      <c r="I24" s="390">
        <f t="shared" si="12"/>
        <v>17.094848987492906</v>
      </c>
      <c r="J24" s="391">
        <f t="shared" si="12"/>
        <v>4682.0940789400056</v>
      </c>
      <c r="K24" s="390">
        <f>SUM(K6:K17)</f>
        <v>65061.416591982001</v>
      </c>
      <c r="L24" s="390">
        <f t="shared" ref="L24:S24" si="13">SUM(L6:L17)</f>
        <v>10092.5995044882</v>
      </c>
      <c r="M24" s="390">
        <f t="shared" si="13"/>
        <v>54968.8170874938</v>
      </c>
      <c r="N24" s="389">
        <f t="shared" si="13"/>
        <v>15375.750962</v>
      </c>
      <c r="O24" s="390">
        <f t="shared" si="13"/>
        <v>20339.198678385001</v>
      </c>
      <c r="P24" s="391">
        <f t="shared" si="13"/>
        <v>-4963.4477163850006</v>
      </c>
      <c r="Q24" s="390">
        <f t="shared" si="13"/>
        <v>792.94027636617591</v>
      </c>
      <c r="R24" s="390">
        <f t="shared" si="13"/>
        <v>247.08516075438959</v>
      </c>
      <c r="S24" s="390">
        <f t="shared" si="13"/>
        <v>51045.394808229365</v>
      </c>
    </row>
    <row r="25" spans="1:23" ht="8.1" customHeight="1"/>
    <row r="26" spans="1:23" ht="13.5" customHeight="1">
      <c r="A26" s="447" t="s">
        <v>248</v>
      </c>
      <c r="B26" s="447"/>
      <c r="C26" s="447"/>
      <c r="D26" s="447"/>
      <c r="E26" s="447"/>
      <c r="F26" s="447"/>
      <c r="G26" s="447"/>
      <c r="H26" s="447"/>
      <c r="I26" s="447"/>
      <c r="J26" s="60"/>
      <c r="K26" s="447" t="s">
        <v>249</v>
      </c>
      <c r="L26" s="447"/>
      <c r="M26" s="447"/>
      <c r="N26" s="447"/>
      <c r="O26" s="447"/>
      <c r="P26" s="447"/>
      <c r="Q26" s="447"/>
      <c r="R26" s="447"/>
      <c r="S26" s="447"/>
    </row>
    <row r="27" spans="1:23" ht="8.1" customHeight="1">
      <c r="D27" s="61"/>
      <c r="E27" s="62" t="s">
        <v>197</v>
      </c>
      <c r="F27" s="62" t="s">
        <v>198</v>
      </c>
      <c r="G27" s="63"/>
      <c r="H27" s="63"/>
      <c r="L27" s="63"/>
      <c r="M27" s="62"/>
      <c r="N27" s="62" t="s">
        <v>199</v>
      </c>
      <c r="O27" s="61" t="s">
        <v>200</v>
      </c>
    </row>
    <row r="28" spans="1:23" ht="8.1" customHeight="1">
      <c r="D28" s="61" t="str">
        <f>A6</f>
        <v>Leden</v>
      </c>
      <c r="E28" s="62">
        <f>B6</f>
        <v>611.86680951218455</v>
      </c>
      <c r="F28" s="62">
        <f>C6*-1</f>
        <v>-171.69380494119213</v>
      </c>
      <c r="G28" s="63"/>
      <c r="L28" s="63"/>
      <c r="M28" s="62" t="str">
        <f>A6</f>
        <v>Leden</v>
      </c>
      <c r="N28" s="62">
        <f>E6</f>
        <v>484.49456099999998</v>
      </c>
      <c r="O28" s="62">
        <f>F6*-1</f>
        <v>-50.764979000000004</v>
      </c>
    </row>
    <row r="29" spans="1:23" ht="8.1" customHeight="1">
      <c r="D29" s="61" t="str">
        <f t="shared" ref="D29:D39" si="14">A7</f>
        <v>Únor</v>
      </c>
      <c r="E29" s="62">
        <f t="shared" ref="E29:E39" si="15">B7</f>
        <v>541.66979960431695</v>
      </c>
      <c r="F29" s="62">
        <f t="shared" ref="F29:F39" si="16">C7*-1</f>
        <v>-191.63640082004457</v>
      </c>
      <c r="G29" s="63"/>
      <c r="L29" s="63"/>
      <c r="M29" s="62" t="str">
        <f t="shared" ref="M29:M39" si="17">A7</f>
        <v>Únor</v>
      </c>
      <c r="N29" s="62">
        <f t="shared" ref="N29:N39" si="18">E7</f>
        <v>502.731177</v>
      </c>
      <c r="O29" s="62">
        <f t="shared" ref="O29:O39" si="19">F7*-1</f>
        <v>-0.45966299999999999</v>
      </c>
    </row>
    <row r="30" spans="1:23" ht="8.1" customHeight="1">
      <c r="D30" s="61" t="str">
        <f t="shared" si="14"/>
        <v>Březen</v>
      </c>
      <c r="E30" s="62">
        <f t="shared" si="15"/>
        <v>558.67411079116368</v>
      </c>
      <c r="F30" s="62">
        <f t="shared" si="16"/>
        <v>-85.842169319862464</v>
      </c>
      <c r="G30" s="63"/>
      <c r="L30" s="63"/>
      <c r="M30" s="62" t="str">
        <f t="shared" si="17"/>
        <v>Březen</v>
      </c>
      <c r="N30" s="62">
        <f t="shared" si="18"/>
        <v>315.244956</v>
      </c>
      <c r="O30" s="62">
        <f t="shared" si="19"/>
        <v>-29.267647000000004</v>
      </c>
    </row>
    <row r="31" spans="1:23" ht="8.1" customHeight="1">
      <c r="D31" s="61" t="str">
        <f t="shared" si="14"/>
        <v>Duben</v>
      </c>
      <c r="E31" s="62">
        <f t="shared" si="15"/>
        <v>678.89586636549586</v>
      </c>
      <c r="F31" s="62">
        <f t="shared" si="16"/>
        <v>-59.800538558553114</v>
      </c>
      <c r="G31" s="63"/>
      <c r="L31" s="63"/>
      <c r="M31" s="62" t="str">
        <f t="shared" si="17"/>
        <v>Duben</v>
      </c>
      <c r="N31" s="62">
        <f t="shared" si="18"/>
        <v>79.391479000000004</v>
      </c>
      <c r="O31" s="62">
        <f t="shared" si="19"/>
        <v>-102.569807</v>
      </c>
    </row>
    <row r="32" spans="1:23" ht="8.1" customHeight="1">
      <c r="D32" s="61" t="str">
        <f t="shared" si="14"/>
        <v>Květen</v>
      </c>
      <c r="E32" s="62">
        <f t="shared" si="15"/>
        <v>1032.1800539226767</v>
      </c>
      <c r="F32" s="62">
        <f t="shared" si="16"/>
        <v>-66.096829012414332</v>
      </c>
      <c r="G32" s="63"/>
      <c r="L32" s="63"/>
      <c r="M32" s="62" t="str">
        <f t="shared" si="17"/>
        <v>Květen</v>
      </c>
      <c r="N32" s="62">
        <f t="shared" si="18"/>
        <v>2.5809000000000002E-2</v>
      </c>
      <c r="O32" s="62">
        <f t="shared" si="19"/>
        <v>-612.77381700000001</v>
      </c>
    </row>
    <row r="33" spans="4:15" ht="8.1" customHeight="1">
      <c r="D33" s="61" t="str">
        <f t="shared" si="14"/>
        <v>Červen</v>
      </c>
      <c r="E33" s="62">
        <f t="shared" si="15"/>
        <v>889.48322247170688</v>
      </c>
      <c r="F33" s="62">
        <f t="shared" si="16"/>
        <v>-25.522451097333597</v>
      </c>
      <c r="G33" s="63"/>
      <c r="L33" s="63"/>
      <c r="M33" s="62" t="str">
        <f t="shared" si="17"/>
        <v>Červen</v>
      </c>
      <c r="N33" s="62">
        <f t="shared" si="18"/>
        <v>0.235014</v>
      </c>
      <c r="O33" s="62">
        <f t="shared" si="19"/>
        <v>-558.38072299999999</v>
      </c>
    </row>
    <row r="34" spans="4:15" ht="8.1" customHeight="1">
      <c r="D34" s="61" t="str">
        <f t="shared" si="14"/>
        <v>Červenec</v>
      </c>
      <c r="E34" s="62">
        <f t="shared" si="15"/>
        <v>572.47818055688651</v>
      </c>
      <c r="F34" s="62">
        <f t="shared" si="16"/>
        <v>-78.775960216320897</v>
      </c>
      <c r="G34" s="63"/>
      <c r="L34" s="63"/>
      <c r="M34" s="62" t="str">
        <f t="shared" si="17"/>
        <v>Červenec</v>
      </c>
      <c r="N34" s="62">
        <f t="shared" si="18"/>
        <v>0</v>
      </c>
      <c r="O34" s="62">
        <f t="shared" si="19"/>
        <v>-219.44287299999996</v>
      </c>
    </row>
    <row r="35" spans="4:15" ht="8.1" customHeight="1">
      <c r="D35" s="61" t="str">
        <f t="shared" si="14"/>
        <v>Srpen</v>
      </c>
      <c r="E35" s="62">
        <f t="shared" si="15"/>
        <v>587.09390599999995</v>
      </c>
      <c r="F35" s="62">
        <f t="shared" si="16"/>
        <v>-145.15843159277571</v>
      </c>
      <c r="G35" s="63"/>
      <c r="L35" s="63"/>
      <c r="M35" s="62" t="str">
        <f t="shared" si="17"/>
        <v>Srpen</v>
      </c>
      <c r="N35" s="62">
        <f t="shared" si="18"/>
        <v>14.451610000000001</v>
      </c>
      <c r="O35" s="62">
        <f t="shared" si="19"/>
        <v>-178.688884</v>
      </c>
    </row>
    <row r="36" spans="4:15" ht="8.1" customHeight="1">
      <c r="D36" s="61" t="str">
        <f t="shared" si="14"/>
        <v>Září</v>
      </c>
      <c r="E36" s="62">
        <f t="shared" si="15"/>
        <v>473.93132066397732</v>
      </c>
      <c r="F36" s="62">
        <f t="shared" si="16"/>
        <v>-97.757947407399001</v>
      </c>
      <c r="G36" s="63"/>
      <c r="L36" s="63"/>
      <c r="M36" s="62" t="str">
        <f t="shared" si="17"/>
        <v>Září</v>
      </c>
      <c r="N36" s="62">
        <f t="shared" si="18"/>
        <v>30.350071000000003</v>
      </c>
      <c r="O36" s="62">
        <f t="shared" si="19"/>
        <v>-106.41528300000002</v>
      </c>
    </row>
    <row r="37" spans="4:15" ht="8.1" customHeight="1">
      <c r="D37" s="61" t="str">
        <f t="shared" si="14"/>
        <v>Říjen</v>
      </c>
      <c r="E37" s="62">
        <f t="shared" si="15"/>
        <v>0</v>
      </c>
      <c r="F37" s="62">
        <f t="shared" si="16"/>
        <v>0</v>
      </c>
      <c r="G37" s="63"/>
      <c r="L37" s="63"/>
      <c r="M37" s="62" t="str">
        <f t="shared" si="17"/>
        <v>Říjen</v>
      </c>
      <c r="N37" s="62">
        <f t="shared" si="18"/>
        <v>0</v>
      </c>
      <c r="O37" s="62">
        <f t="shared" si="19"/>
        <v>0</v>
      </c>
    </row>
    <row r="38" spans="4:15" ht="8.1" customHeight="1">
      <c r="D38" s="61" t="str">
        <f t="shared" si="14"/>
        <v>Listopad</v>
      </c>
      <c r="E38" s="62">
        <f t="shared" si="15"/>
        <v>0</v>
      </c>
      <c r="F38" s="62">
        <f t="shared" si="16"/>
        <v>0</v>
      </c>
      <c r="G38" s="63"/>
      <c r="L38" s="63"/>
      <c r="M38" s="62" t="str">
        <f t="shared" si="17"/>
        <v>Listopad</v>
      </c>
      <c r="N38" s="62">
        <f t="shared" si="18"/>
        <v>0</v>
      </c>
      <c r="O38" s="62">
        <f t="shared" si="19"/>
        <v>0</v>
      </c>
    </row>
    <row r="39" spans="4:15" ht="8.1" customHeight="1">
      <c r="D39" s="61" t="str">
        <f t="shared" si="14"/>
        <v>Prosinec</v>
      </c>
      <c r="E39" s="62">
        <f t="shared" si="15"/>
        <v>0</v>
      </c>
      <c r="F39" s="62">
        <f t="shared" si="16"/>
        <v>0</v>
      </c>
      <c r="M39" s="62" t="str">
        <f t="shared" si="17"/>
        <v>Prosinec</v>
      </c>
      <c r="N39" s="62">
        <f t="shared" si="18"/>
        <v>0</v>
      </c>
      <c r="O39" s="62">
        <f t="shared" si="19"/>
        <v>0</v>
      </c>
    </row>
    <row r="40" spans="4:15" ht="12" customHeight="1">
      <c r="M40" s="63"/>
    </row>
    <row r="41" spans="4:15" ht="12" customHeight="1"/>
    <row r="42" spans="4:15" ht="12" customHeight="1"/>
    <row r="43" spans="4:15" ht="12" customHeight="1"/>
  </sheetData>
  <mergeCells count="16">
    <mergeCell ref="K4:M4"/>
    <mergeCell ref="A26:I26"/>
    <mergeCell ref="K26:S26"/>
    <mergeCell ref="B2:S2"/>
    <mergeCell ref="A1:S1"/>
    <mergeCell ref="N4:P4"/>
    <mergeCell ref="H4:H5"/>
    <mergeCell ref="I4:I5"/>
    <mergeCell ref="J4:J5"/>
    <mergeCell ref="B3:J3"/>
    <mergeCell ref="K3:S3"/>
    <mergeCell ref="Q4:Q5"/>
    <mergeCell ref="R4:R5"/>
    <mergeCell ref="S4:S5"/>
    <mergeCell ref="B4:D4"/>
    <mergeCell ref="E4:G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1 B23:S23 C22:S22 C18 E18:F18 H18:K18 M18:Q18 B19:N19 P19:S19 S1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V56"/>
  <sheetViews>
    <sheetView showGridLines="0" topLeftCell="A4" zoomScaleNormal="100" zoomScaleSheetLayoutView="100" workbookViewId="0">
      <selection activeCell="G1" sqref="G1"/>
    </sheetView>
  </sheetViews>
  <sheetFormatPr defaultRowHeight="11.25"/>
  <cols>
    <col min="1" max="1" width="8.140625" style="12" customWidth="1"/>
    <col min="2" max="3" width="7.7109375" style="12" customWidth="1"/>
    <col min="4" max="4" width="7.28515625" style="12" customWidth="1"/>
    <col min="5" max="6" width="7.7109375" style="12" customWidth="1"/>
    <col min="7" max="7" width="7.42578125" style="12" customWidth="1"/>
    <col min="8" max="8" width="9.140625" style="12" customWidth="1"/>
    <col min="9" max="12" width="7.7109375" style="12" customWidth="1"/>
    <col min="13" max="13" width="9" style="12" customWidth="1"/>
    <col min="14" max="18" width="4.7109375" style="12" customWidth="1"/>
    <col min="19" max="20" width="6.7109375" style="12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20.25">
      <c r="A1" s="69" t="s">
        <v>288</v>
      </c>
    </row>
    <row r="2" spans="1:22" ht="18">
      <c r="A2" s="373" t="s">
        <v>294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2" ht="6" customHeight="1">
      <c r="A3" s="206"/>
      <c r="B3" s="207"/>
      <c r="C3" s="207"/>
      <c r="D3" s="207"/>
      <c r="E3" s="207"/>
      <c r="F3" s="207"/>
      <c r="G3" s="207"/>
      <c r="H3" s="207"/>
      <c r="I3" s="207"/>
      <c r="J3" s="207"/>
      <c r="K3" s="208"/>
      <c r="L3" s="207"/>
      <c r="M3" s="207"/>
      <c r="N3" s="207"/>
      <c r="O3" s="207"/>
      <c r="P3" s="207"/>
      <c r="Q3" s="207"/>
      <c r="R3" s="207"/>
    </row>
    <row r="4" spans="1:22" ht="15.95" customHeight="1">
      <c r="A4" s="205">
        <f>'3.1'!A4</f>
        <v>2023</v>
      </c>
      <c r="B4" s="456" t="s">
        <v>260</v>
      </c>
      <c r="C4" s="462"/>
      <c r="D4" s="462"/>
      <c r="E4" s="462"/>
      <c r="F4" s="462"/>
      <c r="G4" s="462"/>
      <c r="H4" s="458"/>
      <c r="I4" s="456" t="s">
        <v>218</v>
      </c>
      <c r="J4" s="462"/>
      <c r="K4" s="462"/>
      <c r="L4" s="462"/>
      <c r="M4" s="462"/>
      <c r="N4" s="456" t="s">
        <v>230</v>
      </c>
      <c r="O4" s="462"/>
      <c r="P4" s="462"/>
      <c r="Q4" s="462"/>
      <c r="R4" s="458"/>
      <c r="S4" s="228" t="s">
        <v>260</v>
      </c>
      <c r="T4" s="228" t="s">
        <v>218</v>
      </c>
    </row>
    <row r="5" spans="1:22" ht="36.75" customHeight="1">
      <c r="A5" s="217"/>
      <c r="B5" s="461" t="s">
        <v>155</v>
      </c>
      <c r="C5" s="453"/>
      <c r="D5" s="453"/>
      <c r="E5" s="453" t="s">
        <v>156</v>
      </c>
      <c r="F5" s="453"/>
      <c r="G5" s="453"/>
      <c r="H5" s="197" t="s">
        <v>153</v>
      </c>
      <c r="I5" s="461" t="s">
        <v>155</v>
      </c>
      <c r="J5" s="453"/>
      <c r="K5" s="453" t="s">
        <v>156</v>
      </c>
      <c r="L5" s="453"/>
      <c r="M5" s="196" t="s">
        <v>153</v>
      </c>
      <c r="N5" s="461" t="s">
        <v>263</v>
      </c>
      <c r="O5" s="453"/>
      <c r="P5" s="453"/>
      <c r="Q5" s="453"/>
      <c r="R5" s="455"/>
      <c r="S5" s="452" t="s">
        <v>154</v>
      </c>
      <c r="T5" s="452"/>
    </row>
    <row r="6" spans="1:22" ht="44.25" customHeight="1">
      <c r="A6" s="224"/>
      <c r="B6" s="231">
        <f>A4</f>
        <v>2023</v>
      </c>
      <c r="C6" s="232">
        <f>B6-1</f>
        <v>2022</v>
      </c>
      <c r="D6" s="194" t="s">
        <v>264</v>
      </c>
      <c r="E6" s="232">
        <f>B6</f>
        <v>2023</v>
      </c>
      <c r="F6" s="232">
        <f>C6</f>
        <v>2022</v>
      </c>
      <c r="G6" s="194" t="s">
        <v>265</v>
      </c>
      <c r="H6" s="233">
        <f>B6</f>
        <v>2023</v>
      </c>
      <c r="I6" s="231">
        <f>B6</f>
        <v>2023</v>
      </c>
      <c r="J6" s="232">
        <f>C6</f>
        <v>2022</v>
      </c>
      <c r="K6" s="232">
        <f>B6</f>
        <v>2023</v>
      </c>
      <c r="L6" s="232">
        <f>C6</f>
        <v>2022</v>
      </c>
      <c r="M6" s="232">
        <f>B6</f>
        <v>2023</v>
      </c>
      <c r="N6" s="225" t="s">
        <v>62</v>
      </c>
      <c r="O6" s="226" t="s">
        <v>173</v>
      </c>
      <c r="P6" s="226" t="s">
        <v>174</v>
      </c>
      <c r="Q6" s="226" t="s">
        <v>114</v>
      </c>
      <c r="R6" s="227" t="s">
        <v>116</v>
      </c>
      <c r="S6" s="453"/>
      <c r="T6" s="453"/>
    </row>
    <row r="7" spans="1:22" ht="12" customHeight="1">
      <c r="A7" s="176" t="s">
        <v>160</v>
      </c>
      <c r="B7" s="183">
        <v>891.77987089563828</v>
      </c>
      <c r="C7" s="177">
        <v>1134.2628331979083</v>
      </c>
      <c r="D7" s="211">
        <v>-0.21378022377637154</v>
      </c>
      <c r="E7" s="178">
        <v>1018.2711816603346</v>
      </c>
      <c r="F7" s="178">
        <v>1205.7433627279247</v>
      </c>
      <c r="G7" s="211">
        <v>-0.15548265647794662</v>
      </c>
      <c r="H7" s="185">
        <v>1080</v>
      </c>
      <c r="I7" s="189">
        <v>9714.563236209995</v>
      </c>
      <c r="J7" s="178">
        <v>12118.789609366002</v>
      </c>
      <c r="K7" s="178">
        <v>11092.490544684235</v>
      </c>
      <c r="L7" s="177">
        <v>12882.508099636938</v>
      </c>
      <c r="M7" s="177">
        <v>11610</v>
      </c>
      <c r="N7" s="183">
        <v>2.1903225806451618</v>
      </c>
      <c r="O7" s="177">
        <v>8.3000000000000007</v>
      </c>
      <c r="P7" s="177">
        <v>-4.2</v>
      </c>
      <c r="Q7" s="177">
        <v>-1.2258064516129035</v>
      </c>
      <c r="R7" s="187">
        <v>3.4161290322580653</v>
      </c>
      <c r="S7" s="209">
        <v>45.144016081352575</v>
      </c>
      <c r="T7" s="209">
        <v>491.7744209999999</v>
      </c>
      <c r="U7" s="57"/>
      <c r="V7" s="68"/>
    </row>
    <row r="8" spans="1:22" ht="12" customHeight="1">
      <c r="A8" s="176" t="s">
        <v>161</v>
      </c>
      <c r="B8" s="183">
        <v>860.76740305537987</v>
      </c>
      <c r="C8" s="178">
        <v>890.50040009373777</v>
      </c>
      <c r="D8" s="211">
        <v>-3.3389088915881535E-2</v>
      </c>
      <c r="E8" s="178">
        <v>905.06624105235687</v>
      </c>
      <c r="F8" s="178">
        <v>992.3478118923407</v>
      </c>
      <c r="G8" s="211">
        <v>-8.7954616107374414E-2</v>
      </c>
      <c r="H8" s="185">
        <v>910</v>
      </c>
      <c r="I8" s="189">
        <v>9341.3894159989995</v>
      </c>
      <c r="J8" s="178">
        <v>9526.9687922180001</v>
      </c>
      <c r="K8" s="178">
        <v>9822.1379840060417</v>
      </c>
      <c r="L8" s="177">
        <v>10616.577638739944</v>
      </c>
      <c r="M8" s="177">
        <v>9780</v>
      </c>
      <c r="N8" s="189">
        <v>1.375</v>
      </c>
      <c r="O8" s="178">
        <v>9</v>
      </c>
      <c r="P8" s="178">
        <v>-6.1</v>
      </c>
      <c r="Q8" s="178">
        <v>-0.15517241379310354</v>
      </c>
      <c r="R8" s="187">
        <v>1.5301724137931036</v>
      </c>
      <c r="S8" s="209">
        <v>57.83162177655786</v>
      </c>
      <c r="T8" s="209">
        <v>627.6117720000002</v>
      </c>
      <c r="U8" s="57"/>
      <c r="V8" s="68"/>
    </row>
    <row r="9" spans="1:22" ht="12" customHeight="1">
      <c r="A9" s="179" t="s">
        <v>162</v>
      </c>
      <c r="B9" s="184">
        <v>769.26811951702939</v>
      </c>
      <c r="C9" s="181">
        <v>922.6194924346953</v>
      </c>
      <c r="D9" s="214">
        <v>-0.16621302083374356</v>
      </c>
      <c r="E9" s="181">
        <v>813.43576392756404</v>
      </c>
      <c r="F9" s="181">
        <v>915.49072354115106</v>
      </c>
      <c r="G9" s="214">
        <v>-0.11147568947376633</v>
      </c>
      <c r="H9" s="186">
        <v>850</v>
      </c>
      <c r="I9" s="190">
        <v>8340.019322711998</v>
      </c>
      <c r="J9" s="181">
        <v>9909.4539932498337</v>
      </c>
      <c r="K9" s="181">
        <v>8818.8627824589057</v>
      </c>
      <c r="L9" s="180">
        <v>9832.8869924891296</v>
      </c>
      <c r="M9" s="188">
        <v>9140</v>
      </c>
      <c r="N9" s="190">
        <v>4.8774193548387101</v>
      </c>
      <c r="O9" s="181">
        <v>12.9</v>
      </c>
      <c r="P9" s="181">
        <v>-0.6</v>
      </c>
      <c r="Q9" s="181">
        <v>3.512903225806451</v>
      </c>
      <c r="R9" s="188">
        <v>1.3645161290322592</v>
      </c>
      <c r="S9" s="215">
        <v>50.384704194909489</v>
      </c>
      <c r="T9" s="215">
        <v>546.24576699999932</v>
      </c>
      <c r="U9" s="57"/>
      <c r="V9" s="68"/>
    </row>
    <row r="10" spans="1:22" ht="12" customHeight="1">
      <c r="A10" s="176" t="s">
        <v>163</v>
      </c>
      <c r="B10" s="183">
        <v>606.46775451524184</v>
      </c>
      <c r="C10" s="178">
        <v>671.36218900899917</v>
      </c>
      <c r="D10" s="211">
        <v>-9.6660842025596203E-2</v>
      </c>
      <c r="E10" s="178">
        <v>542.15893668344847</v>
      </c>
      <c r="F10" s="178">
        <v>605.29632058159871</v>
      </c>
      <c r="G10" s="211">
        <v>-0.10430822351189036</v>
      </c>
      <c r="H10" s="185">
        <v>590</v>
      </c>
      <c r="I10" s="189">
        <v>6615.5157134669989</v>
      </c>
      <c r="J10" s="178">
        <v>7237.9843414369079</v>
      </c>
      <c r="K10" s="178">
        <v>5914.0175848141862</v>
      </c>
      <c r="L10" s="177">
        <v>6525.7254013157726</v>
      </c>
      <c r="M10" s="177">
        <v>6340</v>
      </c>
      <c r="N10" s="183">
        <v>6.6799999999999988</v>
      </c>
      <c r="O10" s="177">
        <v>12.6</v>
      </c>
      <c r="P10" s="177">
        <v>-0.4</v>
      </c>
      <c r="Q10" s="177">
        <v>8.6366666666666667</v>
      </c>
      <c r="R10" s="187">
        <v>-1.9566666666666679</v>
      </c>
      <c r="S10" s="209">
        <v>30.533200134826419</v>
      </c>
      <c r="T10" s="209">
        <v>333.06439699999987</v>
      </c>
      <c r="U10" s="57"/>
      <c r="V10" s="68"/>
    </row>
    <row r="11" spans="1:22" ht="12" customHeight="1">
      <c r="A11" s="176" t="s">
        <v>164</v>
      </c>
      <c r="B11" s="183">
        <v>368.85357592765939</v>
      </c>
      <c r="C11" s="178">
        <v>388.89617215441922</v>
      </c>
      <c r="D11" s="211">
        <v>-5.1537139375086215E-2</v>
      </c>
      <c r="E11" s="178">
        <v>354.09291505284216</v>
      </c>
      <c r="F11" s="178">
        <v>408.72603445306578</v>
      </c>
      <c r="G11" s="211">
        <v>-0.13366684476884522</v>
      </c>
      <c r="H11" s="185">
        <v>400</v>
      </c>
      <c r="I11" s="189">
        <v>4038.3717193379994</v>
      </c>
      <c r="J11" s="178">
        <v>4179.6572926889767</v>
      </c>
      <c r="K11" s="178">
        <v>3876.7654904009873</v>
      </c>
      <c r="L11" s="177">
        <v>4392.778517591767</v>
      </c>
      <c r="M11" s="177">
        <v>4300</v>
      </c>
      <c r="N11" s="189">
        <v>12.812903225806451</v>
      </c>
      <c r="O11" s="178">
        <v>18.399999999999999</v>
      </c>
      <c r="P11" s="178">
        <v>8.5</v>
      </c>
      <c r="Q11" s="178">
        <v>13.522580645161288</v>
      </c>
      <c r="R11" s="187">
        <v>-0.7096774193548363</v>
      </c>
      <c r="S11" s="209">
        <v>14.977591892797571</v>
      </c>
      <c r="T11" s="209">
        <v>163.98109600000004</v>
      </c>
      <c r="U11" s="57"/>
      <c r="V11" s="68"/>
    </row>
    <row r="12" spans="1:22" ht="12" customHeight="1">
      <c r="A12" s="179" t="s">
        <v>165</v>
      </c>
      <c r="B12" s="184">
        <v>313.95310905674575</v>
      </c>
      <c r="C12" s="181">
        <v>336.35449487705358</v>
      </c>
      <c r="D12" s="214">
        <v>-6.6600524629516641E-2</v>
      </c>
      <c r="E12" s="181">
        <v>316.35299234701233</v>
      </c>
      <c r="F12" s="181">
        <v>343.02500571133265</v>
      </c>
      <c r="G12" s="214">
        <v>-7.7755303316766763E-2</v>
      </c>
      <c r="H12" s="186">
        <v>330</v>
      </c>
      <c r="I12" s="190">
        <v>3439.013946421001</v>
      </c>
      <c r="J12" s="181">
        <v>3649.5234189770158</v>
      </c>
      <c r="K12" s="181">
        <v>3465.302050812787</v>
      </c>
      <c r="L12" s="180">
        <v>3721.8999915426352</v>
      </c>
      <c r="M12" s="188">
        <v>3550</v>
      </c>
      <c r="N12" s="190">
        <v>17.459999999999994</v>
      </c>
      <c r="O12" s="181">
        <v>24</v>
      </c>
      <c r="P12" s="181">
        <v>13.2</v>
      </c>
      <c r="Q12" s="181">
        <v>16.59</v>
      </c>
      <c r="R12" s="188">
        <v>0.86999999999999389</v>
      </c>
      <c r="S12" s="215">
        <v>54.903545895077762</v>
      </c>
      <c r="T12" s="215">
        <v>601.40838599999995</v>
      </c>
      <c r="U12" s="66"/>
      <c r="V12" s="68"/>
    </row>
    <row r="13" spans="1:22" ht="12" customHeight="1">
      <c r="A13" s="176" t="s">
        <v>166</v>
      </c>
      <c r="B13" s="183">
        <v>281.13655028742176</v>
      </c>
      <c r="C13" s="178">
        <v>288.56559520753245</v>
      </c>
      <c r="D13" s="211">
        <v>-2.5744735489925018E-2</v>
      </c>
      <c r="E13" s="178">
        <v>289.05993831840243</v>
      </c>
      <c r="F13" s="178">
        <v>290.00270000615274</v>
      </c>
      <c r="G13" s="211">
        <v>-3.2508721047435209E-3</v>
      </c>
      <c r="H13" s="185">
        <v>270</v>
      </c>
      <c r="I13" s="189">
        <v>3081.4517639850001</v>
      </c>
      <c r="J13" s="178">
        <v>3138.9261413289951</v>
      </c>
      <c r="K13" s="178">
        <v>3168.297597441524</v>
      </c>
      <c r="L13" s="177">
        <v>3154.5585171046805</v>
      </c>
      <c r="M13" s="177">
        <v>2910</v>
      </c>
      <c r="N13" s="183">
        <v>19.896774193548385</v>
      </c>
      <c r="O13" s="177">
        <v>26.1</v>
      </c>
      <c r="P13" s="177">
        <v>13.6</v>
      </c>
      <c r="Q13" s="177">
        <v>18.522580645161291</v>
      </c>
      <c r="R13" s="187">
        <v>1.374193548387094</v>
      </c>
      <c r="S13" s="209">
        <v>50.067986280928508</v>
      </c>
      <c r="T13" s="209">
        <v>548.77922400000034</v>
      </c>
      <c r="U13" s="57"/>
      <c r="V13" s="65"/>
    </row>
    <row r="14" spans="1:22" ht="12" customHeight="1">
      <c r="A14" s="176" t="s">
        <v>167</v>
      </c>
      <c r="B14" s="183">
        <v>287.61269371612508</v>
      </c>
      <c r="C14" s="178">
        <v>311.10515298840176</v>
      </c>
      <c r="D14" s="211">
        <v>-7.5512922388503462E-2</v>
      </c>
      <c r="E14" s="178">
        <v>290.23701826417499</v>
      </c>
      <c r="F14" s="178">
        <v>316.66437346991484</v>
      </c>
      <c r="G14" s="211">
        <v>-8.3455410269733465E-2</v>
      </c>
      <c r="H14" s="185">
        <v>290</v>
      </c>
      <c r="I14" s="189">
        <v>3154.8821410679993</v>
      </c>
      <c r="J14" s="178">
        <v>3377.6271495339843</v>
      </c>
      <c r="K14" s="178">
        <v>3183.668890853045</v>
      </c>
      <c r="L14" s="177">
        <v>3437.9828647905042</v>
      </c>
      <c r="M14" s="177">
        <v>3120</v>
      </c>
      <c r="N14" s="189">
        <v>18.838709677419359</v>
      </c>
      <c r="O14" s="178">
        <v>24.6</v>
      </c>
      <c r="P14" s="178">
        <v>12.9</v>
      </c>
      <c r="Q14" s="178">
        <v>18.119354838709679</v>
      </c>
      <c r="R14" s="187">
        <v>0.71935483870968042</v>
      </c>
      <c r="S14" s="209">
        <v>42.60131227383679</v>
      </c>
      <c r="T14" s="209">
        <v>467.30147800000094</v>
      </c>
      <c r="U14" s="57"/>
      <c r="V14" s="65"/>
    </row>
    <row r="15" spans="1:22" ht="12" customHeight="1">
      <c r="A15" s="179" t="s">
        <v>168</v>
      </c>
      <c r="B15" s="184">
        <v>302.25361771234776</v>
      </c>
      <c r="C15" s="181">
        <v>383.35796064253685</v>
      </c>
      <c r="D15" s="214">
        <v>-0.21156295487969545</v>
      </c>
      <c r="E15" s="181">
        <v>352.89337133559525</v>
      </c>
      <c r="F15" s="181">
        <v>364.55300453126074</v>
      </c>
      <c r="G15" s="214">
        <v>-3.1983368812602032E-2</v>
      </c>
      <c r="H15" s="186">
        <v>410</v>
      </c>
      <c r="I15" s="190">
        <v>3320.1874197630009</v>
      </c>
      <c r="J15" s="181">
        <v>4195.2896731579685</v>
      </c>
      <c r="K15" s="181">
        <v>3876.4536249199409</v>
      </c>
      <c r="L15" s="180">
        <v>3989.4970556117041</v>
      </c>
      <c r="M15" s="180">
        <v>4410</v>
      </c>
      <c r="N15" s="190">
        <v>16.65666666666667</v>
      </c>
      <c r="O15" s="181">
        <v>20.5</v>
      </c>
      <c r="P15" s="181">
        <v>11.5</v>
      </c>
      <c r="Q15" s="181">
        <v>13.223333333333333</v>
      </c>
      <c r="R15" s="188">
        <v>3.4333333333333371</v>
      </c>
      <c r="S15" s="215">
        <v>48.662613152847648</v>
      </c>
      <c r="T15" s="215">
        <v>534.54732000000092</v>
      </c>
      <c r="U15" s="57"/>
      <c r="V15" s="65"/>
    </row>
    <row r="16" spans="1:22" ht="12" customHeight="1">
      <c r="A16" s="176" t="s">
        <v>169</v>
      </c>
      <c r="B16" s="183"/>
      <c r="C16" s="178">
        <v>507.60933393401041</v>
      </c>
      <c r="D16" s="211"/>
      <c r="E16" s="178"/>
      <c r="F16" s="178">
        <v>577.43055895996144</v>
      </c>
      <c r="G16" s="211"/>
      <c r="H16" s="185">
        <v>600</v>
      </c>
      <c r="I16" s="189"/>
      <c r="J16" s="178">
        <v>5563.6281824909929</v>
      </c>
      <c r="K16" s="178"/>
      <c r="L16" s="177">
        <v>6328.9004289247559</v>
      </c>
      <c r="M16" s="177">
        <v>6450</v>
      </c>
      <c r="N16" s="183"/>
      <c r="O16" s="177"/>
      <c r="P16" s="177"/>
      <c r="Q16" s="177">
        <v>8.3548387096774199</v>
      </c>
      <c r="R16" s="187"/>
      <c r="S16" s="209"/>
      <c r="T16" s="209"/>
      <c r="U16" s="57"/>
      <c r="V16" s="65"/>
    </row>
    <row r="17" spans="1:22" ht="12" customHeight="1">
      <c r="A17" s="176" t="s">
        <v>170</v>
      </c>
      <c r="B17" s="183"/>
      <c r="C17" s="178">
        <v>742.97066453171442</v>
      </c>
      <c r="D17" s="211"/>
      <c r="E17" s="178"/>
      <c r="F17" s="178">
        <v>772.59056478915386</v>
      </c>
      <c r="G17" s="211"/>
      <c r="H17" s="185">
        <v>760</v>
      </c>
      <c r="I17" s="189"/>
      <c r="J17" s="178">
        <v>8121.0956048529115</v>
      </c>
      <c r="K17" s="178"/>
      <c r="L17" s="177">
        <v>8444.8581075736438</v>
      </c>
      <c r="M17" s="177">
        <v>8170</v>
      </c>
      <c r="N17" s="189"/>
      <c r="O17" s="178"/>
      <c r="P17" s="178"/>
      <c r="Q17" s="178">
        <v>3.5466666666666664</v>
      </c>
      <c r="R17" s="187"/>
      <c r="S17" s="209"/>
      <c r="T17" s="209"/>
      <c r="U17" s="57"/>
      <c r="V17" s="65"/>
    </row>
    <row r="18" spans="1:22" ht="12" customHeight="1">
      <c r="A18" s="179" t="s">
        <v>171</v>
      </c>
      <c r="B18" s="184"/>
      <c r="C18" s="181">
        <v>966.15799449828557</v>
      </c>
      <c r="D18" s="214"/>
      <c r="E18" s="181"/>
      <c r="F18" s="181">
        <v>990.3670066920921</v>
      </c>
      <c r="G18" s="214"/>
      <c r="H18" s="186">
        <v>990</v>
      </c>
      <c r="I18" s="190"/>
      <c r="J18" s="181">
        <v>10527.754113535413</v>
      </c>
      <c r="K18" s="181"/>
      <c r="L18" s="180">
        <v>10791.547953838235</v>
      </c>
      <c r="M18" s="180">
        <v>10650</v>
      </c>
      <c r="N18" s="190"/>
      <c r="O18" s="181"/>
      <c r="P18" s="181"/>
      <c r="Q18" s="181">
        <v>-0.38387096774193558</v>
      </c>
      <c r="R18" s="188"/>
      <c r="S18" s="215"/>
      <c r="T18" s="215"/>
      <c r="U18" s="57"/>
      <c r="V18" s="65"/>
    </row>
    <row r="19" spans="1:22" ht="12" customHeight="1">
      <c r="A19" s="176" t="s">
        <v>48</v>
      </c>
      <c r="B19" s="220">
        <f>SUM(B7:B9)</f>
        <v>2521.8153934680477</v>
      </c>
      <c r="C19" s="411">
        <f>SUM(C7:C9)</f>
        <v>2947.3827257263411</v>
      </c>
      <c r="D19" s="211">
        <f>(B19-C19)/C19</f>
        <v>-0.14438821553227985</v>
      </c>
      <c r="E19" s="212">
        <f t="shared" ref="E19:F19" si="0">SUM(E7:E9)</f>
        <v>2736.7731866402555</v>
      </c>
      <c r="F19" s="212">
        <f t="shared" si="0"/>
        <v>3113.5818981614166</v>
      </c>
      <c r="G19" s="211">
        <f t="shared" ref="G19:G25" si="1">(E19-F19)/F19</f>
        <v>-0.12102097322176372</v>
      </c>
      <c r="H19" s="378">
        <f t="shared" ref="H19:M19" si="2">SUM(H7:H9)</f>
        <v>2840</v>
      </c>
      <c r="I19" s="220">
        <f>SUM(I7:I9)</f>
        <v>27395.971974920991</v>
      </c>
      <c r="J19" s="411">
        <f t="shared" si="2"/>
        <v>31555.212394833838</v>
      </c>
      <c r="K19" s="212">
        <f t="shared" si="2"/>
        <v>29733.491311149184</v>
      </c>
      <c r="L19" s="212">
        <f t="shared" si="2"/>
        <v>33331.972730866008</v>
      </c>
      <c r="M19" s="378">
        <f t="shared" si="2"/>
        <v>30530</v>
      </c>
      <c r="N19" s="220">
        <f>AVERAGE(N7:N9)</f>
        <v>2.8142473118279572</v>
      </c>
      <c r="O19" s="212">
        <f>MAX(O7:O9)</f>
        <v>12.9</v>
      </c>
      <c r="P19" s="212">
        <f>MIN(P7:P9)</f>
        <v>-6.1</v>
      </c>
      <c r="Q19" s="212">
        <f>AVERAGE(Q7:Q9)</f>
        <v>0.71064145346681462</v>
      </c>
      <c r="R19" s="223">
        <f>N19-Q19</f>
        <v>2.1036058583611426</v>
      </c>
      <c r="S19" s="212">
        <f>SUM(S7:S9)</f>
        <v>153.36034205281993</v>
      </c>
      <c r="T19" s="212">
        <f>SUM(T7:T9)</f>
        <v>1665.6319599999993</v>
      </c>
      <c r="U19" s="63"/>
      <c r="V19" s="65"/>
    </row>
    <row r="20" spans="1:22" ht="12" customHeight="1">
      <c r="A20" s="176" t="s">
        <v>56</v>
      </c>
      <c r="B20" s="220">
        <f>SUM(B10:B12)</f>
        <v>1289.2744394996469</v>
      </c>
      <c r="C20" s="212">
        <f>SUM(C10:C12)</f>
        <v>1396.612856040472</v>
      </c>
      <c r="D20" s="211">
        <f>(B20-C20)/C20</f>
        <v>-7.6856242642030101E-2</v>
      </c>
      <c r="E20" s="212">
        <f t="shared" ref="E20:I20" si="3">SUM(E10:E12)</f>
        <v>1212.6048440833029</v>
      </c>
      <c r="F20" s="212">
        <f t="shared" ref="F20" si="4">SUM(F10:F12)</f>
        <v>1357.0473607459971</v>
      </c>
      <c r="G20" s="211">
        <f>(E20-F20)/F20</f>
        <v>-0.10643881771620059</v>
      </c>
      <c r="H20" s="223">
        <f>SUM(H10:H12)</f>
        <v>1320</v>
      </c>
      <c r="I20" s="220">
        <f t="shared" si="3"/>
        <v>14092.901379225999</v>
      </c>
      <c r="J20" s="212">
        <f t="shared" ref="J20" si="5">SUM(J10:J12)</f>
        <v>15067.165053102901</v>
      </c>
      <c r="K20" s="212">
        <f>SUM(K10:K12)</f>
        <v>13256.08512602796</v>
      </c>
      <c r="L20" s="212">
        <f>SUM(L10:L12)</f>
        <v>14640.403910450175</v>
      </c>
      <c r="M20" s="223">
        <f>SUM(M10:M12)</f>
        <v>14190</v>
      </c>
      <c r="N20" s="220">
        <f>AVERAGE(N10:N12)</f>
        <v>12.317634408602148</v>
      </c>
      <c r="O20" s="212">
        <f>MAX(O10:O12)</f>
        <v>24</v>
      </c>
      <c r="P20" s="212">
        <f>MIN(P10:P12)</f>
        <v>-0.4</v>
      </c>
      <c r="Q20" s="212">
        <f>AVERAGE(Q10:Q12)</f>
        <v>12.916415770609319</v>
      </c>
      <c r="R20" s="223">
        <f t="shared" ref="R20:R25" si="6">N20-Q20</f>
        <v>-0.59878136200717158</v>
      </c>
      <c r="S20" s="212">
        <f>SUM(S10:S12)</f>
        <v>100.41433792270175</v>
      </c>
      <c r="T20" s="212">
        <f>SUM(T10:T12)</f>
        <v>1098.4538789999999</v>
      </c>
      <c r="V20" s="65"/>
    </row>
    <row r="21" spans="1:22" ht="12" customHeight="1">
      <c r="A21" s="176" t="s">
        <v>63</v>
      </c>
      <c r="B21" s="220">
        <f>SUM(B13:B15)</f>
        <v>871.0028617158946</v>
      </c>
      <c r="C21" s="212">
        <f>SUM(C13:C15)</f>
        <v>983.02870883847118</v>
      </c>
      <c r="D21" s="211">
        <f t="shared" ref="D21:D25" si="7">(B21-C21)/C21</f>
        <v>-0.11395989365859344</v>
      </c>
      <c r="E21" s="212">
        <f t="shared" ref="E21:K21" si="8">SUM(E13:E15)</f>
        <v>932.19032791817267</v>
      </c>
      <c r="F21" s="212">
        <f t="shared" ref="F21" si="9">SUM(F13:F15)</f>
        <v>971.22007800732831</v>
      </c>
      <c r="G21" s="211">
        <f t="shared" si="1"/>
        <v>-4.0186308925196194E-2</v>
      </c>
      <c r="H21" s="223">
        <f>SUM(H13:H15)</f>
        <v>970</v>
      </c>
      <c r="I21" s="220">
        <f t="shared" si="8"/>
        <v>9556.5213248159998</v>
      </c>
      <c r="J21" s="212">
        <f t="shared" ref="J21" si="10">SUM(J13:J15)</f>
        <v>10711.842964020947</v>
      </c>
      <c r="K21" s="212">
        <f t="shared" si="8"/>
        <v>10228.42011321451</v>
      </c>
      <c r="L21" s="212">
        <f t="shared" ref="L21" si="11">SUM(L13:L15)</f>
        <v>10582.03843750689</v>
      </c>
      <c r="M21" s="223">
        <f>SUM(M13:M15)</f>
        <v>10440</v>
      </c>
      <c r="N21" s="220">
        <f>AVERAGE(N13:N15)</f>
        <v>18.464050179211469</v>
      </c>
      <c r="O21" s="212">
        <f>MAX(O13:O15)</f>
        <v>26.1</v>
      </c>
      <c r="P21" s="212">
        <f>MIN(P13:P15)</f>
        <v>11.5</v>
      </c>
      <c r="Q21" s="212">
        <f>AVERAGE(Q13:Q15)</f>
        <v>16.621756272401431</v>
      </c>
      <c r="R21" s="223">
        <f>N21-Q21</f>
        <v>1.8422939068100384</v>
      </c>
      <c r="S21" s="212">
        <f t="shared" ref="S21:T21" si="12">SUM(S13:S15)</f>
        <v>141.33191170761296</v>
      </c>
      <c r="T21" s="212">
        <f t="shared" si="12"/>
        <v>1550.6280220000021</v>
      </c>
      <c r="V21" s="65"/>
    </row>
    <row r="22" spans="1:22" ht="12" customHeight="1">
      <c r="A22" s="179" t="s">
        <v>57</v>
      </c>
      <c r="B22" s="392">
        <f>SUM(B16:B18)</f>
        <v>0</v>
      </c>
      <c r="C22" s="408">
        <f>SUM(C16:C18)</f>
        <v>2216.7379929640106</v>
      </c>
      <c r="D22" s="394">
        <f t="shared" si="7"/>
        <v>-1</v>
      </c>
      <c r="E22" s="393">
        <f t="shared" ref="E22:K22" si="13">SUM(E16:E18)</f>
        <v>0</v>
      </c>
      <c r="F22" s="408">
        <f t="shared" ref="F22" si="14">SUM(F16:F18)</f>
        <v>2340.3881304412075</v>
      </c>
      <c r="G22" s="394">
        <f t="shared" si="1"/>
        <v>-1</v>
      </c>
      <c r="H22" s="406">
        <f>SUM(H16:H18)</f>
        <v>2350</v>
      </c>
      <c r="I22" s="392">
        <f t="shared" si="13"/>
        <v>0</v>
      </c>
      <c r="J22" s="408">
        <f t="shared" ref="J22" si="15">SUM(J16:J18)</f>
        <v>24212.477900879319</v>
      </c>
      <c r="K22" s="393">
        <f t="shared" si="13"/>
        <v>0</v>
      </c>
      <c r="L22" s="408">
        <f t="shared" ref="L22" si="16">SUM(L16:L18)</f>
        <v>25565.306490336636</v>
      </c>
      <c r="M22" s="406">
        <f>SUM(M16:M18)</f>
        <v>25270</v>
      </c>
      <c r="N22" s="392" t="e">
        <f>AVERAGE(N16:N18)</f>
        <v>#DIV/0!</v>
      </c>
      <c r="O22" s="393">
        <f>MAX(O16:O18)</f>
        <v>0</v>
      </c>
      <c r="P22" s="393">
        <f>MIN(P16:P18)</f>
        <v>0</v>
      </c>
      <c r="Q22" s="408">
        <f>AVERAGE(Q16:Q18)</f>
        <v>3.83921146953405</v>
      </c>
      <c r="R22" s="395" t="e">
        <f t="shared" si="6"/>
        <v>#DIV/0!</v>
      </c>
      <c r="S22" s="393">
        <f t="shared" ref="S22:T22" si="17">SUM(S16:S18)</f>
        <v>0</v>
      </c>
      <c r="T22" s="393">
        <f t="shared" si="17"/>
        <v>0</v>
      </c>
      <c r="V22" s="65"/>
    </row>
    <row r="23" spans="1:22" ht="12" customHeight="1">
      <c r="A23" s="176" t="s">
        <v>58</v>
      </c>
      <c r="B23" s="220">
        <f>SUM(B7:B12)</f>
        <v>3811.0898329676943</v>
      </c>
      <c r="C23" s="212">
        <f>SUM(C7:C12)</f>
        <v>4343.9955817668124</v>
      </c>
      <c r="D23" s="211">
        <f t="shared" si="7"/>
        <v>-0.1226764021206421</v>
      </c>
      <c r="E23" s="212">
        <f>SUM(E7:E12)</f>
        <v>3949.3780307235588</v>
      </c>
      <c r="F23" s="212">
        <f>SUM(F7:F12)</f>
        <v>4470.6292589074137</v>
      </c>
      <c r="G23" s="211">
        <f>(E23-F23)/F23</f>
        <v>-0.1165945995511255</v>
      </c>
      <c r="H23" s="223">
        <f>SUM(H7:H12)</f>
        <v>4160</v>
      </c>
      <c r="I23" s="220">
        <f t="shared" ref="I23:K23" si="18">SUM(I7:I12)</f>
        <v>41488.873354146992</v>
      </c>
      <c r="J23" s="212">
        <f t="shared" ref="J23" si="19">SUM(J7:J12)</f>
        <v>46622.377447936735</v>
      </c>
      <c r="K23" s="212">
        <f t="shared" si="18"/>
        <v>42989.576437177151</v>
      </c>
      <c r="L23" s="212">
        <f t="shared" ref="L23" si="20">SUM(L7:L12)</f>
        <v>47972.376641316179</v>
      </c>
      <c r="M23" s="223">
        <f>SUM(M7:M12)</f>
        <v>44720</v>
      </c>
      <c r="N23" s="220">
        <f>AVERAGE(N7:N12)</f>
        <v>7.5659408602150533</v>
      </c>
      <c r="O23" s="212">
        <f>MAX(O7:O12)</f>
        <v>24</v>
      </c>
      <c r="P23" s="212">
        <f>MIN(P7:P12)</f>
        <v>-6.1</v>
      </c>
      <c r="Q23" s="212">
        <f>AVERAGE(Q7:Q12)</f>
        <v>6.8135286120380663</v>
      </c>
      <c r="R23" s="223">
        <f t="shared" si="6"/>
        <v>0.75241224817698704</v>
      </c>
      <c r="S23" s="212">
        <f>SUM(S7:S12)</f>
        <v>253.77467997552168</v>
      </c>
      <c r="T23" s="212">
        <f>SUM(T7:T12)</f>
        <v>2764.0858389999994</v>
      </c>
      <c r="V23" s="65"/>
    </row>
    <row r="24" spans="1:22" ht="12" customHeight="1">
      <c r="A24" s="179" t="s">
        <v>59</v>
      </c>
      <c r="B24" s="392">
        <f>SUM(B13:B18)</f>
        <v>871.0028617158946</v>
      </c>
      <c r="C24" s="408">
        <f>SUM(C13:C18)</f>
        <v>3199.7667018024817</v>
      </c>
      <c r="D24" s="394">
        <f t="shared" si="7"/>
        <v>-0.72779176018512715</v>
      </c>
      <c r="E24" s="393">
        <f t="shared" ref="E24:K24" si="21">SUM(E13:E18)</f>
        <v>932.19032791817267</v>
      </c>
      <c r="F24" s="408">
        <f t="shared" ref="F24" si="22">SUM(F13:F18)</f>
        <v>3311.6082084485361</v>
      </c>
      <c r="G24" s="394">
        <f t="shared" si="1"/>
        <v>-0.71850826871971774</v>
      </c>
      <c r="H24" s="406">
        <f>SUM(H13:H18)</f>
        <v>3320</v>
      </c>
      <c r="I24" s="392">
        <f t="shared" si="21"/>
        <v>9556.5213248159998</v>
      </c>
      <c r="J24" s="408">
        <f t="shared" ref="J24" si="23">SUM(J13:J18)</f>
        <v>34924.320864900263</v>
      </c>
      <c r="K24" s="393">
        <f t="shared" si="21"/>
        <v>10228.42011321451</v>
      </c>
      <c r="L24" s="408">
        <f t="shared" ref="L24" si="24">SUM(L13:L18)</f>
        <v>36147.344927843529</v>
      </c>
      <c r="M24" s="406">
        <f>SUM(M13:M18)</f>
        <v>35710</v>
      </c>
      <c r="N24" s="392">
        <f>AVERAGE(N13:N18)</f>
        <v>18.464050179211469</v>
      </c>
      <c r="O24" s="393">
        <f>MAX(O13:O18)</f>
        <v>26.1</v>
      </c>
      <c r="P24" s="393">
        <f>MIN(P13:P18)</f>
        <v>11.5</v>
      </c>
      <c r="Q24" s="408">
        <f>AVERAGE(Q13:Q18)</f>
        <v>10.230483870967742</v>
      </c>
      <c r="R24" s="395">
        <f t="shared" si="6"/>
        <v>8.2335663082437271</v>
      </c>
      <c r="S24" s="393">
        <f t="shared" ref="S24:T24" si="25">SUM(S13:S18)</f>
        <v>141.33191170761296</v>
      </c>
      <c r="T24" s="393">
        <f t="shared" si="25"/>
        <v>1550.6280220000021</v>
      </c>
      <c r="V24" s="65"/>
    </row>
    <row r="25" spans="1:22" ht="12" customHeight="1">
      <c r="A25" s="216" t="s">
        <v>172</v>
      </c>
      <c r="B25" s="396">
        <f>SUM(B7:B18)</f>
        <v>4682.0926946835889</v>
      </c>
      <c r="C25" s="409">
        <f>SUM(C7:C18)</f>
        <v>7543.7622835692937</v>
      </c>
      <c r="D25" s="398">
        <f t="shared" si="7"/>
        <v>-0.37934249268678177</v>
      </c>
      <c r="E25" s="397">
        <f t="shared" ref="E25:K25" si="26">SUM(E7:E18)</f>
        <v>4881.5683586417317</v>
      </c>
      <c r="F25" s="409">
        <f t="shared" ref="F25" si="27">SUM(F7:F18)</f>
        <v>7782.2374673559498</v>
      </c>
      <c r="G25" s="398">
        <f t="shared" si="1"/>
        <v>-0.37272945227919568</v>
      </c>
      <c r="H25" s="407">
        <f>SUM(H7:H18)</f>
        <v>7480</v>
      </c>
      <c r="I25" s="396">
        <f t="shared" si="26"/>
        <v>51045.394678962992</v>
      </c>
      <c r="J25" s="409">
        <f t="shared" ref="J25" si="28">SUM(J7:J18)</f>
        <v>81546.698312837005</v>
      </c>
      <c r="K25" s="397">
        <f t="shared" si="26"/>
        <v>53217.996550391661</v>
      </c>
      <c r="L25" s="409">
        <f t="shared" ref="L25" si="29">SUM(L7:L18)</f>
        <v>84119.721569159694</v>
      </c>
      <c r="M25" s="407">
        <f>SUM(M7:M18)</f>
        <v>80430</v>
      </c>
      <c r="N25" s="396">
        <f>AVERAGE(N7:N18)</f>
        <v>11.198643966547191</v>
      </c>
      <c r="O25" s="397">
        <f>MAX(O7:O18)</f>
        <v>26.1</v>
      </c>
      <c r="P25" s="397">
        <f>MIN(P7:P18)</f>
        <v>-6.1</v>
      </c>
      <c r="Q25" s="409">
        <f>AVERAGE(Q7:Q18)</f>
        <v>8.5220062415029041</v>
      </c>
      <c r="R25" s="399">
        <f t="shared" si="6"/>
        <v>2.6766377250442872</v>
      </c>
      <c r="S25" s="397">
        <f t="shared" ref="S25:T25" si="30">SUM(S7:S18)</f>
        <v>395.10659168313464</v>
      </c>
      <c r="T25" s="397">
        <f t="shared" si="30"/>
        <v>4314.7138610000011</v>
      </c>
      <c r="V25" s="65"/>
    </row>
    <row r="26" spans="1:22" ht="11.25" customHeight="1">
      <c r="A26" s="460" t="s">
        <v>319</v>
      </c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</row>
    <row r="27" spans="1:22" ht="15" customHeight="1">
      <c r="A27" s="459" t="s">
        <v>250</v>
      </c>
      <c r="B27" s="459"/>
      <c r="C27" s="459"/>
      <c r="D27" s="459"/>
      <c r="E27" s="459"/>
      <c r="F27" s="459"/>
      <c r="G27" s="459"/>
      <c r="H27" s="459"/>
      <c r="I27" s="459"/>
      <c r="J27" s="459" t="s">
        <v>157</v>
      </c>
      <c r="K27" s="459"/>
      <c r="L27" s="459"/>
      <c r="M27" s="459"/>
      <c r="N27" s="459"/>
      <c r="O27" s="459"/>
      <c r="P27" s="459"/>
      <c r="Q27" s="459"/>
      <c r="R27" s="459"/>
      <c r="S27" s="459"/>
      <c r="T27" s="459"/>
    </row>
    <row r="28" spans="1:22" ht="8.1" customHeight="1">
      <c r="A28" s="61"/>
      <c r="B28" s="61"/>
      <c r="C28" s="61"/>
      <c r="D28" s="61"/>
      <c r="E28" s="61" t="s">
        <v>138</v>
      </c>
      <c r="F28" s="61" t="s">
        <v>133</v>
      </c>
      <c r="G28" s="61"/>
      <c r="H28" s="61"/>
      <c r="I28" s="61"/>
      <c r="J28" s="61"/>
      <c r="K28" s="61"/>
      <c r="L28" s="61"/>
      <c r="M28" s="61"/>
      <c r="N28" s="62" t="str">
        <f>N6</f>
        <v>Průměr</v>
      </c>
      <c r="O28" s="62" t="str">
        <f>Q6</f>
        <v>Normál</v>
      </c>
      <c r="P28" s="62"/>
      <c r="Q28" s="61"/>
      <c r="R28" s="61"/>
      <c r="S28" s="61"/>
      <c r="T28" s="61"/>
    </row>
    <row r="29" spans="1:22" ht="6.95" customHeight="1">
      <c r="A29" s="61"/>
      <c r="B29" s="61"/>
      <c r="C29" s="61"/>
      <c r="D29" s="61" t="str">
        <f>A7</f>
        <v>Leden</v>
      </c>
      <c r="E29" s="62">
        <f>B7</f>
        <v>891.77987089563828</v>
      </c>
      <c r="F29" s="62">
        <f>E7</f>
        <v>1018.2711816603346</v>
      </c>
      <c r="G29" s="62"/>
      <c r="H29" s="62"/>
      <c r="I29" s="61"/>
      <c r="J29" s="61"/>
      <c r="K29" s="61"/>
      <c r="L29" s="61"/>
      <c r="M29" s="61" t="str">
        <f>A7</f>
        <v>Leden</v>
      </c>
      <c r="N29" s="62">
        <f>N7</f>
        <v>2.1903225806451618</v>
      </c>
      <c r="O29" s="62">
        <f>Q7</f>
        <v>-1.2258064516129035</v>
      </c>
      <c r="P29" s="62"/>
      <c r="Q29" s="61"/>
      <c r="R29" s="61"/>
      <c r="S29" s="61"/>
      <c r="T29" s="61"/>
    </row>
    <row r="30" spans="1:22" ht="6.95" customHeight="1">
      <c r="A30" s="61"/>
      <c r="B30" s="61"/>
      <c r="C30" s="61"/>
      <c r="D30" s="61" t="str">
        <f t="shared" ref="D30:D39" si="31">A8</f>
        <v>Únor</v>
      </c>
      <c r="E30" s="62">
        <f t="shared" ref="E30:E40" si="32">B8</f>
        <v>860.76740305537987</v>
      </c>
      <c r="F30" s="62">
        <f t="shared" ref="F30:F40" si="33">E8</f>
        <v>905.06624105235687</v>
      </c>
      <c r="G30" s="62"/>
      <c r="H30" s="62"/>
      <c r="I30" s="61"/>
      <c r="J30" s="61"/>
      <c r="K30" s="61"/>
      <c r="L30" s="61"/>
      <c r="M30" s="61" t="str">
        <f t="shared" ref="M30:M40" si="34">A8</f>
        <v>Únor</v>
      </c>
      <c r="N30" s="62">
        <f t="shared" ref="N30:N40" si="35">N8</f>
        <v>1.375</v>
      </c>
      <c r="O30" s="62">
        <f t="shared" ref="O30:O40" si="36">Q8</f>
        <v>-0.15517241379310354</v>
      </c>
      <c r="P30" s="62"/>
      <c r="Q30" s="61"/>
      <c r="R30" s="61"/>
      <c r="S30" s="61"/>
      <c r="T30" s="61"/>
    </row>
    <row r="31" spans="1:22" ht="6.95" customHeight="1">
      <c r="A31" s="61"/>
      <c r="B31" s="61"/>
      <c r="C31" s="61"/>
      <c r="D31" s="61" t="str">
        <f t="shared" si="31"/>
        <v>Březen</v>
      </c>
      <c r="E31" s="62">
        <f t="shared" si="32"/>
        <v>769.26811951702939</v>
      </c>
      <c r="F31" s="62">
        <f t="shared" si="33"/>
        <v>813.43576392756404</v>
      </c>
      <c r="G31" s="62"/>
      <c r="H31" s="62"/>
      <c r="I31" s="61"/>
      <c r="J31" s="61"/>
      <c r="K31" s="61"/>
      <c r="L31" s="61"/>
      <c r="M31" s="61" t="str">
        <f t="shared" si="34"/>
        <v>Březen</v>
      </c>
      <c r="N31" s="62">
        <f t="shared" si="35"/>
        <v>4.8774193548387101</v>
      </c>
      <c r="O31" s="62">
        <f t="shared" si="36"/>
        <v>3.512903225806451</v>
      </c>
      <c r="P31" s="62"/>
      <c r="Q31" s="61"/>
      <c r="R31" s="61"/>
      <c r="S31" s="61"/>
      <c r="T31" s="61"/>
    </row>
    <row r="32" spans="1:22" ht="6.95" customHeight="1">
      <c r="A32" s="61"/>
      <c r="B32" s="61"/>
      <c r="C32" s="61"/>
      <c r="D32" s="61" t="str">
        <f t="shared" si="31"/>
        <v>Duben</v>
      </c>
      <c r="E32" s="62">
        <f t="shared" si="32"/>
        <v>606.46775451524184</v>
      </c>
      <c r="F32" s="62">
        <f t="shared" si="33"/>
        <v>542.15893668344847</v>
      </c>
      <c r="G32" s="62"/>
      <c r="H32" s="62"/>
      <c r="I32" s="61"/>
      <c r="J32" s="61"/>
      <c r="K32" s="61"/>
      <c r="L32" s="61"/>
      <c r="M32" s="61" t="str">
        <f t="shared" si="34"/>
        <v>Duben</v>
      </c>
      <c r="N32" s="62">
        <f t="shared" si="35"/>
        <v>6.6799999999999988</v>
      </c>
      <c r="O32" s="62">
        <f t="shared" si="36"/>
        <v>8.6366666666666667</v>
      </c>
      <c r="P32" s="62"/>
      <c r="Q32" s="61"/>
      <c r="R32" s="61"/>
      <c r="S32" s="61"/>
      <c r="T32" s="61"/>
    </row>
    <row r="33" spans="1:20" ht="6.95" customHeight="1">
      <c r="A33" s="61"/>
      <c r="B33" s="61"/>
      <c r="C33" s="61"/>
      <c r="D33" s="61" t="str">
        <f t="shared" si="31"/>
        <v>Květen</v>
      </c>
      <c r="E33" s="62">
        <f t="shared" si="32"/>
        <v>368.85357592765939</v>
      </c>
      <c r="F33" s="62">
        <f t="shared" si="33"/>
        <v>354.09291505284216</v>
      </c>
      <c r="G33" s="62"/>
      <c r="H33" s="62"/>
      <c r="I33" s="61"/>
      <c r="J33" s="61"/>
      <c r="K33" s="61"/>
      <c r="L33" s="61"/>
      <c r="M33" s="61" t="str">
        <f t="shared" si="34"/>
        <v>Květen</v>
      </c>
      <c r="N33" s="62">
        <f t="shared" si="35"/>
        <v>12.812903225806451</v>
      </c>
      <c r="O33" s="62">
        <f t="shared" si="36"/>
        <v>13.522580645161288</v>
      </c>
      <c r="P33" s="62"/>
      <c r="Q33" s="61"/>
      <c r="R33" s="61"/>
      <c r="S33" s="61"/>
      <c r="T33" s="61"/>
    </row>
    <row r="34" spans="1:20" ht="6.95" customHeight="1">
      <c r="A34" s="61"/>
      <c r="B34" s="61"/>
      <c r="C34" s="61"/>
      <c r="D34" s="61" t="str">
        <f t="shared" si="31"/>
        <v>Červen</v>
      </c>
      <c r="E34" s="62">
        <f t="shared" si="32"/>
        <v>313.95310905674575</v>
      </c>
      <c r="F34" s="62">
        <f t="shared" si="33"/>
        <v>316.35299234701233</v>
      </c>
      <c r="G34" s="62"/>
      <c r="H34" s="62"/>
      <c r="I34" s="61"/>
      <c r="J34" s="61"/>
      <c r="K34" s="61"/>
      <c r="L34" s="61"/>
      <c r="M34" s="61" t="str">
        <f t="shared" si="34"/>
        <v>Červen</v>
      </c>
      <c r="N34" s="62">
        <f t="shared" si="35"/>
        <v>17.459999999999994</v>
      </c>
      <c r="O34" s="62">
        <f t="shared" si="36"/>
        <v>16.59</v>
      </c>
      <c r="P34" s="62"/>
      <c r="Q34" s="61"/>
      <c r="R34" s="61"/>
      <c r="S34" s="61"/>
      <c r="T34" s="61"/>
    </row>
    <row r="35" spans="1:20" ht="6.95" customHeight="1">
      <c r="A35" s="61"/>
      <c r="B35" s="61"/>
      <c r="C35" s="61"/>
      <c r="D35" s="61" t="str">
        <f t="shared" si="31"/>
        <v>Červenec</v>
      </c>
      <c r="E35" s="62">
        <f t="shared" si="32"/>
        <v>281.13655028742176</v>
      </c>
      <c r="F35" s="62">
        <f t="shared" si="33"/>
        <v>289.05993831840243</v>
      </c>
      <c r="G35" s="62"/>
      <c r="H35" s="62"/>
      <c r="I35" s="61"/>
      <c r="J35" s="61"/>
      <c r="K35" s="61"/>
      <c r="L35" s="61"/>
      <c r="M35" s="61" t="str">
        <f t="shared" si="34"/>
        <v>Červenec</v>
      </c>
      <c r="N35" s="62">
        <f t="shared" si="35"/>
        <v>19.896774193548385</v>
      </c>
      <c r="O35" s="62">
        <f t="shared" si="36"/>
        <v>18.522580645161291</v>
      </c>
      <c r="P35" s="62"/>
      <c r="Q35" s="61"/>
      <c r="R35" s="61"/>
      <c r="S35" s="61"/>
      <c r="T35" s="61"/>
    </row>
    <row r="36" spans="1:20" ht="6.95" customHeight="1">
      <c r="A36" s="61"/>
      <c r="B36" s="61"/>
      <c r="C36" s="61"/>
      <c r="D36" s="61" t="str">
        <f t="shared" si="31"/>
        <v>Srpen</v>
      </c>
      <c r="E36" s="62">
        <f t="shared" si="32"/>
        <v>287.61269371612508</v>
      </c>
      <c r="F36" s="62">
        <f t="shared" si="33"/>
        <v>290.23701826417499</v>
      </c>
      <c r="G36" s="62"/>
      <c r="H36" s="62"/>
      <c r="I36" s="61"/>
      <c r="J36" s="61"/>
      <c r="K36" s="61"/>
      <c r="L36" s="61"/>
      <c r="M36" s="61" t="str">
        <f t="shared" si="34"/>
        <v>Srpen</v>
      </c>
      <c r="N36" s="62">
        <f t="shared" si="35"/>
        <v>18.838709677419359</v>
      </c>
      <c r="O36" s="62">
        <f t="shared" si="36"/>
        <v>18.119354838709679</v>
      </c>
      <c r="P36" s="62"/>
      <c r="Q36" s="61"/>
      <c r="R36" s="61"/>
      <c r="S36" s="61"/>
      <c r="T36" s="61"/>
    </row>
    <row r="37" spans="1:20" ht="6.95" customHeight="1">
      <c r="A37" s="61"/>
      <c r="B37" s="61"/>
      <c r="C37" s="61"/>
      <c r="D37" s="61" t="str">
        <f t="shared" si="31"/>
        <v>Září</v>
      </c>
      <c r="E37" s="62">
        <f t="shared" si="32"/>
        <v>302.25361771234776</v>
      </c>
      <c r="F37" s="62">
        <f t="shared" si="33"/>
        <v>352.89337133559525</v>
      </c>
      <c r="G37" s="62"/>
      <c r="H37" s="62"/>
      <c r="I37" s="61"/>
      <c r="J37" s="61"/>
      <c r="K37" s="61"/>
      <c r="L37" s="61"/>
      <c r="M37" s="61" t="str">
        <f t="shared" si="34"/>
        <v>Září</v>
      </c>
      <c r="N37" s="62">
        <f t="shared" si="35"/>
        <v>16.65666666666667</v>
      </c>
      <c r="O37" s="62">
        <f t="shared" si="36"/>
        <v>13.223333333333333</v>
      </c>
      <c r="P37" s="62"/>
      <c r="Q37" s="61"/>
      <c r="R37" s="61"/>
      <c r="S37" s="61"/>
      <c r="T37" s="61"/>
    </row>
    <row r="38" spans="1:20" ht="6.95" customHeight="1">
      <c r="A38" s="61"/>
      <c r="B38" s="61"/>
      <c r="C38" s="61"/>
      <c r="D38" s="61" t="str">
        <f t="shared" si="31"/>
        <v>Říjen</v>
      </c>
      <c r="E38" s="62">
        <f t="shared" si="32"/>
        <v>0</v>
      </c>
      <c r="F38" s="62">
        <f t="shared" si="33"/>
        <v>0</v>
      </c>
      <c r="G38" s="62"/>
      <c r="H38" s="62"/>
      <c r="I38" s="61"/>
      <c r="J38" s="61"/>
      <c r="K38" s="61"/>
      <c r="L38" s="61"/>
      <c r="M38" s="61" t="str">
        <f t="shared" si="34"/>
        <v>Říjen</v>
      </c>
      <c r="N38" s="62">
        <f t="shared" si="35"/>
        <v>0</v>
      </c>
      <c r="O38" s="62">
        <f t="shared" si="36"/>
        <v>8.3548387096774199</v>
      </c>
      <c r="P38" s="62"/>
      <c r="Q38" s="61"/>
      <c r="R38" s="61"/>
      <c r="S38" s="61"/>
      <c r="T38" s="61"/>
    </row>
    <row r="39" spans="1:20" ht="6.95" customHeight="1">
      <c r="A39" s="61"/>
      <c r="B39" s="61"/>
      <c r="C39" s="61"/>
      <c r="D39" s="61" t="str">
        <f t="shared" si="31"/>
        <v>Listopad</v>
      </c>
      <c r="E39" s="62">
        <f t="shared" si="32"/>
        <v>0</v>
      </c>
      <c r="F39" s="62">
        <f t="shared" si="33"/>
        <v>0</v>
      </c>
      <c r="G39" s="61"/>
      <c r="H39" s="61"/>
      <c r="I39" s="61"/>
      <c r="J39" s="61"/>
      <c r="K39" s="61"/>
      <c r="L39" s="61"/>
      <c r="M39" s="61" t="str">
        <f t="shared" si="34"/>
        <v>Listopad</v>
      </c>
      <c r="N39" s="62">
        <f t="shared" si="35"/>
        <v>0</v>
      </c>
      <c r="O39" s="62">
        <f t="shared" si="36"/>
        <v>3.5466666666666664</v>
      </c>
      <c r="P39" s="61"/>
      <c r="Q39" s="61"/>
      <c r="R39" s="61"/>
      <c r="S39" s="61"/>
      <c r="T39" s="61"/>
    </row>
    <row r="40" spans="1:20" ht="6.95" customHeight="1">
      <c r="A40" s="61"/>
      <c r="B40" s="61"/>
      <c r="C40" s="61"/>
      <c r="D40" s="61" t="str">
        <f>A18</f>
        <v>Prosinec</v>
      </c>
      <c r="E40" s="62">
        <f t="shared" si="32"/>
        <v>0</v>
      </c>
      <c r="F40" s="62">
        <f t="shared" si="33"/>
        <v>0</v>
      </c>
      <c r="G40" s="61"/>
      <c r="H40" s="61"/>
      <c r="I40" s="61"/>
      <c r="J40" s="61"/>
      <c r="K40" s="61"/>
      <c r="L40" s="61"/>
      <c r="M40" s="61" t="str">
        <f t="shared" si="34"/>
        <v>Prosinec</v>
      </c>
      <c r="N40" s="62">
        <f t="shared" si="35"/>
        <v>0</v>
      </c>
      <c r="O40" s="62">
        <f t="shared" si="36"/>
        <v>-0.38387096774193558</v>
      </c>
      <c r="P40" s="61"/>
      <c r="Q40" s="61"/>
      <c r="R40" s="61"/>
      <c r="S40" s="61"/>
      <c r="T40" s="61"/>
    </row>
    <row r="41" spans="1:20" ht="12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</row>
    <row r="42" spans="1:20" ht="12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 ht="12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54" spans="9:10">
      <c r="I54" s="63"/>
      <c r="J54" s="63"/>
    </row>
    <row r="56" spans="9:10">
      <c r="I56" s="68"/>
      <c r="J56" s="68"/>
    </row>
  </sheetData>
  <mergeCells count="12">
    <mergeCell ref="I4:M4"/>
    <mergeCell ref="N4:R4"/>
    <mergeCell ref="N5:R5"/>
    <mergeCell ref="B4:H4"/>
    <mergeCell ref="I5:J5"/>
    <mergeCell ref="K5:L5"/>
    <mergeCell ref="A27:I27"/>
    <mergeCell ref="J27:T27"/>
    <mergeCell ref="A26:T26"/>
    <mergeCell ref="B5:D5"/>
    <mergeCell ref="E5:G5"/>
    <mergeCell ref="S5:T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1:B22 D19:E19 B24 D23 I21:I22 I20 I24 I23 N19:R19 N20 N21:T22 N24:T24 N23:R23 P20:R20 E20 D21:E22 D24:E24 G19 G21:G22 G24 K21:K22 K24 K2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4"/>
  <sheetViews>
    <sheetView showGridLines="0" zoomScaleNormal="100" zoomScaleSheetLayoutView="100" workbookViewId="0">
      <selection activeCell="G1" sqref="G1"/>
    </sheetView>
  </sheetViews>
  <sheetFormatPr defaultRowHeight="11.25"/>
  <cols>
    <col min="1" max="1" width="8.28515625" style="12" customWidth="1"/>
    <col min="2" max="3" width="5.42578125" style="12" customWidth="1"/>
    <col min="4" max="4" width="6.5703125" style="12" customWidth="1"/>
    <col min="5" max="5" width="7.7109375" style="12" customWidth="1"/>
    <col min="6" max="6" width="4.140625" style="12" customWidth="1"/>
    <col min="7" max="7" width="7.7109375" style="12" customWidth="1"/>
    <col min="8" max="13" width="6.7109375" style="12" customWidth="1"/>
    <col min="14" max="14" width="7.5703125" style="12" customWidth="1"/>
    <col min="15" max="18" width="7.28515625" style="12" customWidth="1"/>
    <col min="19" max="20" width="6.7109375" style="12" customWidth="1"/>
    <col min="21" max="21" width="8" style="12" customWidth="1"/>
    <col min="22" max="22" width="9.28515625" style="12" bestFit="1" customWidth="1"/>
    <col min="23" max="23" width="11.42578125" style="12" bestFit="1" customWidth="1"/>
    <col min="24" max="262" width="9.140625" style="12"/>
    <col min="263" max="275" width="10.7109375" style="12" customWidth="1"/>
    <col min="276" max="518" width="9.140625" style="12"/>
    <col min="519" max="531" width="10.7109375" style="12" customWidth="1"/>
    <col min="532" max="774" width="9.140625" style="12"/>
    <col min="775" max="787" width="10.7109375" style="12" customWidth="1"/>
    <col min="788" max="1030" width="9.140625" style="12"/>
    <col min="1031" max="1043" width="10.7109375" style="12" customWidth="1"/>
    <col min="1044" max="1286" width="9.140625" style="12"/>
    <col min="1287" max="1299" width="10.7109375" style="12" customWidth="1"/>
    <col min="1300" max="1542" width="9.140625" style="12"/>
    <col min="1543" max="1555" width="10.7109375" style="12" customWidth="1"/>
    <col min="1556" max="1798" width="9.140625" style="12"/>
    <col min="1799" max="1811" width="10.7109375" style="12" customWidth="1"/>
    <col min="1812" max="2054" width="9.140625" style="12"/>
    <col min="2055" max="2067" width="10.7109375" style="12" customWidth="1"/>
    <col min="2068" max="2310" width="9.140625" style="12"/>
    <col min="2311" max="2323" width="10.7109375" style="12" customWidth="1"/>
    <col min="2324" max="2566" width="9.140625" style="12"/>
    <col min="2567" max="2579" width="10.7109375" style="12" customWidth="1"/>
    <col min="2580" max="2822" width="9.140625" style="12"/>
    <col min="2823" max="2835" width="10.7109375" style="12" customWidth="1"/>
    <col min="2836" max="3078" width="9.140625" style="12"/>
    <col min="3079" max="3091" width="10.7109375" style="12" customWidth="1"/>
    <col min="3092" max="3334" width="9.140625" style="12"/>
    <col min="3335" max="3347" width="10.7109375" style="12" customWidth="1"/>
    <col min="3348" max="3590" width="9.140625" style="12"/>
    <col min="3591" max="3603" width="10.7109375" style="12" customWidth="1"/>
    <col min="3604" max="3846" width="9.140625" style="12"/>
    <col min="3847" max="3859" width="10.7109375" style="12" customWidth="1"/>
    <col min="3860" max="4102" width="9.140625" style="12"/>
    <col min="4103" max="4115" width="10.7109375" style="12" customWidth="1"/>
    <col min="4116" max="4358" width="9.140625" style="12"/>
    <col min="4359" max="4371" width="10.7109375" style="12" customWidth="1"/>
    <col min="4372" max="4614" width="9.140625" style="12"/>
    <col min="4615" max="4627" width="10.7109375" style="12" customWidth="1"/>
    <col min="4628" max="4870" width="9.140625" style="12"/>
    <col min="4871" max="4883" width="10.7109375" style="12" customWidth="1"/>
    <col min="4884" max="5126" width="9.140625" style="12"/>
    <col min="5127" max="5139" width="10.7109375" style="12" customWidth="1"/>
    <col min="5140" max="5382" width="9.140625" style="12"/>
    <col min="5383" max="5395" width="10.7109375" style="12" customWidth="1"/>
    <col min="5396" max="5638" width="9.140625" style="12"/>
    <col min="5639" max="5651" width="10.7109375" style="12" customWidth="1"/>
    <col min="5652" max="5894" width="9.140625" style="12"/>
    <col min="5895" max="5907" width="10.7109375" style="12" customWidth="1"/>
    <col min="5908" max="6150" width="9.140625" style="12"/>
    <col min="6151" max="6163" width="10.7109375" style="12" customWidth="1"/>
    <col min="6164" max="6406" width="9.140625" style="12"/>
    <col min="6407" max="6419" width="10.7109375" style="12" customWidth="1"/>
    <col min="6420" max="6662" width="9.140625" style="12"/>
    <col min="6663" max="6675" width="10.7109375" style="12" customWidth="1"/>
    <col min="6676" max="6918" width="9.140625" style="12"/>
    <col min="6919" max="6931" width="10.7109375" style="12" customWidth="1"/>
    <col min="6932" max="7174" width="9.140625" style="12"/>
    <col min="7175" max="7187" width="10.7109375" style="12" customWidth="1"/>
    <col min="7188" max="7430" width="9.140625" style="12"/>
    <col min="7431" max="7443" width="10.7109375" style="12" customWidth="1"/>
    <col min="7444" max="7686" width="9.140625" style="12"/>
    <col min="7687" max="7699" width="10.7109375" style="12" customWidth="1"/>
    <col min="7700" max="7942" width="9.140625" style="12"/>
    <col min="7943" max="7955" width="10.7109375" style="12" customWidth="1"/>
    <col min="7956" max="8198" width="9.140625" style="12"/>
    <col min="8199" max="8211" width="10.7109375" style="12" customWidth="1"/>
    <col min="8212" max="8454" width="9.140625" style="12"/>
    <col min="8455" max="8467" width="10.7109375" style="12" customWidth="1"/>
    <col min="8468" max="8710" width="9.140625" style="12"/>
    <col min="8711" max="8723" width="10.7109375" style="12" customWidth="1"/>
    <col min="8724" max="8966" width="9.140625" style="12"/>
    <col min="8967" max="8979" width="10.7109375" style="12" customWidth="1"/>
    <col min="8980" max="9222" width="9.140625" style="12"/>
    <col min="9223" max="9235" width="10.7109375" style="12" customWidth="1"/>
    <col min="9236" max="9478" width="9.140625" style="12"/>
    <col min="9479" max="9491" width="10.7109375" style="12" customWidth="1"/>
    <col min="9492" max="9734" width="9.140625" style="12"/>
    <col min="9735" max="9747" width="10.7109375" style="12" customWidth="1"/>
    <col min="9748" max="9990" width="9.140625" style="12"/>
    <col min="9991" max="10003" width="10.7109375" style="12" customWidth="1"/>
    <col min="10004" max="10246" width="9.140625" style="12"/>
    <col min="10247" max="10259" width="10.7109375" style="12" customWidth="1"/>
    <col min="10260" max="10502" width="9.140625" style="12"/>
    <col min="10503" max="10515" width="10.7109375" style="12" customWidth="1"/>
    <col min="10516" max="10758" width="9.140625" style="12"/>
    <col min="10759" max="10771" width="10.7109375" style="12" customWidth="1"/>
    <col min="10772" max="11014" width="9.140625" style="12"/>
    <col min="11015" max="11027" width="10.7109375" style="12" customWidth="1"/>
    <col min="11028" max="11270" width="9.140625" style="12"/>
    <col min="11271" max="11283" width="10.7109375" style="12" customWidth="1"/>
    <col min="11284" max="11526" width="9.140625" style="12"/>
    <col min="11527" max="11539" width="10.7109375" style="12" customWidth="1"/>
    <col min="11540" max="11782" width="9.140625" style="12"/>
    <col min="11783" max="11795" width="10.7109375" style="12" customWidth="1"/>
    <col min="11796" max="12038" width="9.140625" style="12"/>
    <col min="12039" max="12051" width="10.7109375" style="12" customWidth="1"/>
    <col min="12052" max="12294" width="9.140625" style="12"/>
    <col min="12295" max="12307" width="10.7109375" style="12" customWidth="1"/>
    <col min="12308" max="12550" width="9.140625" style="12"/>
    <col min="12551" max="12563" width="10.7109375" style="12" customWidth="1"/>
    <col min="12564" max="12806" width="9.140625" style="12"/>
    <col min="12807" max="12819" width="10.7109375" style="12" customWidth="1"/>
    <col min="12820" max="13062" width="9.140625" style="12"/>
    <col min="13063" max="13075" width="10.7109375" style="12" customWidth="1"/>
    <col min="13076" max="13318" width="9.140625" style="12"/>
    <col min="13319" max="13331" width="10.7109375" style="12" customWidth="1"/>
    <col min="13332" max="13574" width="9.140625" style="12"/>
    <col min="13575" max="13587" width="10.7109375" style="12" customWidth="1"/>
    <col min="13588" max="13830" width="9.140625" style="12"/>
    <col min="13831" max="13843" width="10.7109375" style="12" customWidth="1"/>
    <col min="13844" max="14086" width="9.140625" style="12"/>
    <col min="14087" max="14099" width="10.7109375" style="12" customWidth="1"/>
    <col min="14100" max="14342" width="9.140625" style="12"/>
    <col min="14343" max="14355" width="10.7109375" style="12" customWidth="1"/>
    <col min="14356" max="14598" width="9.140625" style="12"/>
    <col min="14599" max="14611" width="10.7109375" style="12" customWidth="1"/>
    <col min="14612" max="14854" width="9.140625" style="12"/>
    <col min="14855" max="14867" width="10.7109375" style="12" customWidth="1"/>
    <col min="14868" max="15110" width="9.140625" style="12"/>
    <col min="15111" max="15123" width="10.7109375" style="12" customWidth="1"/>
    <col min="15124" max="15366" width="9.140625" style="12"/>
    <col min="15367" max="15379" width="10.7109375" style="12" customWidth="1"/>
    <col min="15380" max="15622" width="9.140625" style="12"/>
    <col min="15623" max="15635" width="10.7109375" style="12" customWidth="1"/>
    <col min="15636" max="15878" width="9.140625" style="12"/>
    <col min="15879" max="15891" width="10.7109375" style="12" customWidth="1"/>
    <col min="15892" max="16134" width="9.140625" style="12"/>
    <col min="16135" max="16147" width="10.7109375" style="12" customWidth="1"/>
    <col min="16148" max="16384" width="9.140625" style="12"/>
  </cols>
  <sheetData>
    <row r="1" spans="1:36" ht="18">
      <c r="A1" s="450" t="s">
        <v>295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36" ht="6" customHeight="1">
      <c r="A2" s="237"/>
      <c r="B2" s="464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</row>
    <row r="3" spans="1:36" ht="18" customHeight="1">
      <c r="A3" s="248">
        <f>'3.1'!A4</f>
        <v>2023</v>
      </c>
      <c r="B3" s="456" t="s">
        <v>159</v>
      </c>
      <c r="C3" s="462"/>
      <c r="D3" s="462"/>
      <c r="E3" s="462"/>
      <c r="F3" s="462"/>
      <c r="G3" s="458"/>
      <c r="H3" s="462" t="s">
        <v>60</v>
      </c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</row>
    <row r="4" spans="1:36" ht="18" customHeight="1">
      <c r="A4" s="210"/>
      <c r="B4" s="245"/>
      <c r="C4" s="246"/>
      <c r="D4" s="246"/>
      <c r="E4" s="246"/>
      <c r="F4" s="246"/>
      <c r="G4" s="247"/>
      <c r="H4" s="249" t="s">
        <v>260</v>
      </c>
      <c r="I4" s="249"/>
      <c r="J4" s="249"/>
      <c r="K4" s="249"/>
      <c r="L4" s="249"/>
      <c r="M4" s="466" t="s">
        <v>266</v>
      </c>
      <c r="N4" s="249"/>
      <c r="O4" s="250" t="s">
        <v>218</v>
      </c>
      <c r="P4" s="249"/>
      <c r="Q4" s="249"/>
      <c r="R4" s="249"/>
      <c r="S4" s="249"/>
      <c r="T4" s="466" t="s">
        <v>266</v>
      </c>
      <c r="U4" s="249"/>
    </row>
    <row r="5" spans="1:36" ht="16.5" customHeight="1">
      <c r="A5" s="213"/>
      <c r="B5" s="231" t="s">
        <v>4</v>
      </c>
      <c r="C5" s="232" t="s">
        <v>5</v>
      </c>
      <c r="D5" s="194" t="s">
        <v>6</v>
      </c>
      <c r="E5" s="232" t="s">
        <v>7</v>
      </c>
      <c r="F5" s="232" t="s">
        <v>93</v>
      </c>
      <c r="G5" s="233" t="s">
        <v>0</v>
      </c>
      <c r="H5" s="232" t="s">
        <v>4</v>
      </c>
      <c r="I5" s="232" t="s">
        <v>5</v>
      </c>
      <c r="J5" s="194" t="s">
        <v>6</v>
      </c>
      <c r="K5" s="232" t="s">
        <v>7</v>
      </c>
      <c r="L5" s="232" t="s">
        <v>93</v>
      </c>
      <c r="M5" s="467"/>
      <c r="N5" s="232" t="s">
        <v>0</v>
      </c>
      <c r="O5" s="231" t="s">
        <v>4</v>
      </c>
      <c r="P5" s="232" t="s">
        <v>5</v>
      </c>
      <c r="Q5" s="194" t="s">
        <v>6</v>
      </c>
      <c r="R5" s="232" t="s">
        <v>7</v>
      </c>
      <c r="S5" s="232" t="s">
        <v>93</v>
      </c>
      <c r="T5" s="467"/>
      <c r="U5" s="232" t="s">
        <v>0</v>
      </c>
    </row>
    <row r="6" spans="1:36" ht="12.95" customHeight="1">
      <c r="A6" s="176" t="s">
        <v>160</v>
      </c>
      <c r="B6" s="240">
        <v>1561</v>
      </c>
      <c r="C6" s="235">
        <v>6259</v>
      </c>
      <c r="D6" s="236">
        <v>203363</v>
      </c>
      <c r="E6" s="236">
        <v>2566543</v>
      </c>
      <c r="F6" s="236">
        <v>272</v>
      </c>
      <c r="G6" s="242">
        <v>2777998</v>
      </c>
      <c r="H6" s="177">
        <v>333.08314962794918</v>
      </c>
      <c r="I6" s="177">
        <v>87.913767923197724</v>
      </c>
      <c r="J6" s="178">
        <v>158.48286697286753</v>
      </c>
      <c r="K6" s="178">
        <v>286.74264276664042</v>
      </c>
      <c r="L6" s="178">
        <v>7.4043694263888105</v>
      </c>
      <c r="M6" s="178">
        <v>18.152813832539525</v>
      </c>
      <c r="N6" s="178">
        <v>891.77961054958314</v>
      </c>
      <c r="O6" s="183">
        <v>3628.8150624199993</v>
      </c>
      <c r="P6" s="177">
        <v>957.71665551000012</v>
      </c>
      <c r="Q6" s="178">
        <v>1726.3105039500001</v>
      </c>
      <c r="R6" s="178">
        <v>3123.2445572099996</v>
      </c>
      <c r="S6" s="178">
        <v>80.646849180000004</v>
      </c>
      <c r="T6" s="178">
        <v>197.82966727999997</v>
      </c>
      <c r="U6" s="178">
        <v>9714.5632955499987</v>
      </c>
      <c r="V6" s="56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</row>
    <row r="7" spans="1:36" ht="12.95" customHeight="1">
      <c r="A7" s="176" t="s">
        <v>161</v>
      </c>
      <c r="B7" s="240">
        <v>1571</v>
      </c>
      <c r="C7" s="236">
        <v>6237</v>
      </c>
      <c r="D7" s="236">
        <v>203239</v>
      </c>
      <c r="E7" s="236">
        <v>2564140</v>
      </c>
      <c r="F7" s="236">
        <v>273</v>
      </c>
      <c r="G7" s="242">
        <v>2775460</v>
      </c>
      <c r="H7" s="177">
        <v>322.3086166740249</v>
      </c>
      <c r="I7" s="178">
        <v>84.644104630115194</v>
      </c>
      <c r="J7" s="178">
        <v>149.73867570614559</v>
      </c>
      <c r="K7" s="178">
        <v>279.28175202647486</v>
      </c>
      <c r="L7" s="178">
        <v>6.9984378681935766</v>
      </c>
      <c r="M7" s="178">
        <v>17.795721669949028</v>
      </c>
      <c r="N7" s="178">
        <v>860.76730857490304</v>
      </c>
      <c r="O7" s="183">
        <v>3499.5847333470001</v>
      </c>
      <c r="P7" s="178">
        <v>918.61903907999988</v>
      </c>
      <c r="Q7" s="178">
        <v>1624.64771834</v>
      </c>
      <c r="R7" s="178">
        <v>3029.4811226499996</v>
      </c>
      <c r="S7" s="178">
        <v>75.919713230000013</v>
      </c>
      <c r="T7" s="178">
        <v>193.137024349</v>
      </c>
      <c r="U7" s="178">
        <v>9341.3893509959998</v>
      </c>
      <c r="V7" s="58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</row>
    <row r="8" spans="1:36" ht="12.95" customHeight="1">
      <c r="A8" s="179" t="s">
        <v>162</v>
      </c>
      <c r="B8" s="241">
        <v>1562</v>
      </c>
      <c r="C8" s="239">
        <v>6124</v>
      </c>
      <c r="D8" s="239">
        <v>203202</v>
      </c>
      <c r="E8" s="239">
        <v>2561383</v>
      </c>
      <c r="F8" s="239">
        <v>273</v>
      </c>
      <c r="G8" s="243">
        <v>2772544</v>
      </c>
      <c r="H8" s="180">
        <v>317.34603022918276</v>
      </c>
      <c r="I8" s="181">
        <v>73.962819966487572</v>
      </c>
      <c r="J8" s="181">
        <v>125.37956535992275</v>
      </c>
      <c r="K8" s="181">
        <v>227.62200917493357</v>
      </c>
      <c r="L8" s="181">
        <v>7.7712376838427879</v>
      </c>
      <c r="M8" s="181">
        <v>17.186378775875479</v>
      </c>
      <c r="N8" s="181">
        <v>769.26804119024484</v>
      </c>
      <c r="O8" s="184">
        <v>3440.9786438010001</v>
      </c>
      <c r="P8" s="181">
        <v>802.00648307999973</v>
      </c>
      <c r="Q8" s="181">
        <v>1359.2600900159052</v>
      </c>
      <c r="R8" s="181">
        <v>2467.1919449630491</v>
      </c>
      <c r="S8" s="181">
        <v>84.243039270000011</v>
      </c>
      <c r="T8" s="181">
        <v>186.33921355199999</v>
      </c>
      <c r="U8" s="181">
        <v>8340.019414681954</v>
      </c>
      <c r="V8" s="59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</row>
    <row r="9" spans="1:36" ht="12.95" customHeight="1">
      <c r="A9" s="176" t="s">
        <v>163</v>
      </c>
      <c r="B9" s="240">
        <v>1561</v>
      </c>
      <c r="C9" s="236">
        <v>6124</v>
      </c>
      <c r="D9" s="236">
        <v>203037</v>
      </c>
      <c r="E9" s="236">
        <v>2558793</v>
      </c>
      <c r="F9" s="236">
        <v>274</v>
      </c>
      <c r="G9" s="242">
        <v>2769789</v>
      </c>
      <c r="H9" s="177">
        <v>264.56305265840086</v>
      </c>
      <c r="I9" s="178">
        <v>56.563549248035756</v>
      </c>
      <c r="J9" s="178">
        <v>94.340661073887404</v>
      </c>
      <c r="K9" s="178">
        <v>177.65284109622951</v>
      </c>
      <c r="L9" s="178">
        <v>7.1359175686644285</v>
      </c>
      <c r="M9" s="178">
        <v>6.2118862771392971</v>
      </c>
      <c r="N9" s="178">
        <v>606.4679079223572</v>
      </c>
      <c r="O9" s="183">
        <v>2885.4855264899998</v>
      </c>
      <c r="P9" s="178">
        <v>617.18135166000002</v>
      </c>
      <c r="Q9" s="178">
        <v>1029.208124548823</v>
      </c>
      <c r="R9" s="178">
        <v>1937.9369237121366</v>
      </c>
      <c r="S9" s="178">
        <v>77.845143699999994</v>
      </c>
      <c r="T9" s="178">
        <v>67.858734327000036</v>
      </c>
      <c r="U9" s="178">
        <v>6615.5158044379596</v>
      </c>
      <c r="V9" s="58"/>
      <c r="W9" s="57"/>
      <c r="X9" s="57"/>
      <c r="Y9" s="57"/>
    </row>
    <row r="10" spans="1:36" ht="12.95" customHeight="1">
      <c r="A10" s="176" t="s">
        <v>164</v>
      </c>
      <c r="B10" s="240">
        <v>1559</v>
      </c>
      <c r="C10" s="236">
        <v>6122</v>
      </c>
      <c r="D10" s="236">
        <v>202926</v>
      </c>
      <c r="E10" s="236">
        <v>2555793</v>
      </c>
      <c r="F10" s="236">
        <v>274</v>
      </c>
      <c r="G10" s="242">
        <v>2766674</v>
      </c>
      <c r="H10" s="177">
        <v>215.46650890744721</v>
      </c>
      <c r="I10" s="178">
        <v>33.235032154891137</v>
      </c>
      <c r="J10" s="178">
        <v>37.185692944590521</v>
      </c>
      <c r="K10" s="178">
        <v>69.385130740620284</v>
      </c>
      <c r="L10" s="178">
        <v>7.584743316302279</v>
      </c>
      <c r="M10" s="178">
        <v>5.9969003121314115</v>
      </c>
      <c r="N10" s="178">
        <v>368.8540083759828</v>
      </c>
      <c r="O10" s="183">
        <v>2358.7172477190002</v>
      </c>
      <c r="P10" s="178">
        <v>363.95040377000004</v>
      </c>
      <c r="Q10" s="178">
        <v>407.17877283181116</v>
      </c>
      <c r="R10" s="178">
        <v>759.76684139510621</v>
      </c>
      <c r="S10" s="178">
        <v>83.055207889999991</v>
      </c>
      <c r="T10" s="178">
        <v>65.70331475699993</v>
      </c>
      <c r="U10" s="178">
        <v>4038.3717883629174</v>
      </c>
      <c r="V10" s="58"/>
      <c r="W10" s="57"/>
      <c r="X10" s="57"/>
      <c r="Y10" s="57"/>
    </row>
    <row r="11" spans="1:36" ht="12.95" customHeight="1">
      <c r="A11" s="179" t="s">
        <v>165</v>
      </c>
      <c r="B11" s="241">
        <v>1558</v>
      </c>
      <c r="C11" s="239">
        <v>6115</v>
      </c>
      <c r="D11" s="239">
        <v>202590</v>
      </c>
      <c r="E11" s="239">
        <v>2552635</v>
      </c>
      <c r="F11" s="239">
        <v>274</v>
      </c>
      <c r="G11" s="243">
        <v>2763172</v>
      </c>
      <c r="H11" s="180">
        <v>233.11737302010263</v>
      </c>
      <c r="I11" s="181">
        <v>23.324051380785701</v>
      </c>
      <c r="J11" s="181">
        <v>16.854257625039082</v>
      </c>
      <c r="K11" s="181">
        <v>31.565714545199484</v>
      </c>
      <c r="L11" s="181">
        <v>7.5520664542839064</v>
      </c>
      <c r="M11" s="181">
        <v>1.5396886030559682</v>
      </c>
      <c r="N11" s="181">
        <v>313.95315162846674</v>
      </c>
      <c r="O11" s="184">
        <v>2553.3494787288696</v>
      </c>
      <c r="P11" s="181">
        <v>255.51099970999996</v>
      </c>
      <c r="Q11" s="181">
        <v>184.61390044929578</v>
      </c>
      <c r="R11" s="181">
        <v>345.79761341370596</v>
      </c>
      <c r="S11" s="181">
        <v>82.729357419999999</v>
      </c>
      <c r="T11" s="181">
        <v>17.012563173999993</v>
      </c>
      <c r="U11" s="181">
        <v>3439.0139128958713</v>
      </c>
      <c r="V11" s="58"/>
      <c r="W11" s="57"/>
      <c r="X11" s="57"/>
      <c r="Y11" s="57"/>
    </row>
    <row r="12" spans="1:36" ht="12.95" customHeight="1">
      <c r="A12" s="176" t="s">
        <v>166</v>
      </c>
      <c r="B12" s="240">
        <v>1560</v>
      </c>
      <c r="C12" s="236">
        <v>6120</v>
      </c>
      <c r="D12" s="236">
        <v>202677</v>
      </c>
      <c r="E12" s="236">
        <v>2550508</v>
      </c>
      <c r="F12" s="236">
        <v>274</v>
      </c>
      <c r="G12" s="242">
        <v>2761139</v>
      </c>
      <c r="H12" s="177">
        <v>212.96977754321509</v>
      </c>
      <c r="I12" s="178">
        <v>19.58409371916181</v>
      </c>
      <c r="J12" s="178">
        <v>13.677605556818515</v>
      </c>
      <c r="K12" s="178">
        <v>26.534587427453154</v>
      </c>
      <c r="L12" s="178">
        <v>6.9505698160341884</v>
      </c>
      <c r="M12" s="178">
        <v>1.4202454921262626</v>
      </c>
      <c r="N12" s="178">
        <v>281.13687955480901</v>
      </c>
      <c r="O12" s="183">
        <v>2334.239069546672</v>
      </c>
      <c r="P12" s="178">
        <v>214.65613189000001</v>
      </c>
      <c r="Q12" s="178">
        <v>149.88548061507797</v>
      </c>
      <c r="R12" s="178">
        <v>290.8598692179221</v>
      </c>
      <c r="S12" s="178">
        <v>76.184732409999995</v>
      </c>
      <c r="T12" s="178">
        <v>15.62635957600002</v>
      </c>
      <c r="U12" s="178">
        <v>3081.451643255672</v>
      </c>
      <c r="V12" s="58"/>
      <c r="W12" s="57"/>
      <c r="X12" s="57"/>
      <c r="Y12" s="57"/>
    </row>
    <row r="13" spans="1:36" ht="12.95" customHeight="1">
      <c r="A13" s="176" t="s">
        <v>167</v>
      </c>
      <c r="B13" s="240">
        <v>1559</v>
      </c>
      <c r="C13" s="236">
        <v>6119</v>
      </c>
      <c r="D13" s="236">
        <v>202420</v>
      </c>
      <c r="E13" s="236">
        <v>2548470</v>
      </c>
      <c r="F13" s="236">
        <v>274</v>
      </c>
      <c r="G13" s="242">
        <v>2758842</v>
      </c>
      <c r="H13" s="177">
        <v>212.00887538523443</v>
      </c>
      <c r="I13" s="178">
        <v>22.410035505772079</v>
      </c>
      <c r="J13" s="178">
        <v>16.774581032884431</v>
      </c>
      <c r="K13" s="178">
        <v>28.611552693102869</v>
      </c>
      <c r="L13" s="178">
        <v>7.499379161675475</v>
      </c>
      <c r="M13" s="178">
        <v>0.30887319884148945</v>
      </c>
      <c r="N13" s="178">
        <v>287.61329697751074</v>
      </c>
      <c r="O13" s="183">
        <v>2325.4204846630005</v>
      </c>
      <c r="P13" s="178">
        <v>245.82998013999992</v>
      </c>
      <c r="Q13" s="178">
        <v>183.96839829451469</v>
      </c>
      <c r="R13" s="178">
        <v>313.8734823004898</v>
      </c>
      <c r="S13" s="178">
        <v>82.264307410000029</v>
      </c>
      <c r="T13" s="178">
        <v>3.5254763180000004</v>
      </c>
      <c r="U13" s="178">
        <v>3154.8821291260042</v>
      </c>
      <c r="V13" s="58"/>
      <c r="W13" s="57"/>
      <c r="X13" s="57"/>
      <c r="Y13" s="57"/>
    </row>
    <row r="14" spans="1:36" ht="12.95" customHeight="1">
      <c r="A14" s="179" t="s">
        <v>168</v>
      </c>
      <c r="B14" s="241">
        <v>1559</v>
      </c>
      <c r="C14" s="239">
        <v>6118.9390000000003</v>
      </c>
      <c r="D14" s="239">
        <v>202196</v>
      </c>
      <c r="E14" s="239">
        <v>2546357</v>
      </c>
      <c r="F14" s="239">
        <v>274</v>
      </c>
      <c r="G14" s="243">
        <v>2756504.9390000002</v>
      </c>
      <c r="H14" s="180">
        <v>224.74031924727095</v>
      </c>
      <c r="I14" s="181">
        <v>22.451244882589297</v>
      </c>
      <c r="J14" s="181">
        <v>17.527102548541208</v>
      </c>
      <c r="K14" s="181">
        <v>28.922948191080209</v>
      </c>
      <c r="L14" s="181">
        <v>7.3747371440039569</v>
      </c>
      <c r="M14" s="181">
        <v>1.2375221526624007</v>
      </c>
      <c r="N14" s="181">
        <v>302.25387416614797</v>
      </c>
      <c r="O14" s="184">
        <v>2468.6196874500001</v>
      </c>
      <c r="P14" s="181">
        <v>246.61755590999999</v>
      </c>
      <c r="Q14" s="181">
        <v>192.50278692066797</v>
      </c>
      <c r="R14" s="181">
        <v>317.74216097932396</v>
      </c>
      <c r="S14" s="181">
        <v>81.006558960000007</v>
      </c>
      <c r="T14" s="181">
        <v>13.698718703000015</v>
      </c>
      <c r="U14" s="181">
        <v>3320.1874689229921</v>
      </c>
      <c r="V14" s="58"/>
      <c r="W14" s="57"/>
      <c r="X14" s="57"/>
      <c r="Y14" s="57"/>
    </row>
    <row r="15" spans="1:36" ht="12.95" customHeight="1">
      <c r="A15" s="176" t="s">
        <v>169</v>
      </c>
      <c r="B15" s="240"/>
      <c r="C15" s="236"/>
      <c r="D15" s="236"/>
      <c r="E15" s="236"/>
      <c r="F15" s="236"/>
      <c r="G15" s="242"/>
      <c r="H15" s="177"/>
      <c r="I15" s="178"/>
      <c r="J15" s="178"/>
      <c r="K15" s="178"/>
      <c r="L15" s="178"/>
      <c r="M15" s="178"/>
      <c r="N15" s="178"/>
      <c r="O15" s="183"/>
      <c r="P15" s="178"/>
      <c r="Q15" s="178"/>
      <c r="R15" s="178"/>
      <c r="S15" s="178"/>
      <c r="T15" s="178"/>
      <c r="U15" s="178"/>
      <c r="V15" s="58"/>
      <c r="W15" s="57"/>
      <c r="X15" s="57"/>
      <c r="Y15" s="57"/>
    </row>
    <row r="16" spans="1:36" ht="12.95" customHeight="1">
      <c r="A16" s="176" t="s">
        <v>170</v>
      </c>
      <c r="B16" s="240"/>
      <c r="C16" s="236"/>
      <c r="D16" s="236"/>
      <c r="E16" s="236"/>
      <c r="F16" s="236"/>
      <c r="G16" s="242"/>
      <c r="H16" s="177"/>
      <c r="I16" s="178"/>
      <c r="J16" s="178"/>
      <c r="K16" s="178"/>
      <c r="L16" s="178"/>
      <c r="M16" s="178"/>
      <c r="N16" s="178"/>
      <c r="O16" s="183"/>
      <c r="P16" s="178"/>
      <c r="Q16" s="178"/>
      <c r="R16" s="178"/>
      <c r="S16" s="178"/>
      <c r="T16" s="178"/>
      <c r="U16" s="178"/>
      <c r="V16" s="58"/>
      <c r="W16" s="57"/>
      <c r="X16" s="57"/>
      <c r="Y16" s="57"/>
    </row>
    <row r="17" spans="1:25" ht="12.95" customHeight="1">
      <c r="A17" s="179" t="s">
        <v>171</v>
      </c>
      <c r="B17" s="241"/>
      <c r="C17" s="239"/>
      <c r="D17" s="239"/>
      <c r="E17" s="239"/>
      <c r="F17" s="239"/>
      <c r="G17" s="243"/>
      <c r="H17" s="180"/>
      <c r="I17" s="181"/>
      <c r="J17" s="181"/>
      <c r="K17" s="181"/>
      <c r="L17" s="181"/>
      <c r="M17" s="181"/>
      <c r="N17" s="181"/>
      <c r="O17" s="184"/>
      <c r="P17" s="181"/>
      <c r="Q17" s="181"/>
      <c r="R17" s="181"/>
      <c r="S17" s="181"/>
      <c r="T17" s="181"/>
      <c r="U17" s="181"/>
      <c r="V17" s="58"/>
      <c r="W17" s="57"/>
      <c r="X17" s="57"/>
      <c r="Y17" s="57"/>
    </row>
    <row r="18" spans="1:25" ht="12.95" customHeight="1">
      <c r="A18" s="176" t="s">
        <v>48</v>
      </c>
      <c r="B18" s="240">
        <f>B8</f>
        <v>1562</v>
      </c>
      <c r="C18" s="235">
        <f t="shared" ref="C18:E18" si="0">C8</f>
        <v>6124</v>
      </c>
      <c r="D18" s="235">
        <f t="shared" si="0"/>
        <v>203202</v>
      </c>
      <c r="E18" s="235">
        <f t="shared" si="0"/>
        <v>2561383</v>
      </c>
      <c r="F18" s="235">
        <f t="shared" ref="F18" si="1">F8</f>
        <v>273</v>
      </c>
      <c r="G18" s="244">
        <f>G8</f>
        <v>2772544</v>
      </c>
      <c r="H18" s="177">
        <f>SUM(H6:H8)</f>
        <v>972.73779653115685</v>
      </c>
      <c r="I18" s="177">
        <f>SUM(I6:I8)</f>
        <v>246.52069251980049</v>
      </c>
      <c r="J18" s="177">
        <f t="shared" ref="J18:K18" si="2">SUM(J6:J8)</f>
        <v>433.60110803893588</v>
      </c>
      <c r="K18" s="177">
        <f t="shared" si="2"/>
        <v>793.64640396804884</v>
      </c>
      <c r="L18" s="177">
        <f t="shared" ref="L18" si="3">SUM(L6:L8)</f>
        <v>22.174044978425176</v>
      </c>
      <c r="M18" s="177">
        <f t="shared" ref="M18" si="4">SUM(M6:M8)</f>
        <v>53.134914278364036</v>
      </c>
      <c r="N18" s="177">
        <f>SUM(N6:N8)</f>
        <v>2521.8149603147308</v>
      </c>
      <c r="O18" s="183">
        <f>SUM(O6:O8)</f>
        <v>10569.378439568</v>
      </c>
      <c r="P18" s="177">
        <f>SUM(P6:P8)</f>
        <v>2678.3421776699997</v>
      </c>
      <c r="Q18" s="177">
        <f t="shared" ref="Q18:U18" si="5">SUM(Q6:Q8)</f>
        <v>4710.2183123059049</v>
      </c>
      <c r="R18" s="177">
        <f t="shared" si="5"/>
        <v>8619.9176248230488</v>
      </c>
      <c r="S18" s="177">
        <f t="shared" ref="S18" si="6">SUM(S6:S8)</f>
        <v>240.80960168000001</v>
      </c>
      <c r="T18" s="177">
        <f t="shared" ref="T18" si="7">SUM(T6:T8)</f>
        <v>577.30590518099996</v>
      </c>
      <c r="U18" s="177">
        <f t="shared" si="5"/>
        <v>27395.972061227956</v>
      </c>
    </row>
    <row r="19" spans="1:25" ht="12.95" customHeight="1">
      <c r="A19" s="176" t="s">
        <v>56</v>
      </c>
      <c r="B19" s="240">
        <f>B11</f>
        <v>1558</v>
      </c>
      <c r="C19" s="235">
        <f t="shared" ref="C19:G19" si="8">C11</f>
        <v>6115</v>
      </c>
      <c r="D19" s="235">
        <f t="shared" si="8"/>
        <v>202590</v>
      </c>
      <c r="E19" s="235">
        <f t="shared" si="8"/>
        <v>2552635</v>
      </c>
      <c r="F19" s="235">
        <f t="shared" ref="F19" si="9">F11</f>
        <v>274</v>
      </c>
      <c r="G19" s="244">
        <f t="shared" si="8"/>
        <v>2763172</v>
      </c>
      <c r="H19" s="177">
        <f>SUM(H9:H11)</f>
        <v>713.1469345859507</v>
      </c>
      <c r="I19" s="177">
        <f>SUM(I9:I11)</f>
        <v>113.12263278371259</v>
      </c>
      <c r="J19" s="177">
        <f t="shared" ref="J19:N19" si="10">SUM(J9:J11)</f>
        <v>148.380611643517</v>
      </c>
      <c r="K19" s="177">
        <f t="shared" si="10"/>
        <v>278.60368638204932</v>
      </c>
      <c r="L19" s="177">
        <f t="shared" ref="L19" si="11">SUM(L9:L11)</f>
        <v>22.272727339250615</v>
      </c>
      <c r="M19" s="177">
        <f t="shared" ref="M19" si="12">SUM(M9:M11)</f>
        <v>13.748475192326676</v>
      </c>
      <c r="N19" s="177">
        <f t="shared" si="10"/>
        <v>1289.2750679268067</v>
      </c>
      <c r="O19" s="183">
        <f>SUM(O9:O11)</f>
        <v>7797.5522529378686</v>
      </c>
      <c r="P19" s="177">
        <f>SUM(P9:P11)</f>
        <v>1236.6427551400002</v>
      </c>
      <c r="Q19" s="177">
        <f t="shared" ref="Q19:U19" si="13">SUM(Q9:Q11)</f>
        <v>1621.00079782993</v>
      </c>
      <c r="R19" s="177">
        <f t="shared" si="13"/>
        <v>3043.5013785209489</v>
      </c>
      <c r="S19" s="177">
        <f t="shared" ref="S19" si="14">SUM(S9:S11)</f>
        <v>243.62970901</v>
      </c>
      <c r="T19" s="177">
        <f t="shared" ref="T19" si="15">SUM(T9:T11)</f>
        <v>150.57461225799995</v>
      </c>
      <c r="U19" s="177">
        <f t="shared" si="13"/>
        <v>14092.901505696747</v>
      </c>
    </row>
    <row r="20" spans="1:25" ht="12.95" customHeight="1">
      <c r="A20" s="176" t="s">
        <v>63</v>
      </c>
      <c r="B20" s="240">
        <f>B14</f>
        <v>1559</v>
      </c>
      <c r="C20" s="235">
        <f t="shared" ref="C20:G20" si="16">C14</f>
        <v>6118.9390000000003</v>
      </c>
      <c r="D20" s="235">
        <f t="shared" si="16"/>
        <v>202196</v>
      </c>
      <c r="E20" s="235">
        <f t="shared" si="16"/>
        <v>2546357</v>
      </c>
      <c r="F20" s="235">
        <f t="shared" ref="F20" si="17">F14</f>
        <v>274</v>
      </c>
      <c r="G20" s="244">
        <f t="shared" si="16"/>
        <v>2756504.9390000002</v>
      </c>
      <c r="H20" s="177">
        <f>SUM(H12:H14)</f>
        <v>649.71897217572041</v>
      </c>
      <c r="I20" s="177">
        <f>SUM(I12:I14)</f>
        <v>64.445374107523179</v>
      </c>
      <c r="J20" s="177">
        <f t="shared" ref="J20:N20" si="18">SUM(J12:J14)</f>
        <v>47.979289138244155</v>
      </c>
      <c r="K20" s="177">
        <f t="shared" si="18"/>
        <v>84.069088311636236</v>
      </c>
      <c r="L20" s="177">
        <f t="shared" ref="L20" si="19">SUM(L12:L14)</f>
        <v>21.824686121713619</v>
      </c>
      <c r="M20" s="177">
        <f t="shared" ref="M20" si="20">SUM(M12:M14)</f>
        <v>2.9666408436301528</v>
      </c>
      <c r="N20" s="177">
        <f t="shared" si="18"/>
        <v>871.00405069846772</v>
      </c>
      <c r="O20" s="183">
        <f>SUM(O12:O14)</f>
        <v>7128.2792416596731</v>
      </c>
      <c r="P20" s="177">
        <f>SUM(P12:P14)</f>
        <v>707.10366793999992</v>
      </c>
      <c r="Q20" s="177">
        <f t="shared" ref="Q20:U20" si="21">SUM(Q12:Q14)</f>
        <v>526.35666583026068</v>
      </c>
      <c r="R20" s="177">
        <f t="shared" si="21"/>
        <v>922.47551249773574</v>
      </c>
      <c r="S20" s="177">
        <f t="shared" ref="S20" si="22">SUM(S12:S14)</f>
        <v>239.45559878000003</v>
      </c>
      <c r="T20" s="177">
        <f t="shared" ref="T20" si="23">SUM(T12:T14)</f>
        <v>32.850554597000034</v>
      </c>
      <c r="U20" s="177">
        <f t="shared" si="21"/>
        <v>9556.5212413046684</v>
      </c>
    </row>
    <row r="21" spans="1:25" ht="12.95" customHeight="1">
      <c r="A21" s="179" t="s">
        <v>57</v>
      </c>
      <c r="B21" s="400">
        <f>B17</f>
        <v>0</v>
      </c>
      <c r="C21" s="401">
        <f t="shared" ref="C21:E21" si="24">C17</f>
        <v>0</v>
      </c>
      <c r="D21" s="401">
        <f t="shared" si="24"/>
        <v>0</v>
      </c>
      <c r="E21" s="401">
        <f t="shared" si="24"/>
        <v>0</v>
      </c>
      <c r="F21" s="401">
        <f t="shared" ref="F21" si="25">F17</f>
        <v>0</v>
      </c>
      <c r="G21" s="402">
        <f>G17</f>
        <v>0</v>
      </c>
      <c r="H21" s="387">
        <f>SUM(H15:H17)</f>
        <v>0</v>
      </c>
      <c r="I21" s="387">
        <f>SUM(I15:I17)</f>
        <v>0</v>
      </c>
      <c r="J21" s="387">
        <f t="shared" ref="J21:N21" si="26">SUM(J15:J17)</f>
        <v>0</v>
      </c>
      <c r="K21" s="387">
        <f t="shared" si="26"/>
        <v>0</v>
      </c>
      <c r="L21" s="387">
        <f t="shared" ref="L21" si="27">SUM(L15:L17)</f>
        <v>0</v>
      </c>
      <c r="M21" s="387">
        <f t="shared" ref="M21" si="28">SUM(M15:M17)</f>
        <v>0</v>
      </c>
      <c r="N21" s="387">
        <f t="shared" si="26"/>
        <v>0</v>
      </c>
      <c r="O21" s="386">
        <f>SUM(O15:O17)</f>
        <v>0</v>
      </c>
      <c r="P21" s="387">
        <f>SUM(P15:P17)</f>
        <v>0</v>
      </c>
      <c r="Q21" s="387">
        <f t="shared" ref="Q21:U21" si="29">SUM(Q15:Q17)</f>
        <v>0</v>
      </c>
      <c r="R21" s="387">
        <f t="shared" si="29"/>
        <v>0</v>
      </c>
      <c r="S21" s="387">
        <f t="shared" ref="S21" si="30">SUM(S15:S17)</f>
        <v>0</v>
      </c>
      <c r="T21" s="387">
        <f t="shared" ref="T21" si="31">SUM(T15:T17)</f>
        <v>0</v>
      </c>
      <c r="U21" s="387">
        <f t="shared" si="29"/>
        <v>0</v>
      </c>
    </row>
    <row r="22" spans="1:25" ht="12.95" customHeight="1">
      <c r="A22" s="176" t="s">
        <v>58</v>
      </c>
      <c r="B22" s="240">
        <f>B11</f>
        <v>1558</v>
      </c>
      <c r="C22" s="235">
        <f t="shared" ref="C22:G22" si="32">C11</f>
        <v>6115</v>
      </c>
      <c r="D22" s="235">
        <f t="shared" si="32"/>
        <v>202590</v>
      </c>
      <c r="E22" s="235">
        <f t="shared" si="32"/>
        <v>2552635</v>
      </c>
      <c r="F22" s="235">
        <f t="shared" ref="F22" si="33">F11</f>
        <v>274</v>
      </c>
      <c r="G22" s="244">
        <f t="shared" si="32"/>
        <v>2763172</v>
      </c>
      <c r="H22" s="177">
        <f>SUM(H6:H11)</f>
        <v>1685.8847311171075</v>
      </c>
      <c r="I22" s="177">
        <f>SUM(I6:I11)</f>
        <v>359.64332530351311</v>
      </c>
      <c r="J22" s="177">
        <f t="shared" ref="J22:N22" si="34">SUM(J6:J11)</f>
        <v>581.98171968245288</v>
      </c>
      <c r="K22" s="177">
        <f t="shared" si="34"/>
        <v>1072.2500903500979</v>
      </c>
      <c r="L22" s="177">
        <f t="shared" ref="L22" si="35">SUM(L6:L11)</f>
        <v>44.446772317675794</v>
      </c>
      <c r="M22" s="177">
        <f t="shared" ref="M22" si="36">SUM(M6:M11)</f>
        <v>66.883389470690716</v>
      </c>
      <c r="N22" s="177">
        <f t="shared" si="34"/>
        <v>3811.0900282415378</v>
      </c>
      <c r="O22" s="183">
        <f>SUM(O6:O11)</f>
        <v>18366.93069250587</v>
      </c>
      <c r="P22" s="177">
        <f>SUM(P6:P11)</f>
        <v>3914.9849328099995</v>
      </c>
      <c r="Q22" s="177">
        <f t="shared" ref="Q22:U22" si="37">SUM(Q6:Q11)</f>
        <v>6331.2191101358358</v>
      </c>
      <c r="R22" s="177">
        <f t="shared" si="37"/>
        <v>11663.419003343999</v>
      </c>
      <c r="S22" s="177">
        <f t="shared" ref="S22" si="38">SUM(S6:S11)</f>
        <v>484.43931069000001</v>
      </c>
      <c r="T22" s="177">
        <f t="shared" ref="T22" si="39">SUM(T6:T11)</f>
        <v>727.88051743899985</v>
      </c>
      <c r="U22" s="177">
        <f t="shared" si="37"/>
        <v>41488.873566924696</v>
      </c>
    </row>
    <row r="23" spans="1:25" ht="12.95" customHeight="1">
      <c r="A23" s="179" t="s">
        <v>59</v>
      </c>
      <c r="B23" s="400">
        <f>B17</f>
        <v>0</v>
      </c>
      <c r="C23" s="401">
        <f t="shared" ref="C23:G23" si="40">C17</f>
        <v>0</v>
      </c>
      <c r="D23" s="401">
        <f t="shared" si="40"/>
        <v>0</v>
      </c>
      <c r="E23" s="401">
        <f t="shared" si="40"/>
        <v>0</v>
      </c>
      <c r="F23" s="401">
        <f t="shared" ref="F23" si="41">F17</f>
        <v>0</v>
      </c>
      <c r="G23" s="402">
        <f t="shared" si="40"/>
        <v>0</v>
      </c>
      <c r="H23" s="387">
        <f>SUM(H12:H17)</f>
        <v>649.71897217572041</v>
      </c>
      <c r="I23" s="387">
        <f>SUM(I12:I17)</f>
        <v>64.445374107523179</v>
      </c>
      <c r="J23" s="387">
        <f t="shared" ref="J23:N23" si="42">SUM(J12:J17)</f>
        <v>47.979289138244155</v>
      </c>
      <c r="K23" s="387">
        <f t="shared" si="42"/>
        <v>84.069088311636236</v>
      </c>
      <c r="L23" s="387">
        <f t="shared" ref="L23" si="43">SUM(L12:L17)</f>
        <v>21.824686121713619</v>
      </c>
      <c r="M23" s="387">
        <f t="shared" ref="M23" si="44">SUM(M12:M17)</f>
        <v>2.9666408436301528</v>
      </c>
      <c r="N23" s="387">
        <f t="shared" si="42"/>
        <v>871.00405069846772</v>
      </c>
      <c r="O23" s="386">
        <f>SUM(O12:O17)</f>
        <v>7128.2792416596731</v>
      </c>
      <c r="P23" s="387">
        <f>SUM(P12:P17)</f>
        <v>707.10366793999992</v>
      </c>
      <c r="Q23" s="387">
        <f t="shared" ref="Q23:U23" si="45">SUM(Q12:Q17)</f>
        <v>526.35666583026068</v>
      </c>
      <c r="R23" s="387">
        <f t="shared" si="45"/>
        <v>922.47551249773574</v>
      </c>
      <c r="S23" s="387">
        <f t="shared" ref="S23" si="46">SUM(S12:S17)</f>
        <v>239.45559878000003</v>
      </c>
      <c r="T23" s="387">
        <f t="shared" ref="T23" si="47">SUM(T12:T17)</f>
        <v>32.850554597000034</v>
      </c>
      <c r="U23" s="387">
        <f t="shared" si="45"/>
        <v>9556.5212413046684</v>
      </c>
    </row>
    <row r="24" spans="1:25" ht="12.95" customHeight="1">
      <c r="A24" s="179" t="s">
        <v>172</v>
      </c>
      <c r="B24" s="400">
        <f>B17</f>
        <v>0</v>
      </c>
      <c r="C24" s="401">
        <f t="shared" ref="C24:G24" si="48">C17</f>
        <v>0</v>
      </c>
      <c r="D24" s="401">
        <f t="shared" si="48"/>
        <v>0</v>
      </c>
      <c r="E24" s="401">
        <f t="shared" si="48"/>
        <v>0</v>
      </c>
      <c r="F24" s="401">
        <f t="shared" ref="F24" si="49">F17</f>
        <v>0</v>
      </c>
      <c r="G24" s="402">
        <f t="shared" si="48"/>
        <v>0</v>
      </c>
      <c r="H24" s="387">
        <f>SUM(H6:H17)</f>
        <v>2335.603703292828</v>
      </c>
      <c r="I24" s="387">
        <f>SUM(I6:I17)</f>
        <v>424.08869941103632</v>
      </c>
      <c r="J24" s="387">
        <f t="shared" ref="J24:N24" si="50">SUM(J6:J17)</f>
        <v>629.96100882069697</v>
      </c>
      <c r="K24" s="387">
        <f t="shared" si="50"/>
        <v>1156.319178661734</v>
      </c>
      <c r="L24" s="387">
        <f t="shared" ref="L24" si="51">SUM(L6:L17)</f>
        <v>66.27145843938942</v>
      </c>
      <c r="M24" s="387">
        <f t="shared" ref="M24" si="52">SUM(M6:M17)</f>
        <v>69.850030314320875</v>
      </c>
      <c r="N24" s="387">
        <f t="shared" si="50"/>
        <v>4682.0940789400056</v>
      </c>
      <c r="O24" s="386">
        <f>SUM(O6:O17)</f>
        <v>25495.209934165541</v>
      </c>
      <c r="P24" s="387">
        <f>SUM(P6:P17)</f>
        <v>4622.0886007499994</v>
      </c>
      <c r="Q24" s="387">
        <f t="shared" ref="Q24:U24" si="53">SUM(Q6:Q17)</f>
        <v>6857.5757759660955</v>
      </c>
      <c r="R24" s="387">
        <f t="shared" si="53"/>
        <v>12585.894515841735</v>
      </c>
      <c r="S24" s="387">
        <f t="shared" ref="S24" si="54">SUM(S6:S17)</f>
        <v>723.89490947000002</v>
      </c>
      <c r="T24" s="387">
        <f t="shared" ref="T24" si="55">SUM(T6:T17)</f>
        <v>760.73107203599989</v>
      </c>
      <c r="U24" s="387">
        <f t="shared" si="53"/>
        <v>51045.394808229365</v>
      </c>
    </row>
    <row r="25" spans="1:25" ht="15" customHeight="1"/>
    <row r="26" spans="1:25" ht="26.1" customHeight="1">
      <c r="A26" s="447" t="s">
        <v>311</v>
      </c>
      <c r="B26" s="447"/>
      <c r="C26" s="447"/>
      <c r="D26" s="447"/>
      <c r="E26" s="447"/>
      <c r="F26" s="447"/>
      <c r="G26" s="447"/>
      <c r="H26" s="447"/>
      <c r="I26" s="447" t="s">
        <v>254</v>
      </c>
      <c r="J26" s="447"/>
      <c r="K26" s="447"/>
      <c r="L26" s="447"/>
      <c r="M26" s="447"/>
      <c r="N26" s="118"/>
      <c r="O26" s="118"/>
      <c r="P26" s="447" t="s">
        <v>255</v>
      </c>
      <c r="Q26" s="459"/>
      <c r="R26" s="459"/>
      <c r="S26" s="459"/>
      <c r="T26" s="459"/>
    </row>
    <row r="27" spans="1:25" ht="12" customHeight="1">
      <c r="A27" s="67"/>
      <c r="B27" s="70" t="str">
        <f>B5</f>
        <v>VO</v>
      </c>
      <c r="C27" s="70" t="str">
        <f t="shared" ref="C27:E27" si="56">C5</f>
        <v>SO</v>
      </c>
      <c r="D27" s="70" t="str">
        <f t="shared" si="56"/>
        <v>MO</v>
      </c>
      <c r="E27" s="70" t="str">
        <f t="shared" si="56"/>
        <v>DOM</v>
      </c>
      <c r="F27" s="70" t="str">
        <f>F5</f>
        <v>CNG</v>
      </c>
      <c r="G27" s="374"/>
      <c r="H27" s="72"/>
      <c r="I27" s="70" t="str">
        <f>H5</f>
        <v>VO</v>
      </c>
      <c r="J27" s="70" t="str">
        <f t="shared" ref="J27" si="57">I5</f>
        <v>SO</v>
      </c>
      <c r="K27" s="70" t="str">
        <f>J5</f>
        <v>MO</v>
      </c>
      <c r="L27" s="70" t="str">
        <f t="shared" ref="L27:M27" si="58">K5</f>
        <v>DOM</v>
      </c>
      <c r="M27" s="70" t="str">
        <f t="shared" si="58"/>
        <v>CNG</v>
      </c>
      <c r="N27" s="71"/>
      <c r="O27" s="73"/>
      <c r="P27" s="70" t="str">
        <f>O5</f>
        <v>VO</v>
      </c>
      <c r="Q27" s="70" t="str">
        <f t="shared" ref="Q27:T27" si="59">P5</f>
        <v>SO</v>
      </c>
      <c r="R27" s="70" t="str">
        <f t="shared" si="59"/>
        <v>MO</v>
      </c>
      <c r="S27" s="70" t="str">
        <f t="shared" si="59"/>
        <v>DOM</v>
      </c>
      <c r="T27" s="70" t="str">
        <f t="shared" si="59"/>
        <v>CNG</v>
      </c>
      <c r="U27" s="60"/>
    </row>
    <row r="28" spans="1:25" ht="12" customHeight="1">
      <c r="B28" s="74">
        <f>B18</f>
        <v>1562</v>
      </c>
      <c r="C28" s="74">
        <f>C18</f>
        <v>6124</v>
      </c>
      <c r="D28" s="74">
        <f>D18</f>
        <v>203202</v>
      </c>
      <c r="E28" s="74">
        <f>E18</f>
        <v>2561383</v>
      </c>
      <c r="F28" s="74">
        <f>F18</f>
        <v>273</v>
      </c>
      <c r="G28" s="375"/>
      <c r="H28" s="73" t="str">
        <f>A18</f>
        <v>I. čtvrtletí</v>
      </c>
      <c r="I28" s="75">
        <f>H18</f>
        <v>972.73779653115685</v>
      </c>
      <c r="J28" s="75">
        <f t="shared" ref="J28:M28" si="60">I18</f>
        <v>246.52069251980049</v>
      </c>
      <c r="K28" s="75">
        <f t="shared" si="60"/>
        <v>433.60110803893588</v>
      </c>
      <c r="L28" s="75">
        <f t="shared" si="60"/>
        <v>793.64640396804884</v>
      </c>
      <c r="M28" s="75">
        <f t="shared" si="60"/>
        <v>22.174044978425176</v>
      </c>
      <c r="N28" s="61"/>
      <c r="O28" s="72" t="str">
        <f>A18</f>
        <v>I. čtvrtletí</v>
      </c>
      <c r="P28" s="74">
        <f>O18</f>
        <v>10569.378439568</v>
      </c>
      <c r="Q28" s="74">
        <f t="shared" ref="Q28:T28" si="61">P18</f>
        <v>2678.3421776699997</v>
      </c>
      <c r="R28" s="74">
        <f t="shared" si="61"/>
        <v>4710.2183123059049</v>
      </c>
      <c r="S28" s="74">
        <f t="shared" si="61"/>
        <v>8619.9176248230488</v>
      </c>
      <c r="T28" s="74">
        <f t="shared" si="61"/>
        <v>240.80960168000001</v>
      </c>
      <c r="U28" s="63"/>
    </row>
    <row r="29" spans="1:25" ht="12" customHeight="1">
      <c r="B29" s="410"/>
      <c r="C29" s="410"/>
      <c r="D29" s="410"/>
      <c r="E29" s="375"/>
      <c r="F29" s="375"/>
      <c r="G29" s="375"/>
      <c r="H29" s="73" t="str">
        <f t="shared" ref="H29:H31" si="62">A19</f>
        <v>II. čtvrtletí</v>
      </c>
      <c r="I29" s="75">
        <f t="shared" ref="I29:M29" si="63">H19</f>
        <v>713.1469345859507</v>
      </c>
      <c r="J29" s="75">
        <f t="shared" si="63"/>
        <v>113.12263278371259</v>
      </c>
      <c r="K29" s="75">
        <f t="shared" si="63"/>
        <v>148.380611643517</v>
      </c>
      <c r="L29" s="75">
        <f t="shared" si="63"/>
        <v>278.60368638204932</v>
      </c>
      <c r="M29" s="75">
        <f t="shared" si="63"/>
        <v>22.272727339250615</v>
      </c>
      <c r="N29" s="61"/>
      <c r="O29" s="72" t="str">
        <f t="shared" ref="O29:O31" si="64">A19</f>
        <v>II. čtvrtletí</v>
      </c>
      <c r="P29" s="74">
        <f t="shared" ref="P29:T29" si="65">O19</f>
        <v>7797.5522529378686</v>
      </c>
      <c r="Q29" s="74">
        <f t="shared" si="65"/>
        <v>1236.6427551400002</v>
      </c>
      <c r="R29" s="74">
        <f t="shared" si="65"/>
        <v>1621.00079782993</v>
      </c>
      <c r="S29" s="74">
        <f t="shared" si="65"/>
        <v>3043.5013785209489</v>
      </c>
      <c r="T29" s="74">
        <f t="shared" si="65"/>
        <v>243.62970901</v>
      </c>
      <c r="U29" s="63"/>
    </row>
    <row r="30" spans="1:25" ht="12" customHeight="1">
      <c r="B30" s="61"/>
      <c r="C30" s="61"/>
      <c r="D30" s="61"/>
      <c r="E30" s="62"/>
      <c r="F30" s="62"/>
      <c r="G30" s="62"/>
      <c r="H30" s="73" t="str">
        <f t="shared" si="62"/>
        <v>III. čtvrtletí</v>
      </c>
      <c r="I30" s="75">
        <f t="shared" ref="I30:M30" si="66">H20</f>
        <v>649.71897217572041</v>
      </c>
      <c r="J30" s="75">
        <f t="shared" si="66"/>
        <v>64.445374107523179</v>
      </c>
      <c r="K30" s="75">
        <f t="shared" si="66"/>
        <v>47.979289138244155</v>
      </c>
      <c r="L30" s="75">
        <f t="shared" si="66"/>
        <v>84.069088311636236</v>
      </c>
      <c r="M30" s="75">
        <f t="shared" si="66"/>
        <v>21.824686121713619</v>
      </c>
      <c r="N30" s="61"/>
      <c r="O30" s="72" t="str">
        <f t="shared" si="64"/>
        <v>III. čtvrtletí</v>
      </c>
      <c r="P30" s="74">
        <f t="shared" ref="P30:T30" si="67">O20</f>
        <v>7128.2792416596731</v>
      </c>
      <c r="Q30" s="74">
        <f t="shared" si="67"/>
        <v>707.10366793999992</v>
      </c>
      <c r="R30" s="74">
        <f t="shared" si="67"/>
        <v>526.35666583026068</v>
      </c>
      <c r="S30" s="74">
        <f t="shared" si="67"/>
        <v>922.47551249773574</v>
      </c>
      <c r="T30" s="74">
        <f t="shared" si="67"/>
        <v>239.45559878000003</v>
      </c>
      <c r="U30" s="63"/>
    </row>
    <row r="31" spans="1:25" ht="12" customHeight="1">
      <c r="B31" s="61"/>
      <c r="C31" s="61"/>
      <c r="D31" s="61"/>
      <c r="E31" s="62"/>
      <c r="F31" s="62"/>
      <c r="G31" s="62"/>
      <c r="H31" s="73" t="str">
        <f t="shared" si="62"/>
        <v>IV. čtvrtletí</v>
      </c>
      <c r="I31" s="75">
        <f t="shared" ref="I31:M31" si="68">H21</f>
        <v>0</v>
      </c>
      <c r="J31" s="75">
        <f t="shared" si="68"/>
        <v>0</v>
      </c>
      <c r="K31" s="75">
        <f t="shared" si="68"/>
        <v>0</v>
      </c>
      <c r="L31" s="75">
        <f t="shared" si="68"/>
        <v>0</v>
      </c>
      <c r="M31" s="75">
        <f t="shared" si="68"/>
        <v>0</v>
      </c>
      <c r="N31" s="61"/>
      <c r="O31" s="72" t="str">
        <f t="shared" si="64"/>
        <v>IV. čtvrtletí</v>
      </c>
      <c r="P31" s="74">
        <f t="shared" ref="P31:T31" si="69">O21</f>
        <v>0</v>
      </c>
      <c r="Q31" s="74">
        <f t="shared" si="69"/>
        <v>0</v>
      </c>
      <c r="R31" s="74">
        <f t="shared" si="69"/>
        <v>0</v>
      </c>
      <c r="S31" s="74">
        <f t="shared" si="69"/>
        <v>0</v>
      </c>
      <c r="T31" s="74">
        <f t="shared" si="69"/>
        <v>0</v>
      </c>
      <c r="U31" s="63"/>
    </row>
    <row r="32" spans="1:25" ht="12" customHeight="1">
      <c r="E32" s="63"/>
      <c r="F32" s="63"/>
      <c r="G32" s="63"/>
      <c r="H32" s="63"/>
      <c r="I32" s="63"/>
      <c r="Q32" s="63"/>
      <c r="R32" s="63"/>
      <c r="S32" s="63"/>
      <c r="T32" s="63"/>
      <c r="U32" s="63"/>
    </row>
    <row r="33" spans="4:21" ht="12" customHeight="1">
      <c r="D33" s="463"/>
      <c r="E33" s="63"/>
      <c r="F33" s="63"/>
      <c r="G33" s="63"/>
      <c r="H33" s="63"/>
      <c r="I33" s="63"/>
      <c r="Q33" s="63"/>
      <c r="R33" s="63"/>
      <c r="S33" s="63"/>
      <c r="T33" s="63"/>
      <c r="U33" s="63"/>
    </row>
    <row r="34" spans="4:21" ht="12" customHeight="1">
      <c r="D34" s="463"/>
      <c r="E34" s="63"/>
      <c r="F34" s="63"/>
      <c r="G34" s="63"/>
      <c r="H34" s="63"/>
      <c r="I34" s="63"/>
      <c r="Q34" s="63"/>
      <c r="R34" s="63"/>
      <c r="S34" s="63"/>
      <c r="T34" s="63"/>
      <c r="U34" s="63"/>
    </row>
    <row r="35" spans="4:21" ht="12" customHeight="1">
      <c r="E35" s="63"/>
      <c r="F35" s="63"/>
      <c r="G35" s="63"/>
      <c r="H35" s="63"/>
      <c r="I35" s="63"/>
      <c r="Q35" s="63"/>
      <c r="R35" s="63"/>
      <c r="S35" s="63"/>
      <c r="T35" s="63"/>
      <c r="U35" s="63"/>
    </row>
    <row r="36" spans="4:21" ht="12" customHeight="1">
      <c r="E36" s="63"/>
      <c r="F36" s="63"/>
      <c r="G36" s="63"/>
      <c r="H36" s="63"/>
      <c r="I36" s="63"/>
      <c r="Q36" s="63"/>
      <c r="R36" s="63"/>
      <c r="S36" s="63"/>
      <c r="T36" s="63"/>
      <c r="U36" s="63"/>
    </row>
    <row r="37" spans="4:21" ht="12" customHeight="1">
      <c r="E37" s="63"/>
      <c r="F37" s="63"/>
      <c r="G37" s="63"/>
      <c r="H37" s="63"/>
      <c r="I37" s="63"/>
      <c r="Q37" s="63"/>
      <c r="R37" s="63"/>
      <c r="S37" s="63"/>
      <c r="T37" s="63"/>
      <c r="U37" s="63"/>
    </row>
    <row r="38" spans="4:21" ht="12" customHeight="1">
      <c r="E38" s="63"/>
      <c r="F38" s="63"/>
      <c r="G38" s="63"/>
      <c r="H38" s="63"/>
      <c r="I38" s="63"/>
      <c r="Q38" s="63"/>
      <c r="R38" s="63"/>
      <c r="S38" s="63"/>
      <c r="T38" s="63"/>
      <c r="U38" s="63"/>
    </row>
    <row r="39" spans="4:21" ht="12" customHeight="1">
      <c r="E39" s="63"/>
      <c r="F39" s="63"/>
      <c r="G39" s="63"/>
      <c r="H39" s="63"/>
      <c r="I39" s="63"/>
      <c r="Q39" s="63"/>
      <c r="R39" s="63"/>
      <c r="S39" s="63"/>
      <c r="T39" s="63"/>
      <c r="U39" s="63"/>
    </row>
    <row r="40" spans="4:21" ht="12" customHeight="1"/>
    <row r="41" spans="4:21" ht="12" customHeight="1"/>
    <row r="42" spans="4:21" ht="12" customHeight="1"/>
    <row r="43" spans="4:21" ht="12" customHeight="1"/>
    <row r="44" spans="4:21" ht="12" customHeight="1"/>
  </sheetData>
  <mergeCells count="10">
    <mergeCell ref="D33:D34"/>
    <mergeCell ref="A1:U1"/>
    <mergeCell ref="B2:U2"/>
    <mergeCell ref="B3:G3"/>
    <mergeCell ref="H3:U3"/>
    <mergeCell ref="A26:H26"/>
    <mergeCell ref="I26:M26"/>
    <mergeCell ref="P26:T26"/>
    <mergeCell ref="M4:M5"/>
    <mergeCell ref="T4:T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18:U18 H20:U23 H19:I19 J19:U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8</vt:i4>
      </vt:variant>
    </vt:vector>
  </HeadingPairs>
  <TitlesOfParts>
    <vt:vector size="42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Obálka</vt:lpstr>
      <vt:lpstr>'2'!Oblast_tisku</vt:lpstr>
      <vt:lpstr>Titulní!Oblast_tisku</vt:lpstr>
      <vt:lpstr>'2'!OLE_LINK42</vt:lpstr>
      <vt:lpstr>Úvod!OLE_LINK42</vt:lpstr>
      <vt:lpstr>'2'!OLE_LINK43</vt:lpstr>
      <vt:lpstr>Úvod!OLE_LINK43</vt:lpstr>
      <vt:lpstr>Úvod!OLE_LINK6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2023-11-01T08:28:35Z</cp:lastPrinted>
  <dcterms:created xsi:type="dcterms:W3CDTF">2010-02-15T08:19:53Z</dcterms:created>
  <dcterms:modified xsi:type="dcterms:W3CDTF">2023-11-01T08:29:04Z</dcterms:modified>
</cp:coreProperties>
</file>