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2\"/>
    </mc:Choice>
  </mc:AlternateContent>
  <xr:revisionPtr revIDLastSave="0" documentId="13_ncr:1_{6450E2E1-06A0-4D85-9FDB-0427E0E1491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80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  <sheet name="Obálka" sheetId="181" r:id="rId34"/>
  </sheets>
  <definedNames>
    <definedName name="Datum_OTE" localSheetId="33">"4. 8. 2022"</definedName>
    <definedName name="Datum_OTE">"2. 5. 2017"</definedName>
    <definedName name="_xlnm.Print_Area" localSheetId="4">'2'!$A$1:$I$51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E23" i="146" l="1"/>
  <c r="G23" i="146" s="1"/>
  <c r="G9" i="107" l="1"/>
  <c r="R18" i="122" l="1"/>
  <c r="O19" i="122"/>
  <c r="L18" i="122"/>
  <c r="G18" i="122"/>
  <c r="D18" i="122"/>
  <c r="B18" i="122"/>
  <c r="O20" i="146"/>
  <c r="K19" i="146"/>
  <c r="I19" i="146"/>
  <c r="B20" i="146"/>
  <c r="D20" i="146" s="1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S19" i="146"/>
  <c r="K20" i="146"/>
  <c r="B19" i="146"/>
  <c r="T25" i="146" l="1"/>
  <c r="S25" i="146"/>
  <c r="Q25" i="146"/>
  <c r="P25" i="146"/>
  <c r="O25" i="146"/>
  <c r="N25" i="146"/>
  <c r="K25" i="146"/>
  <c r="I25" i="146"/>
  <c r="G25" i="146"/>
  <c r="E25" i="146"/>
  <c r="B25" i="146"/>
  <c r="D25" i="146" s="1"/>
  <c r="T24" i="146"/>
  <c r="S24" i="146"/>
  <c r="Q24" i="146"/>
  <c r="P24" i="146"/>
  <c r="O24" i="146"/>
  <c r="N24" i="146"/>
  <c r="K24" i="146"/>
  <c r="I24" i="146"/>
  <c r="G24" i="146"/>
  <c r="E24" i="146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N22" i="146"/>
  <c r="R22" i="146" s="1"/>
  <c r="K22" i="146"/>
  <c r="I22" i="146"/>
  <c r="E22" i="146"/>
  <c r="G22" i="146" s="1"/>
  <c r="B22" i="146"/>
  <c r="D22" i="146" s="1"/>
  <c r="T21" i="146"/>
  <c r="S21" i="146"/>
  <c r="Q21" i="146"/>
  <c r="E26" i="179" s="1"/>
  <c r="P21" i="146"/>
  <c r="O21" i="146"/>
  <c r="N21" i="146"/>
  <c r="K21" i="146"/>
  <c r="H22" i="179" s="1"/>
  <c r="I21" i="146"/>
  <c r="H19" i="179" s="1"/>
  <c r="E21" i="146"/>
  <c r="B21" i="146"/>
  <c r="E19" i="179" s="1"/>
  <c r="Q20" i="146"/>
  <c r="P20" i="146"/>
  <c r="N20" i="146"/>
  <c r="I20" i="146"/>
  <c r="E20" i="146"/>
  <c r="G20" i="146" s="1"/>
  <c r="Q19" i="146"/>
  <c r="P19" i="146"/>
  <c r="O19" i="146"/>
  <c r="N19" i="146"/>
  <c r="R19" i="146" s="1"/>
  <c r="E19" i="146"/>
  <c r="G19" i="146" s="1"/>
  <c r="D19" i="146"/>
  <c r="R23" i="146" l="1"/>
  <c r="R20" i="146"/>
  <c r="D21" i="146"/>
  <c r="E20" i="179" s="1"/>
  <c r="R21" i="146"/>
  <c r="E27" i="179" s="1"/>
  <c r="E25" i="179"/>
  <c r="G21" i="146"/>
  <c r="E23" i="179" s="1"/>
  <c r="E22" i="179"/>
  <c r="R24" i="146"/>
  <c r="R25" i="146"/>
  <c r="B36" i="170" l="1"/>
  <c r="B35" i="170"/>
  <c r="B30" i="170"/>
  <c r="B29" i="170"/>
  <c r="B28" i="170"/>
  <c r="B27" i="170"/>
  <c r="B26" i="170"/>
  <c r="B25" i="170"/>
  <c r="B24" i="170"/>
  <c r="B23" i="170"/>
  <c r="B22" i="170"/>
  <c r="B17" i="170"/>
  <c r="B16" i="170"/>
  <c r="B15" i="170"/>
  <c r="B14" i="170"/>
  <c r="B13" i="170"/>
  <c r="B12" i="170"/>
  <c r="B11" i="170"/>
  <c r="B10" i="170"/>
  <c r="B9" i="170"/>
  <c r="B8" i="170"/>
  <c r="B7" i="170"/>
  <c r="B6" i="170"/>
  <c r="B5" i="170"/>
  <c r="B3" i="170"/>
  <c r="A5" i="170"/>
  <c r="A6" i="170"/>
  <c r="A7" i="170"/>
  <c r="A8" i="170"/>
  <c r="A9" i="170"/>
  <c r="A10" i="170"/>
  <c r="A11" i="170"/>
  <c r="A12" i="170"/>
  <c r="A13" i="170"/>
  <c r="A14" i="170"/>
  <c r="A15" i="170"/>
  <c r="A16" i="170"/>
  <c r="A17" i="170"/>
  <c r="A22" i="170"/>
  <c r="A23" i="170"/>
  <c r="A24" i="170"/>
  <c r="A25" i="170"/>
  <c r="A26" i="170"/>
  <c r="A27" i="170"/>
  <c r="A28" i="170"/>
  <c r="A29" i="170"/>
  <c r="A30" i="170"/>
  <c r="A35" i="170"/>
  <c r="A36" i="170"/>
  <c r="A3" i="170"/>
  <c r="A1" i="179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30" i="128"/>
  <c r="A4" i="128"/>
  <c r="D34" i="108"/>
  <c r="D34" i="109"/>
  <c r="D34" i="110"/>
  <c r="I34" i="110" s="1"/>
  <c r="D34" i="111"/>
  <c r="I34" i="111" s="1"/>
  <c r="D34" i="112"/>
  <c r="D34" i="113"/>
  <c r="D34" i="107"/>
  <c r="I34" i="107" s="1"/>
  <c r="I34" i="108"/>
  <c r="I34" i="109"/>
  <c r="I34" i="112"/>
  <c r="I34" i="113"/>
  <c r="D4" i="108" l="1"/>
  <c r="D4" i="109"/>
  <c r="D4" i="110"/>
  <c r="D4" i="111"/>
  <c r="D4" i="112"/>
  <c r="D4" i="113"/>
  <c r="D4" i="107"/>
  <c r="I41" i="167"/>
  <c r="I41" i="166"/>
  <c r="I41" i="168"/>
  <c r="I41" i="165"/>
  <c r="C41" i="167"/>
  <c r="C41" i="166"/>
  <c r="C41" i="168"/>
  <c r="C41" i="165"/>
  <c r="D3" i="167"/>
  <c r="I3" i="167" s="1"/>
  <c r="D3" i="166"/>
  <c r="I3" i="166" s="1"/>
  <c r="D3" i="168"/>
  <c r="I3" i="168" s="1"/>
  <c r="D3" i="165"/>
  <c r="I3" i="165" s="1"/>
  <c r="A3" i="133" l="1"/>
  <c r="D4" i="116"/>
  <c r="A3" i="145" l="1"/>
  <c r="A3" i="147"/>
  <c r="B6" i="146"/>
  <c r="A4" i="146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K51" i="105" l="1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H16" i="179" s="1"/>
  <c r="K35" i="105"/>
  <c r="K34" i="105"/>
  <c r="K33" i="105"/>
  <c r="K32" i="105"/>
  <c r="K31" i="105"/>
  <c r="K30" i="105"/>
  <c r="K29" i="105"/>
  <c r="K28" i="105"/>
  <c r="K27" i="105"/>
  <c r="H14" i="179" s="1"/>
  <c r="K26" i="105"/>
  <c r="K25" i="105"/>
  <c r="K24" i="105"/>
  <c r="K23" i="105"/>
  <c r="K22" i="105"/>
  <c r="H13" i="179" s="1"/>
  <c r="K21" i="105"/>
  <c r="K20" i="105"/>
  <c r="K19" i="105"/>
  <c r="K18" i="105"/>
  <c r="H12" i="179" s="1"/>
  <c r="K17" i="105"/>
  <c r="K16" i="105"/>
  <c r="K15" i="105"/>
  <c r="K14" i="105"/>
  <c r="K13" i="105"/>
  <c r="K12" i="105"/>
  <c r="K11" i="105"/>
  <c r="H10" i="179" s="1"/>
  <c r="K10" i="105"/>
  <c r="K9" i="105"/>
  <c r="K8" i="105"/>
  <c r="H9" i="179" s="1"/>
  <c r="K7" i="105"/>
  <c r="K6" i="105"/>
  <c r="G51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E16" i="179" s="1"/>
  <c r="G35" i="105"/>
  <c r="G34" i="105"/>
  <c r="G33" i="105"/>
  <c r="G32" i="105"/>
  <c r="G31" i="105"/>
  <c r="G30" i="105"/>
  <c r="G29" i="105"/>
  <c r="G28" i="105"/>
  <c r="G27" i="105"/>
  <c r="E14" i="179" s="1"/>
  <c r="G26" i="105"/>
  <c r="G25" i="105"/>
  <c r="G24" i="105"/>
  <c r="G23" i="105"/>
  <c r="G22" i="105"/>
  <c r="E13" i="179" s="1"/>
  <c r="G21" i="105"/>
  <c r="G20" i="105"/>
  <c r="G19" i="105"/>
  <c r="G18" i="105"/>
  <c r="E12" i="179" s="1"/>
  <c r="G17" i="105"/>
  <c r="G16" i="105"/>
  <c r="G15" i="105"/>
  <c r="G14" i="105"/>
  <c r="G13" i="105"/>
  <c r="G12" i="105"/>
  <c r="G11" i="105"/>
  <c r="E10" i="179" s="1"/>
  <c r="G10" i="105"/>
  <c r="G9" i="105"/>
  <c r="G8" i="105"/>
  <c r="E9" i="179" s="1"/>
  <c r="G7" i="105"/>
  <c r="G6" i="105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R49" i="128" l="1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R44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R43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N30" i="146" l="1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A57" i="108" l="1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H20" i="168"/>
  <c r="F10" i="161" s="1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K14" i="168"/>
  <c r="H14" i="168"/>
  <c r="G14" i="168"/>
  <c r="A14" i="168"/>
  <c r="H43" i="168" s="1"/>
  <c r="H13" i="168"/>
  <c r="F10" i="126" s="1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K7" i="168"/>
  <c r="H7" i="168"/>
  <c r="G7" i="168"/>
  <c r="A7" i="168"/>
  <c r="B42" i="168" s="1"/>
  <c r="D44" i="167"/>
  <c r="C44" i="167"/>
  <c r="D43" i="167"/>
  <c r="C43" i="167"/>
  <c r="D42" i="167"/>
  <c r="C42" i="167"/>
  <c r="J33" i="167"/>
  <c r="I33" i="167"/>
  <c r="F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J28" i="167"/>
  <c r="I28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13" i="168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J34" i="167"/>
  <c r="H31" i="167"/>
  <c r="G13" i="168"/>
  <c r="G20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I34" i="167"/>
  <c r="K32" i="167" s="1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4" i="107" s="1"/>
  <c r="G11" i="107"/>
  <c r="G12" i="107"/>
  <c r="G13" i="107"/>
  <c r="G15" i="107"/>
  <c r="G20" i="107" s="1"/>
  <c r="G16" i="107"/>
  <c r="G17" i="107"/>
  <c r="G18" i="107"/>
  <c r="G19" i="107"/>
  <c r="G22" i="107"/>
  <c r="G23" i="107"/>
  <c r="G24" i="107"/>
  <c r="G25" i="107"/>
  <c r="G26" i="107" l="1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I34" i="116"/>
  <c r="J33" i="116"/>
  <c r="I33" i="116"/>
  <c r="J32" i="116"/>
  <c r="I32" i="116"/>
  <c r="J31" i="116"/>
  <c r="I31" i="116"/>
  <c r="J30" i="116"/>
  <c r="I30" i="116"/>
  <c r="J29" i="116"/>
  <c r="I29" i="116"/>
  <c r="E11" i="161" l="1"/>
  <c r="E11" i="162"/>
  <c r="K14" i="116"/>
  <c r="K21" i="116"/>
  <c r="J35" i="116"/>
  <c r="D11" i="126"/>
  <c r="I35" i="116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3" i="116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H44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19" i="147"/>
  <c r="F28" i="147" s="1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G26" i="108" s="1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G14" i="108" s="1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G20" i="108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2" i="108" s="1"/>
  <c r="G30" i="108"/>
  <c r="G60" i="107"/>
  <c r="H62" i="107"/>
  <c r="G57" i="107"/>
  <c r="G61" i="107"/>
  <c r="G58" i="107"/>
  <c r="G62" i="107" l="1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B28" i="147" s="1"/>
  <c r="C19" i="147"/>
  <c r="C28" i="147" s="1"/>
  <c r="D19" i="147"/>
  <c r="D28" i="147" s="1"/>
  <c r="E19" i="147"/>
  <c r="E28" i="147" s="1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D18" i="147"/>
  <c r="E18" i="147"/>
  <c r="B18" i="147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H29" i="179" s="1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30" i="179" l="1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B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<sst xmlns="http://schemas.openxmlformats.org/spreadsheetml/2006/main" count="1555" uniqueCount="321">
  <si>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</si>
  <si>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</si>
  <si>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</si>
  <si>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</si>
  <si>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</si>
  <si>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</si>
  <si>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</si>
  <si>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</si>
  <si>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</si>
  <si>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</si>
  <si>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</si>
  <si>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</si>
  <si>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</si>
  <si>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</si>
  <si>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</si>
  <si>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</si>
  <si>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</si>
  <si>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</si>
  <si>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</si>
  <si>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</si>
  <si>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</si>
  <si>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</si>
  <si>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</si>
  <si>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</si>
  <si>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</si>
  <si>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</si>
  <si>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</si>
  <si>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</si>
  <si>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</si>
  <si>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</si>
  <si>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</si>
  <si>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</si>
  <si>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</si>
  <si>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</si>
  <si>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</si>
  <si>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</si>
  <si>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</si>
  <si>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</si>
  <si>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</si>
  <si>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</si>
  <si>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</si>
  <si>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</si>
  <si>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</si>
  <si>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</si>
  <si>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</si>
  <si>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</si>
  <si>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</si>
  <si>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</si>
  <si>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</si>
  <si>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</si>
  <si>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</si>
  <si>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</si>
  <si>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</si>
  <si>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</si>
  <si>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</si>
  <si>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</si>
  <si>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</si>
  <si>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</si>
  <si>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</si>
  <si>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</si>
  <si>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</si>
  <si>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</si>
  <si>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</si>
  <si>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</si>
  <si>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</si>
  <si>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Moravia GS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</si>
  <si>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</si>
  <si>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</si>
  <si>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</si>
  <si>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</si>
  <si>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</si>
  <si>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</si>
  <si>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</si>
  <si>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</si>
  <si>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</si>
  <si>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</si>
  <si>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</si>
  <si>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</si>
  <si>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</si>
  <si>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</si>
  <si>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</si>
  <si>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</si>
  <si>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</si>
  <si>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</si>
  <si>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</si>
  <si>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</si>
  <si>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</si>
  <si>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</si>
  <si>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</si>
  <si>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</si>
  <si>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</si>
  <si>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</si>
  <si>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</si>
  <si>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</si>
  <si>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</si>
  <si>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</si>
  <si>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</si>
  <si>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</si>
  <si>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</si>
  <si>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</si>
  <si>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</si>
  <si>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</si>
  <si>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</si>
  <si>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</si>
  <si>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</si>
  <si>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</si>
  <si>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</si>
  <si>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</si>
  <si>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</si>
  <si>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</si>
  <si>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</si>
  <si>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</si>
  <si>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</si>
  <si>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</si>
  <si>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</si>
  <si>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</si>
  <si>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</si>
  <si>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</si>
  <si>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</si>
  <si>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</si>
  <si>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</si>
  <si>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</si>
  <si>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</si>
  <si>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</si>
  <si>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</si>
  <si>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</si>
  <si>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</si>
  <si>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</si>
  <si>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</si>
  <si>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</si>
  <si>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</si>
  <si>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</si>
  <si>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</si>
  <si>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</si>
  <si>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</si>
  <si>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</si>
  <si>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</si>
  <si>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</si>
  <si>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</si>
  <si>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</si>
  <si>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</si>
  <si>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</si>
  <si>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</si>
  <si>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</si>
  <si>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</si>
  <si>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</si>
  <si>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</si>
  <si>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</si>
  <si>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</si>
  <si>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</si>
  <si>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</si>
  <si>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</si>
  <si>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</si>
  <si>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</si>
  <si>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</si>
  <si>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</si>
  <si>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</si>
  <si>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</si>
  <si>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Denní fyzické množství plynu pro pohon kompresních stanic a ostatní plyn, který představuje neměřené hodnoty rozdílového množství celkové bilance PS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</si>
  <si>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</si>
  <si>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</si>
  <si>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</si>
  <si>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</si>
  <si>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</si>
  <si>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</si>
  <si>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</si>
  <si>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</si>
  <si>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</si>
  <si>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</si>
  <si>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</si>
  <si>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</si>
  <si>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</si>
  <si>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</si>
  <si>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</si>
  <si>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</si>
  <si>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</si>
  <si>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</si>
  <si>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</si>
  <si>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</si>
  <si>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</si>
  <si>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</si>
  <si>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</si>
  <si>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</si>
  <si>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</si>
  <si>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</si>
  <si>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</si>
  <si>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</si>
  <si>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</si>
  <si>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</si>
  <si>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</si>
  <si>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</si>
  <si>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</si>
  <si>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</si>
  <si>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</si>
  <si>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</si>
  <si>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</si>
  <si>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</si>
  <si>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</si>
  <si>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</si>
  <si>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</si>
  <si>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</si>
  <si>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</si>
  <si>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</si>
  <si>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</si>
  <si>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</si>
  <si>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</si>
  <si>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</si>
  <si>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</si>
  <si>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</si>
  <si>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</si>
  <si>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</si>
  <si>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±1,0</t>
  </si>
  <si>
    <t>EG.D, a.s.</t>
  </si>
  <si>
    <t>Společnost EG.D, a.s. (provozovatel regionální distribuční soustavy)</t>
  </si>
  <si>
    <t>EG.D</t>
  </si>
  <si>
    <t xml:space="preserve"> EG.D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</si>
  <si>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</si>
  <si>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</si>
  <si>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</si>
  <si>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</si>
  <si>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</si>
  <si>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</si>
  <si>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</si>
  <si>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</si>
  <si>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</si>
  <si>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</si>
  <si>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</si>
  <si>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</si>
  <si>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</si>
  <si>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</si>
  <si>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</si>
  <si>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</si>
  <si>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</si>
  <si>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</si>
  <si>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</si>
  <si>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</si>
  <si>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</si>
  <si>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</si>
  <si>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PP Distribuce</t>
  </si>
  <si>
    <t>Podíl / meziroční změna u společnosti GasNet</t>
  </si>
  <si>
    <t>Podíl / meziroční změna u společnosti EG.D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</si>
  <si>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</si>
  <si>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</si>
  <si>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</si>
  <si>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</si>
  <si>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</si>
  <si>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</si>
  <si>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</si>
  <si>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</si>
  <si>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</si>
  <si>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</si>
  <si>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</si>
  <si>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</si>
  <si>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</si>
  <si>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</si>
  <si>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</si>
  <si>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</si>
  <si>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</si>
  <si>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</si>
  <si>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</si>
  <si>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</si>
  <si>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</si>
  <si>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</si>
  <si>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</si>
  <si>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</si>
  <si>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</si>
  <si>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</si>
  <si>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</si>
  <si>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</si>
  <si>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</si>
  <si>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</si>
  <si>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</si>
  <si>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</si>
  <si>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</si>
  <si>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</si>
  <si>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</si>
  <si>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</si>
  <si>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</si>
  <si>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</si>
  <si>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</si>
  <si>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</si>
  <si>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</si>
  <si>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</si>
  <si>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</si>
  <si>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</si>
  <si>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</si>
  <si>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</si>
  <si>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</si>
  <si>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</si>
  <si>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</si>
  <si>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</si>
  <si>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</si>
  <si>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</si>
  <si>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</si>
  <si>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</si>
  <si>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</si>
  <si>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</si>
  <si>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</si>
  <si>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</si>
  <si>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</si>
  <si>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</si>
  <si>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5.2 Spotřeba zemního plynu u společnosti PP Distribuce</t>
  </si>
  <si>
    <t>5.3 Spotřeba zemního plynu u společnosti GasNet</t>
  </si>
  <si>
    <t>5.4 Spotřeba zemního plynu u společnosti EG.D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</si>
  <si>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</si>
  <si>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</si>
  <si>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</si>
  <si>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</si>
  <si>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</si>
  <si>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</si>
  <si>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</si>
  <si>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</si>
  <si>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</si>
  <si>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</si>
  <si>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* Prognóza spotřeby plynu do konce 2022 byla zpracována v červnu 2022.</t>
  </si>
  <si>
    <r>
      <rPr>
        <b/>
        <sz val="24"/>
        <color rgb="FF1A3366"/>
        <rFont val="Arial"/>
        <family val="2"/>
        <charset val="238"/>
      </rPr>
      <t xml:space="preserve">ČTVRTLETNÍ ZPRÁVA O PROVOZU 
PLYNÁRENSKÉ SOUSTAVY
ČESKÉ REPUBLIKY
</t>
    </r>
    <r>
      <rPr>
        <b/>
        <sz val="24"/>
        <color theme="8"/>
        <rFont val="Arial"/>
        <family val="2"/>
        <charset val="238"/>
      </rPr>
      <t>ZA III. ČTVRTLETÍ 2022</t>
    </r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</si>
  <si>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2022, kterou ERÚ předpokládá zveřejnit do konce května roku 2023.
</t>
  </si>
  <si>
    <t>X</t>
  </si>
  <si>
    <t>Podíl jednotlivých kategorií 
na celkovém počtu zákazníků</t>
  </si>
  <si>
    <t>Oddělení statistiky a sledování kvality</t>
  </si>
  <si>
    <t>plyn.statistika@eru.cz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</si>
</sst>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3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rgb="FFFF0000"/>
      <name val="Arial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7"/>
      <color rgb="FF153366"/>
      <name val="Arial"/>
      <family val="2"/>
      <charset val="238"/>
      <scheme val="minor"/>
    </font>
    <font>
      <b/>
      <sz val="24"/>
      <color theme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b/>
      <sz val="11"/>
      <color rgb="FFE53A2E"/>
      <name val="Arial"/>
      <family val="2"/>
      <charset val="238"/>
    </font>
    <font>
      <sz val="11"/>
      <color rgb="FF1A3366"/>
      <name val="Arial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0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6" fontId="9" fillId="52" borderId="0"/>
    <xf numFmtId="176" fontId="9" fillId="52" borderId="0"/>
    <xf numFmtId="176" fontId="9" fillId="52" borderId="0"/>
    <xf numFmtId="176" fontId="9" fillId="52" borderId="0"/>
    <xf numFmtId="0" fontId="61" fillId="53" borderId="13" applyNumberFormat="0" applyAlignment="0" applyProtection="0"/>
    <xf numFmtId="176" fontId="9" fillId="54" borderId="0"/>
    <xf numFmtId="176" fontId="9" fillId="54" borderId="0"/>
    <xf numFmtId="176" fontId="9" fillId="54" borderId="0"/>
    <xf numFmtId="176" fontId="9" fillId="54" borderId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7" fontId="48" fillId="0" borderId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2" fontId="9" fillId="0" borderId="0"/>
    <xf numFmtId="182" fontId="9" fillId="0" borderId="0"/>
    <xf numFmtId="182" fontId="9" fillId="0" borderId="0"/>
    <xf numFmtId="182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17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183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</cellStyleXfs>
  <cellXfs count="532">
    <xf numFmtId="0" fontId="0" fillId="0" borderId="0" xfId="0"/>
    <xf numFmtId="0" fontId="92" fillId="0" borderId="0" xfId="2" applyFont="1" applyFill="1" applyBorder="1" applyAlignment="1">
      <alignment horizontal="left"/>
    </xf>
    <xf numFmtId="0" fontId="94" fillId="0" borderId="0" xfId="2" applyFont="1" applyFill="1"/>
    <xf numFmtId="0" fontId="95" fillId="0" borderId="0" xfId="2" applyFont="1" applyFill="1" applyAlignment="1"/>
    <xf numFmtId="0" fontId="45" fillId="0" borderId="0" xfId="2" applyFont="1" applyFill="1"/>
    <xf numFmtId="0" fontId="96" fillId="0" borderId="0" xfId="2" applyFont="1" applyFill="1" applyBorder="1" applyAlignment="1">
      <alignment horizontal="left"/>
    </xf>
    <xf numFmtId="0" fontId="45" fillId="0" borderId="0" xfId="2" applyFont="1" applyFill="1" applyAlignment="1"/>
    <xf numFmtId="0" fontId="45" fillId="0" borderId="0" xfId="2" applyFont="1" applyFill="1" applyAlignment="1">
      <alignment horizontal="left" vertical="top" wrapText="1"/>
    </xf>
    <xf numFmtId="0" fontId="45" fillId="0" borderId="0" xfId="2" applyFont="1" applyFill="1" applyAlignment="1">
      <alignment horizontal="center" vertical="top" wrapText="1"/>
    </xf>
    <xf numFmtId="0" fontId="45" fillId="0" borderId="0" xfId="2" applyFont="1" applyFill="1" applyAlignment="1">
      <alignment vertical="top"/>
    </xf>
    <xf numFmtId="0" fontId="45" fillId="0" borderId="0" xfId="2" applyFont="1" applyFill="1" applyBorder="1" applyAlignment="1">
      <alignment horizontal="center" vertical="top" wrapText="1"/>
    </xf>
    <xf numFmtId="0" fontId="11" fillId="0" borderId="0" xfId="2" applyFont="1" applyFill="1" applyAlignment="1">
      <alignment vertical="top" wrapText="1"/>
    </xf>
    <xf numFmtId="0" fontId="45" fillId="0" borderId="0" xfId="2" applyFont="1" applyFill="1" applyBorder="1"/>
    <xf numFmtId="0" fontId="91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horizontal="justify" vertical="top" wrapText="1"/>
    </xf>
    <xf numFmtId="0" fontId="91" fillId="0" borderId="0" xfId="2" applyFont="1" applyFill="1" applyBorder="1" applyAlignment="1">
      <alignment horizontal="left" vertical="top"/>
    </xf>
    <xf numFmtId="0" fontId="92" fillId="0" borderId="0" xfId="2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/>
    </xf>
    <xf numFmtId="0" fontId="92" fillId="0" borderId="0" xfId="527" applyFont="1" applyFill="1" applyBorder="1" applyAlignment="1">
      <alignment horizontal="left" vertical="top" wrapText="1"/>
    </xf>
    <xf numFmtId="0" fontId="92" fillId="0" borderId="0" xfId="2" applyFont="1" applyFill="1" applyBorder="1" applyAlignment="1">
      <alignment vertical="top" wrapText="1"/>
    </xf>
    <xf numFmtId="0" fontId="92" fillId="0" borderId="0" xfId="527" applyFont="1" applyFill="1" applyBorder="1" applyAlignment="1">
      <alignment vertical="top" wrapText="1"/>
    </xf>
    <xf numFmtId="0" fontId="98" fillId="0" borderId="0" xfId="2" applyFont="1" applyFill="1" applyBorder="1" applyAlignment="1">
      <alignment horizontal="right"/>
    </xf>
    <xf numFmtId="0" fontId="92" fillId="0" borderId="0" xfId="2" applyFont="1" applyFill="1" applyBorder="1"/>
    <xf numFmtId="0" fontId="92" fillId="0" borderId="0" xfId="2" applyFont="1" applyFill="1" applyBorder="1" applyAlignment="1">
      <alignment horizontal="left" vertical="top"/>
    </xf>
    <xf numFmtId="0" fontId="98" fillId="0" borderId="0" xfId="2" applyFont="1" applyFill="1" applyBorder="1"/>
    <xf numFmtId="0" fontId="99" fillId="0" borderId="0" xfId="2" applyFont="1" applyFill="1"/>
    <xf numFmtId="0" fontId="100" fillId="0" borderId="0" xfId="2" applyFont="1" applyFill="1" applyAlignment="1"/>
    <xf numFmtId="0" fontId="101" fillId="0" borderId="0" xfId="2" applyFont="1" applyFill="1" applyBorder="1" applyAlignment="1"/>
    <xf numFmtId="0" fontId="99" fillId="0" borderId="0" xfId="2" applyFont="1" applyFill="1" applyAlignment="1"/>
    <xf numFmtId="0" fontId="54" fillId="2" borderId="0" xfId="2" applyFont="1" applyFill="1" applyAlignment="1">
      <alignment vertical="top" wrapText="1"/>
    </xf>
    <xf numFmtId="0" fontId="99" fillId="0" borderId="0" xfId="2" applyFont="1" applyFill="1" applyAlignment="1">
      <alignment vertical="top" wrapText="1"/>
    </xf>
    <xf numFmtId="3" fontId="92" fillId="0" borderId="0" xfId="2" applyNumberFormat="1" applyFont="1" applyFill="1"/>
    <xf numFmtId="0" fontId="92" fillId="0" borderId="0" xfId="2" applyFont="1" applyFill="1"/>
    <xf numFmtId="0" fontId="54" fillId="2" borderId="0" xfId="2" applyFont="1" applyFill="1" applyAlignment="1">
      <alignment horizontal="right" vertical="top" wrapText="1"/>
    </xf>
    <xf numFmtId="0" fontId="99" fillId="0" borderId="0" xfId="2" applyFont="1" applyFill="1" applyAlignment="1">
      <alignment horizontal="right" vertical="top" wrapText="1"/>
    </xf>
    <xf numFmtId="3" fontId="99" fillId="0" borderId="0" xfId="2" applyNumberFormat="1" applyFont="1" applyFill="1"/>
    <xf numFmtId="167" fontId="92" fillId="0" borderId="0" xfId="1" applyNumberFormat="1" applyFont="1" applyFill="1"/>
    <xf numFmtId="0" fontId="92" fillId="0" borderId="0" xfId="0" applyFont="1" applyAlignment="1">
      <alignment horizontal="right"/>
    </xf>
    <xf numFmtId="165" fontId="92" fillId="0" borderId="0" xfId="2" applyNumberFormat="1" applyFont="1" applyFill="1"/>
    <xf numFmtId="0" fontId="45" fillId="0" borderId="0" xfId="0" applyFont="1" applyFill="1"/>
    <xf numFmtId="0" fontId="45" fillId="0" borderId="0" xfId="0" applyFont="1" applyFill="1" applyAlignment="1"/>
    <xf numFmtId="3" fontId="45" fillId="0" borderId="0" xfId="0" applyNumberFormat="1" applyFont="1" applyFill="1" applyBorder="1"/>
    <xf numFmtId="2" fontId="45" fillId="0" borderId="0" xfId="0" applyNumberFormat="1" applyFont="1" applyFill="1"/>
    <xf numFmtId="0" fontId="45" fillId="0" borderId="0" xfId="0" applyFont="1" applyFill="1" applyBorder="1" applyAlignment="1">
      <alignment horizontal="right"/>
    </xf>
    <xf numFmtId="0" fontId="45" fillId="0" borderId="0" xfId="0" applyFont="1" applyFill="1" applyBorder="1"/>
    <xf numFmtId="0" fontId="104" fillId="0" borderId="0" xfId="2" applyFont="1" applyFill="1"/>
    <xf numFmtId="0" fontId="105" fillId="0" borderId="0" xfId="2" applyFont="1" applyFill="1" applyBorder="1" applyAlignment="1">
      <alignment horizontal="right"/>
    </xf>
    <xf numFmtId="0" fontId="106" fillId="0" borderId="0" xfId="2" applyFont="1" applyFill="1" applyBorder="1"/>
    <xf numFmtId="0" fontId="107" fillId="0" borderId="0" xfId="2" applyFont="1" applyFill="1" applyBorder="1" applyAlignment="1">
      <alignment horizontal="right"/>
    </xf>
    <xf numFmtId="0" fontId="105" fillId="0" borderId="0" xfId="2" applyFont="1" applyFill="1" applyBorder="1" applyAlignment="1">
      <alignment horizontal="left"/>
    </xf>
    <xf numFmtId="0" fontId="106" fillId="0" borderId="0" xfId="2" applyFont="1" applyFill="1" applyBorder="1" applyAlignment="1">
      <alignment horizontal="left"/>
    </xf>
    <xf numFmtId="1" fontId="106" fillId="0" borderId="0" xfId="2" applyNumberFormat="1" applyFont="1" applyFill="1" applyBorder="1" applyAlignment="1">
      <alignment horizontal="left"/>
    </xf>
    <xf numFmtId="0" fontId="106" fillId="0" borderId="0" xfId="2" applyNumberFormat="1" applyFont="1" applyFill="1" applyBorder="1" applyAlignment="1">
      <alignment horizontal="left"/>
    </xf>
    <xf numFmtId="0" fontId="106" fillId="0" borderId="0" xfId="2" applyFont="1" applyFill="1" applyBorder="1" applyAlignment="1">
      <alignment horizontal="right"/>
    </xf>
    <xf numFmtId="0" fontId="104" fillId="0" borderId="0" xfId="2" applyFont="1" applyFill="1" applyBorder="1" applyAlignment="1">
      <alignment horizontal="left"/>
    </xf>
    <xf numFmtId="0" fontId="104" fillId="0" borderId="0" xfId="0" applyFont="1" applyFill="1"/>
    <xf numFmtId="3" fontId="45" fillId="0" borderId="0" xfId="2" applyNumberFormat="1" applyFont="1" applyFill="1" applyBorder="1" applyAlignment="1">
      <alignment horizontal="right"/>
    </xf>
    <xf numFmtId="3" fontId="45" fillId="0" borderId="0" xfId="2" applyNumberFormat="1" applyFont="1" applyFill="1" applyBorder="1"/>
    <xf numFmtId="165" fontId="45" fillId="0" borderId="0" xfId="2" applyNumberFormat="1" applyFont="1" applyFill="1" applyBorder="1" applyAlignment="1">
      <alignment horizontal="right"/>
    </xf>
    <xf numFmtId="166" fontId="45" fillId="0" borderId="0" xfId="2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wrapText="1"/>
    </xf>
    <xf numFmtId="0" fontId="110" fillId="0" borderId="0" xfId="2" applyFont="1" applyFill="1" applyBorder="1"/>
    <xf numFmtId="165" fontId="110" fillId="0" borderId="0" xfId="2" applyNumberFormat="1" applyFont="1" applyFill="1" applyBorder="1"/>
    <xf numFmtId="165" fontId="45" fillId="0" borderId="0" xfId="2" applyNumberFormat="1" applyFont="1" applyFill="1" applyBorder="1"/>
    <xf numFmtId="0" fontId="11" fillId="0" borderId="0" xfId="2" applyFont="1" applyFill="1" applyBorder="1" applyAlignment="1"/>
    <xf numFmtId="4" fontId="45" fillId="0" borderId="0" xfId="2" applyNumberFormat="1" applyFont="1" applyFill="1" applyBorder="1"/>
    <xf numFmtId="3" fontId="116" fillId="0" borderId="0" xfId="2" applyNumberFormat="1" applyFont="1" applyFill="1" applyBorder="1"/>
    <xf numFmtId="0" fontId="118" fillId="0" borderId="0" xfId="2" applyFont="1" applyFill="1" applyBorder="1" applyAlignment="1">
      <alignment wrapText="1"/>
    </xf>
    <xf numFmtId="164" fontId="45" fillId="0" borderId="0" xfId="1" applyNumberFormat="1" applyFont="1" applyFill="1" applyBorder="1"/>
    <xf numFmtId="0" fontId="104" fillId="0" borderId="0" xfId="2" applyFont="1" applyFill="1" applyBorder="1"/>
    <xf numFmtId="1" fontId="110" fillId="0" borderId="0" xfId="2" applyNumberFormat="1" applyFont="1" applyFill="1" applyBorder="1" applyAlignment="1">
      <alignment horizontal="right" wrapText="1"/>
    </xf>
    <xf numFmtId="0" fontId="110" fillId="0" borderId="0" xfId="2" applyFont="1" applyFill="1" applyBorder="1" applyAlignment="1">
      <alignment wrapText="1"/>
    </xf>
    <xf numFmtId="0" fontId="110" fillId="0" borderId="0" xfId="2" applyFont="1" applyFill="1" applyBorder="1" applyAlignment="1">
      <alignment horizontal="right"/>
    </xf>
    <xf numFmtId="0" fontId="110" fillId="0" borderId="0" xfId="2" applyFont="1" applyFill="1" applyBorder="1" applyAlignment="1">
      <alignment horizontal="right" wrapText="1"/>
    </xf>
    <xf numFmtId="3" fontId="110" fillId="0" borderId="0" xfId="2" applyNumberFormat="1" applyFont="1" applyFill="1" applyBorder="1" applyAlignment="1">
      <alignment horizontal="right"/>
    </xf>
    <xf numFmtId="165" fontId="1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3" fontId="9" fillId="0" borderId="0" xfId="0" applyNumberFormat="1" applyFont="1" applyFill="1" applyBorder="1"/>
    <xf numFmtId="3" fontId="45" fillId="0" borderId="0" xfId="0" applyNumberFormat="1" applyFont="1" applyFill="1" applyBorder="1" applyAlignment="1">
      <alignment vertical="center"/>
    </xf>
    <xf numFmtId="0" fontId="121" fillId="0" borderId="0" xfId="0" applyFont="1" applyFill="1" applyBorder="1"/>
    <xf numFmtId="3" fontId="118" fillId="0" borderId="0" xfId="0" applyNumberFormat="1" applyFont="1" applyFill="1" applyBorder="1" applyAlignment="1">
      <alignment horizontal="right"/>
    </xf>
    <xf numFmtId="3" fontId="118" fillId="0" borderId="0" xfId="0" applyNumberFormat="1" applyFont="1" applyFill="1" applyBorder="1"/>
    <xf numFmtId="0" fontId="118" fillId="0" borderId="0" xfId="0" applyFont="1" applyFill="1" applyBorder="1" applyAlignment="1">
      <alignment horizontal="right"/>
    </xf>
    <xf numFmtId="3" fontId="45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122" fillId="0" borderId="0" xfId="0" applyFont="1" applyFill="1"/>
    <xf numFmtId="0" fontId="123" fillId="0" borderId="0" xfId="0" applyFont="1" applyFill="1"/>
    <xf numFmtId="0" fontId="45" fillId="0" borderId="0" xfId="0" applyFont="1" applyFill="1" applyBorder="1" applyAlignment="1">
      <alignment horizontal="left" vertical="center"/>
    </xf>
    <xf numFmtId="3" fontId="45" fillId="0" borderId="0" xfId="0" applyNumberFormat="1" applyFont="1" applyFill="1" applyBorder="1" applyAlignment="1">
      <alignment horizontal="right" vertical="center"/>
    </xf>
    <xf numFmtId="165" fontId="124" fillId="0" borderId="0" xfId="0" applyNumberFormat="1" applyFont="1" applyFill="1"/>
    <xf numFmtId="165" fontId="9" fillId="0" borderId="0" xfId="0" applyNumberFormat="1" applyFont="1" applyFill="1"/>
    <xf numFmtId="3" fontId="122" fillId="0" borderId="0" xfId="0" applyNumberFormat="1" applyFont="1" applyFill="1"/>
    <xf numFmtId="1" fontId="122" fillId="0" borderId="0" xfId="0" applyNumberFormat="1" applyFont="1" applyFill="1"/>
    <xf numFmtId="3" fontId="11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/>
    <xf numFmtId="0" fontId="45" fillId="0" borderId="0" xfId="0" applyFont="1" applyFill="1" applyBorder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/>
    <xf numFmtId="0" fontId="45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right" vertical="center"/>
    </xf>
    <xf numFmtId="0" fontId="123" fillId="0" borderId="0" xfId="0" applyFont="1" applyFill="1" applyBorder="1" applyAlignment="1">
      <alignment horizontal="left"/>
    </xf>
    <xf numFmtId="9" fontId="9" fillId="0" borderId="0" xfId="1" applyFont="1" applyFill="1" applyBorder="1"/>
    <xf numFmtId="0" fontId="9" fillId="0" borderId="0" xfId="0" applyFont="1" applyFill="1" applyAlignment="1">
      <alignment horizontal="left"/>
    </xf>
    <xf numFmtId="164" fontId="9" fillId="0" borderId="0" xfId="0" applyNumberFormat="1" applyFont="1" applyFill="1"/>
    <xf numFmtId="0" fontId="111" fillId="0" borderId="0" xfId="57" applyFont="1" applyFill="1"/>
    <xf numFmtId="0" fontId="9" fillId="0" borderId="0" xfId="2" applyFont="1" applyFill="1"/>
    <xf numFmtId="0" fontId="125" fillId="0" borderId="0" xfId="2" applyFont="1" applyFill="1" applyAlignment="1">
      <alignment horizontal="right"/>
    </xf>
    <xf numFmtId="167" fontId="110" fillId="0" borderId="0" xfId="2" applyNumberFormat="1" applyFont="1" applyFill="1" applyBorder="1" applyAlignment="1">
      <alignment horizontal="right"/>
    </xf>
    <xf numFmtId="167" fontId="45" fillId="0" borderId="0" xfId="2" applyNumberFormat="1" applyFont="1" applyFill="1" applyBorder="1" applyAlignment="1">
      <alignment horizontal="right"/>
    </xf>
    <xf numFmtId="3" fontId="124" fillId="0" borderId="0" xfId="2" applyNumberFormat="1" applyFont="1" applyFill="1" applyBorder="1"/>
    <xf numFmtId="0" fontId="9" fillId="0" borderId="0" xfId="2" applyFont="1" applyFill="1" applyBorder="1" applyAlignment="1"/>
    <xf numFmtId="0" fontId="9" fillId="0" borderId="0" xfId="2" applyFont="1" applyFill="1" applyBorder="1"/>
    <xf numFmtId="3" fontId="9" fillId="0" borderId="0" xfId="2" applyNumberFormat="1" applyFont="1" applyFill="1" applyBorder="1"/>
    <xf numFmtId="0" fontId="45" fillId="0" borderId="0" xfId="2" applyFont="1" applyFill="1" applyBorder="1" applyAlignment="1"/>
    <xf numFmtId="3" fontId="9" fillId="0" borderId="0" xfId="2" applyNumberFormat="1" applyFont="1" applyFill="1"/>
    <xf numFmtId="0" fontId="104" fillId="0" borderId="0" xfId="57" applyFont="1" applyFill="1"/>
    <xf numFmtId="0" fontId="126" fillId="0" borderId="0" xfId="2" applyFont="1" applyFill="1" applyBorder="1"/>
    <xf numFmtId="0" fontId="127" fillId="0" borderId="0" xfId="0" applyFont="1" applyFill="1" applyBorder="1" applyAlignment="1">
      <alignment vertical="center"/>
    </xf>
    <xf numFmtId="0" fontId="105" fillId="0" borderId="0" xfId="0" applyFont="1" applyFill="1" applyBorder="1"/>
    <xf numFmtId="0" fontId="127" fillId="0" borderId="0" xfId="0" applyFont="1" applyFill="1" applyBorder="1" applyAlignment="1">
      <alignment wrapText="1"/>
    </xf>
    <xf numFmtId="0" fontId="127" fillId="0" borderId="0" xfId="0" applyFont="1" applyFill="1" applyBorder="1" applyAlignment="1">
      <alignment vertical="center" wrapText="1"/>
    </xf>
    <xf numFmtId="0" fontId="105" fillId="0" borderId="0" xfId="0" applyFont="1" applyFill="1"/>
    <xf numFmtId="0" fontId="127" fillId="0" borderId="0" xfId="0" applyFont="1" applyFill="1" applyBorder="1"/>
    <xf numFmtId="0" fontId="10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vertical="center" wrapText="1"/>
    </xf>
    <xf numFmtId="0" fontId="9" fillId="2" borderId="0" xfId="0" applyFont="1" applyFill="1" applyBorder="1"/>
    <xf numFmtId="3" fontId="45" fillId="2" borderId="0" xfId="0" applyNumberFormat="1" applyFont="1" applyFill="1" applyBorder="1" applyAlignment="1">
      <alignment horizontal="right" vertical="center"/>
    </xf>
    <xf numFmtId="1" fontId="93" fillId="2" borderId="0" xfId="0" applyNumberFormat="1" applyFont="1" applyFill="1" applyBorder="1" applyAlignment="1">
      <alignment horizontal="right" vertical="center" wrapText="1"/>
    </xf>
    <xf numFmtId="0" fontId="93" fillId="2" borderId="0" xfId="0" applyFont="1" applyFill="1" applyBorder="1" applyAlignment="1">
      <alignment horizontal="right" wrapText="1"/>
    </xf>
    <xf numFmtId="0" fontId="45" fillId="0" borderId="0" xfId="0" applyFont="1" applyFill="1" applyBorder="1" applyAlignment="1">
      <alignment horizontal="left" vertical="center"/>
    </xf>
    <xf numFmtId="0" fontId="119" fillId="0" borderId="0" xfId="0" applyFont="1" applyFill="1" applyBorder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133" fillId="0" borderId="0" xfId="1538" applyFont="1" applyAlignment="1">
      <alignment horizontal="left" vertical="center" wrapText="1"/>
    </xf>
    <xf numFmtId="0" fontId="27" fillId="0" borderId="0" xfId="1535" applyFont="1" applyAlignment="1">
      <alignment horizontal="center" vertical="center"/>
    </xf>
    <xf numFmtId="49" fontId="90" fillId="0" borderId="0" xfId="1538" applyNumberFormat="1" applyFont="1" applyAlignment="1">
      <alignment vertical="top" wrapText="1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 applyBorder="1" applyAlignment="1"/>
    <xf numFmtId="0" fontId="45" fillId="2" borderId="0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Border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center"/>
    </xf>
    <xf numFmtId="3" fontId="109" fillId="2" borderId="33" xfId="0" applyNumberFormat="1" applyFont="1" applyFill="1" applyBorder="1" applyAlignment="1">
      <alignment vertical="center"/>
    </xf>
    <xf numFmtId="3" fontId="109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9" fillId="2" borderId="32" xfId="0" applyNumberFormat="1" applyFont="1" applyFill="1" applyBorder="1" applyAlignment="1">
      <alignment vertical="center"/>
    </xf>
    <xf numFmtId="3" fontId="109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9" fillId="2" borderId="31" xfId="0" applyNumberFormat="1" applyFont="1" applyFill="1" applyBorder="1" applyAlignment="1">
      <alignment vertical="center"/>
    </xf>
    <xf numFmtId="3" fontId="109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9" fillId="2" borderId="34" xfId="0" applyNumberFormat="1" applyFont="1" applyFill="1" applyBorder="1" applyAlignment="1">
      <alignment vertical="center"/>
    </xf>
    <xf numFmtId="3" fontId="109" fillId="2" borderId="6" xfId="0" applyNumberFormat="1" applyFont="1" applyFill="1" applyBorder="1" applyAlignment="1">
      <alignment vertical="center"/>
    </xf>
    <xf numFmtId="0" fontId="45" fillId="2" borderId="0" xfId="0" applyFont="1" applyFill="1" applyBorder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9" fillId="0" borderId="0" xfId="2" applyFont="1" applyFill="1" applyBorder="1" applyAlignment="1">
      <alignment horizontal="right" vertical="top" wrapText="1"/>
    </xf>
    <xf numFmtId="0" fontId="45" fillId="2" borderId="0" xfId="2" applyFont="1" applyFill="1" applyBorder="1" applyAlignment="1">
      <alignment horizontal="left" vertical="center"/>
    </xf>
    <xf numFmtId="165" fontId="45" fillId="2" borderId="0" xfId="2" applyNumberFormat="1" applyFont="1" applyFill="1" applyBorder="1" applyAlignment="1">
      <alignment horizontal="right" vertical="center"/>
    </xf>
    <xf numFmtId="165" fontId="45" fillId="2" borderId="0" xfId="2" applyNumberFormat="1" applyFont="1" applyFill="1" applyBorder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9" fillId="2" borderId="33" xfId="2" applyFont="1" applyFill="1" applyBorder="1" applyAlignment="1">
      <alignment horizontal="center" vertical="center" wrapText="1"/>
    </xf>
    <xf numFmtId="0" fontId="109" fillId="0" borderId="32" xfId="2" applyFont="1" applyFill="1" applyBorder="1"/>
    <xf numFmtId="0" fontId="109" fillId="2" borderId="29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wrapText="1"/>
    </xf>
    <xf numFmtId="0" fontId="109" fillId="2" borderId="32" xfId="2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0" xfId="0" applyFont="1" applyFill="1" applyBorder="1" applyAlignment="1"/>
    <xf numFmtId="0" fontId="109" fillId="2" borderId="25" xfId="0" applyFont="1" applyFill="1" applyBorder="1"/>
    <xf numFmtId="0" fontId="109" fillId="2" borderId="29" xfId="0" applyFont="1" applyFill="1" applyBorder="1" applyAlignment="1">
      <alignment horizontal="right"/>
    </xf>
    <xf numFmtId="0" fontId="109" fillId="2" borderId="25" xfId="0" applyFont="1" applyFill="1" applyBorder="1" applyAlignment="1">
      <alignment horizontal="right"/>
    </xf>
    <xf numFmtId="1" fontId="109" fillId="2" borderId="32" xfId="0" applyNumberFormat="1" applyFont="1" applyFill="1" applyBorder="1" applyAlignment="1">
      <alignment horizontal="right"/>
    </xf>
    <xf numFmtId="1" fontId="109" fillId="2" borderId="25" xfId="0" applyNumberFormat="1" applyFont="1" applyFill="1" applyBorder="1" applyAlignment="1">
      <alignment horizontal="right"/>
    </xf>
    <xf numFmtId="0" fontId="45" fillId="2" borderId="25" xfId="0" applyFont="1" applyFill="1" applyBorder="1" applyAlignment="1">
      <alignment horizontal="left" vertical="center"/>
    </xf>
    <xf numFmtId="0" fontId="109" fillId="2" borderId="31" xfId="2" applyFont="1" applyFill="1" applyBorder="1" applyAlignment="1">
      <alignment horizontal="left" vertical="center"/>
    </xf>
    <xf numFmtId="1" fontId="112" fillId="0" borderId="0" xfId="2" applyNumberFormat="1" applyFont="1" applyFill="1" applyBorder="1" applyAlignment="1">
      <alignment horizontal="left" vertical="top" wrapText="1"/>
    </xf>
    <xf numFmtId="0" fontId="109" fillId="0" borderId="0" xfId="2" applyFont="1" applyFill="1" applyBorder="1" applyAlignment="1">
      <alignment vertical="top" wrapText="1"/>
    </xf>
    <xf numFmtId="0" fontId="113" fillId="0" borderId="0" xfId="2" applyFont="1" applyFill="1" applyBorder="1" applyAlignment="1">
      <alignment horizontal="left" vertical="top" wrapText="1"/>
    </xf>
    <xf numFmtId="165" fontId="45" fillId="2" borderId="0" xfId="2" applyNumberFormat="1" applyFont="1" applyFill="1" applyBorder="1" applyAlignment="1">
      <alignment horizontal="right"/>
    </xf>
    <xf numFmtId="0" fontId="45" fillId="2" borderId="0" xfId="2" applyFont="1" applyFill="1" applyBorder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Border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165" fontId="45" fillId="2" borderId="25" xfId="20" applyNumberFormat="1" applyFont="1" applyFill="1" applyBorder="1" applyAlignment="1">
      <alignment horizontal="right" vertical="center"/>
    </xf>
    <xf numFmtId="0" fontId="45" fillId="2" borderId="6" xfId="2" applyFont="1" applyFill="1" applyBorder="1" applyAlignment="1">
      <alignment horizontal="lef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9" fillId="2" borderId="0" xfId="2" applyFont="1" applyFill="1" applyBorder="1" applyAlignment="1">
      <alignment horizontal="center" vertical="center" wrapText="1"/>
    </xf>
    <xf numFmtId="0" fontId="109" fillId="2" borderId="25" xfId="2" applyFont="1" applyFill="1" applyBorder="1" applyAlignment="1">
      <alignment horizontal="left"/>
    </xf>
    <xf numFmtId="0" fontId="109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0" fontId="45" fillId="0" borderId="32" xfId="2" applyFont="1" applyFill="1" applyBorder="1"/>
    <xf numFmtId="0" fontId="109" fillId="2" borderId="29" xfId="0" applyFont="1" applyFill="1" applyBorder="1" applyAlignment="1">
      <alignment horizontal="right" textRotation="90" wrapText="1"/>
    </xf>
    <xf numFmtId="0" fontId="109" fillId="2" borderId="25" xfId="0" applyFont="1" applyFill="1" applyBorder="1" applyAlignment="1">
      <alignment horizontal="right" textRotation="90" wrapText="1"/>
    </xf>
    <xf numFmtId="0" fontId="109" fillId="2" borderId="32" xfId="0" applyFont="1" applyFill="1" applyBorder="1" applyAlignment="1">
      <alignment horizontal="right" textRotation="90" wrapText="1"/>
    </xf>
    <xf numFmtId="165" fontId="110" fillId="2" borderId="29" xfId="20" applyNumberFormat="1" applyFont="1" applyFill="1" applyBorder="1" applyAlignment="1">
      <alignment horizontal="right" vertical="center"/>
    </xf>
    <xf numFmtId="165" fontId="110" fillId="2" borderId="27" xfId="20" applyNumberFormat="1" applyFont="1" applyFill="1" applyBorder="1" applyAlignment="1">
      <alignment horizontal="right" vertical="center"/>
    </xf>
    <xf numFmtId="164" fontId="110" fillId="2" borderId="25" xfId="1" applyNumberFormat="1" applyFont="1" applyFill="1" applyBorder="1" applyAlignment="1">
      <alignment vertical="center"/>
    </xf>
    <xf numFmtId="164" fontId="110" fillId="2" borderId="6" xfId="1" applyNumberFormat="1" applyFont="1" applyFill="1" applyBorder="1" applyAlignment="1">
      <alignment vertical="center"/>
    </xf>
    <xf numFmtId="165" fontId="110" fillId="2" borderId="25" xfId="20" applyNumberFormat="1" applyFont="1" applyFill="1" applyBorder="1" applyAlignment="1">
      <alignment horizontal="right" vertical="center"/>
    </xf>
    <xf numFmtId="165" fontId="110" fillId="2" borderId="6" xfId="20" applyNumberFormat="1" applyFont="1" applyFill="1" applyBorder="1" applyAlignment="1">
      <alignment horizontal="right" vertical="center"/>
    </xf>
    <xf numFmtId="165" fontId="110" fillId="2" borderId="32" xfId="20" applyNumberFormat="1" applyFont="1" applyFill="1" applyBorder="1" applyAlignment="1">
      <alignment horizontal="right" vertical="center"/>
    </xf>
    <xf numFmtId="165" fontId="110" fillId="2" borderId="34" xfId="20" applyNumberFormat="1" applyFont="1" applyFill="1" applyBorder="1" applyAlignment="1">
      <alignment horizontal="right" vertical="center"/>
    </xf>
    <xf numFmtId="0" fontId="109" fillId="2" borderId="6" xfId="2" applyFont="1" applyFill="1" applyBorder="1" applyAlignment="1">
      <alignment horizontal="left" vertical="center"/>
    </xf>
    <xf numFmtId="0" fontId="136" fillId="0" borderId="25" xfId="0" applyFont="1" applyFill="1" applyBorder="1"/>
    <xf numFmtId="0" fontId="136" fillId="0" borderId="25" xfId="0" applyFont="1" applyFill="1" applyBorder="1" applyAlignment="1"/>
    <xf numFmtId="1" fontId="109" fillId="2" borderId="29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1" fontId="109" fillId="2" borderId="32" xfId="2" applyNumberFormat="1" applyFont="1" applyFill="1" applyBorder="1" applyAlignment="1">
      <alignment horizontal="right" wrapText="1"/>
    </xf>
    <xf numFmtId="0" fontId="109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Border="1" applyAlignment="1">
      <alignment horizontal="right" vertical="center"/>
    </xf>
    <xf numFmtId="3" fontId="45" fillId="2" borderId="0" xfId="2" applyNumberFormat="1" applyFont="1" applyFill="1" applyBorder="1" applyAlignment="1">
      <alignment vertical="center"/>
    </xf>
    <xf numFmtId="0" fontId="109" fillId="0" borderId="25" xfId="2" applyFont="1" applyFill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9" fillId="2" borderId="30" xfId="2" applyFont="1" applyFill="1" applyBorder="1"/>
    <xf numFmtId="0" fontId="109" fillId="2" borderId="0" xfId="2" applyFont="1" applyFill="1" applyBorder="1"/>
    <xf numFmtId="0" fontId="109" fillId="2" borderId="33" xfId="2" applyFont="1" applyFill="1" applyBorder="1"/>
    <xf numFmtId="0" fontId="109" fillId="2" borderId="0" xfId="2" applyFont="1" applyFill="1" applyBorder="1" applyAlignment="1">
      <alignment horizontal="left" vertical="center" wrapText="1"/>
    </xf>
    <xf numFmtId="0" fontId="109" fillId="2" borderId="0" xfId="2" applyFont="1" applyFill="1" applyBorder="1" applyAlignment="1">
      <alignment vertical="center" wrapText="1"/>
    </xf>
    <xf numFmtId="0" fontId="109" fillId="2" borderId="30" xfId="2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horizontal="center"/>
    </xf>
    <xf numFmtId="0" fontId="109" fillId="2" borderId="0" xfId="0" applyFont="1" applyFill="1" applyBorder="1" applyAlignment="1">
      <alignment vertical="center"/>
    </xf>
    <xf numFmtId="1" fontId="112" fillId="0" borderId="25" xfId="0" applyNumberFormat="1" applyFont="1" applyFill="1" applyBorder="1" applyAlignment="1">
      <alignment vertical="top"/>
    </xf>
    <xf numFmtId="0" fontId="93" fillId="0" borderId="25" xfId="0" applyFont="1" applyFill="1" applyBorder="1" applyAlignment="1">
      <alignment vertical="top" wrapText="1"/>
    </xf>
    <xf numFmtId="165" fontId="45" fillId="2" borderId="0" xfId="0" applyNumberFormat="1" applyFont="1" applyFill="1" applyBorder="1" applyAlignment="1"/>
    <xf numFmtId="165" fontId="45" fillId="2" borderId="0" xfId="0" applyNumberFormat="1" applyFont="1" applyFill="1" applyBorder="1" applyAlignment="1">
      <alignment vertical="center"/>
    </xf>
    <xf numFmtId="3" fontId="45" fillId="2" borderId="0" xfId="0" applyNumberFormat="1" applyFont="1" applyFill="1" applyBorder="1" applyAlignment="1">
      <alignment vertical="top" wrapText="1"/>
    </xf>
    <xf numFmtId="165" fontId="45" fillId="2" borderId="0" xfId="0" applyNumberFormat="1" applyFont="1" applyFill="1" applyBorder="1" applyAlignment="1">
      <alignment vertical="top" wrapText="1"/>
    </xf>
    <xf numFmtId="3" fontId="45" fillId="2" borderId="0" xfId="0" applyNumberFormat="1" applyFont="1" applyFill="1" applyBorder="1" applyAlignment="1"/>
    <xf numFmtId="3" fontId="45" fillId="2" borderId="0" xfId="0" applyNumberFormat="1" applyFont="1" applyFill="1" applyBorder="1" applyAlignment="1">
      <alignment vertical="top"/>
    </xf>
    <xf numFmtId="0" fontId="109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 applyAlignment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 applyAlignment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wrapText="1"/>
    </xf>
    <xf numFmtId="0" fontId="120" fillId="2" borderId="32" xfId="0" applyFont="1" applyFill="1" applyBorder="1" applyAlignment="1">
      <alignment vertical="center"/>
    </xf>
    <xf numFmtId="3" fontId="45" fillId="0" borderId="0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5" fillId="0" borderId="25" xfId="0" applyFont="1" applyFill="1" applyBorder="1" applyAlignment="1">
      <alignment horizontal="left" wrapText="1"/>
    </xf>
    <xf numFmtId="3" fontId="45" fillId="0" borderId="25" xfId="0" applyNumberFormat="1" applyFont="1" applyFill="1" applyBorder="1"/>
    <xf numFmtId="3" fontId="45" fillId="0" borderId="25" xfId="0" applyNumberFormat="1" applyFont="1" applyFill="1" applyBorder="1" applyAlignment="1">
      <alignment horizontal="center"/>
    </xf>
    <xf numFmtId="0" fontId="9" fillId="0" borderId="25" xfId="0" applyFont="1" applyFill="1" applyBorder="1"/>
    <xf numFmtId="3" fontId="45" fillId="0" borderId="25" xfId="0" applyNumberFormat="1" applyFont="1" applyFill="1" applyBorder="1" applyAlignment="1">
      <alignment horizontal="right"/>
    </xf>
    <xf numFmtId="165" fontId="45" fillId="0" borderId="25" xfId="0" applyNumberFormat="1" applyFont="1" applyFill="1" applyBorder="1" applyAlignment="1">
      <alignment horizontal="center"/>
    </xf>
    <xf numFmtId="3" fontId="45" fillId="0" borderId="28" xfId="0" applyNumberFormat="1" applyFont="1" applyFill="1" applyBorder="1"/>
    <xf numFmtId="3" fontId="45" fillId="0" borderId="26" xfId="0" applyNumberFormat="1" applyFont="1" applyFill="1" applyBorder="1"/>
    <xf numFmtId="3" fontId="45" fillId="0" borderId="26" xfId="0" applyNumberFormat="1" applyFont="1" applyFill="1" applyBorder="1" applyAlignment="1">
      <alignment horizontal="center"/>
    </xf>
    <xf numFmtId="3" fontId="45" fillId="0" borderId="29" xfId="0" applyNumberFormat="1" applyFont="1" applyFill="1" applyBorder="1"/>
    <xf numFmtId="3" fontId="45" fillId="0" borderId="30" xfId="0" applyNumberFormat="1" applyFont="1" applyFill="1" applyBorder="1" applyAlignment="1">
      <alignment horizontal="right"/>
    </xf>
    <xf numFmtId="3" fontId="45" fillId="0" borderId="29" xfId="0" applyNumberFormat="1" applyFont="1" applyFill="1" applyBorder="1" applyAlignment="1">
      <alignment horizontal="right"/>
    </xf>
    <xf numFmtId="3" fontId="45" fillId="0" borderId="31" xfId="0" applyNumberFormat="1" applyFont="1" applyFill="1" applyBorder="1" applyAlignment="1">
      <alignment horizontal="center"/>
    </xf>
    <xf numFmtId="3" fontId="45" fillId="0" borderId="32" xfId="0" applyNumberFormat="1" applyFont="1" applyFill="1" applyBorder="1" applyAlignment="1">
      <alignment horizontal="center"/>
    </xf>
    <xf numFmtId="165" fontId="45" fillId="0" borderId="33" xfId="0" applyNumberFormat="1" applyFont="1" applyFill="1" applyBorder="1" applyAlignment="1">
      <alignment horizontal="center"/>
    </xf>
    <xf numFmtId="165" fontId="45" fillId="0" borderId="32" xfId="0" applyNumberFormat="1" applyFont="1" applyFill="1" applyBorder="1" applyAlignment="1">
      <alignment horizontal="center"/>
    </xf>
    <xf numFmtId="0" fontId="121" fillId="0" borderId="30" xfId="0" applyFont="1" applyFill="1" applyBorder="1"/>
    <xf numFmtId="3" fontId="118" fillId="0" borderId="30" xfId="0" applyNumberFormat="1" applyFont="1" applyFill="1" applyBorder="1" applyAlignment="1">
      <alignment horizontal="right"/>
    </xf>
    <xf numFmtId="0" fontId="118" fillId="0" borderId="30" xfId="0" applyFont="1" applyFill="1" applyBorder="1" applyAlignment="1">
      <alignment horizontal="right"/>
    </xf>
    <xf numFmtId="0" fontId="9" fillId="0" borderId="29" xfId="0" applyFont="1" applyFill="1" applyBorder="1"/>
    <xf numFmtId="0" fontId="121" fillId="0" borderId="33" xfId="0" applyFont="1" applyFill="1" applyBorder="1"/>
    <xf numFmtId="0" fontId="9" fillId="0" borderId="32" xfId="0" applyFont="1" applyFill="1" applyBorder="1"/>
    <xf numFmtId="0" fontId="127" fillId="0" borderId="30" xfId="0" applyFont="1" applyFill="1" applyBorder="1" applyAlignment="1">
      <alignment horizontal="left" vertical="top"/>
    </xf>
    <xf numFmtId="0" fontId="109" fillId="2" borderId="0" xfId="0" applyFont="1" applyFill="1" applyBorder="1" applyAlignment="1">
      <alignment horizontal="left" vertical="center"/>
    </xf>
    <xf numFmtId="1" fontId="93" fillId="0" borderId="0" xfId="0" applyNumberFormat="1" applyFont="1" applyFill="1" applyBorder="1" applyAlignment="1">
      <alignment vertical="center" wrapText="1"/>
    </xf>
    <xf numFmtId="1" fontId="93" fillId="0" borderId="0" xfId="0" applyNumberFormat="1" applyFont="1" applyFill="1" applyBorder="1" applyAlignment="1">
      <alignment horizontal="left" vertical="center" wrapText="1"/>
    </xf>
    <xf numFmtId="0" fontId="93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vertical="center" wrapText="1"/>
    </xf>
    <xf numFmtId="1" fontId="109" fillId="2" borderId="0" xfId="0" applyNumberFormat="1" applyFont="1" applyFill="1" applyBorder="1" applyAlignment="1">
      <alignment horizontal="right" vertical="center" wrapText="1"/>
    </xf>
    <xf numFmtId="0" fontId="109" fillId="2" borderId="0" xfId="0" applyFont="1" applyFill="1" applyBorder="1" applyAlignment="1">
      <alignment horizontal="left" wrapText="1"/>
    </xf>
    <xf numFmtId="0" fontId="45" fillId="2" borderId="0" xfId="0" applyFont="1" applyFill="1" applyBorder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3" fillId="0" borderId="25" xfId="0" applyNumberFormat="1" applyFont="1" applyFill="1" applyBorder="1" applyAlignment="1">
      <alignment vertical="center" wrapText="1"/>
    </xf>
    <xf numFmtId="1" fontId="93" fillId="0" borderId="25" xfId="0" applyNumberFormat="1" applyFont="1" applyFill="1" applyBorder="1" applyAlignment="1">
      <alignment horizontal="left" vertical="center" wrapText="1"/>
    </xf>
    <xf numFmtId="0" fontId="93" fillId="0" borderId="25" xfId="0" applyFont="1" applyFill="1" applyBorder="1" applyAlignment="1">
      <alignment vertical="center" wrapText="1"/>
    </xf>
    <xf numFmtId="0" fontId="109" fillId="2" borderId="25" xfId="0" applyFont="1" applyFill="1" applyBorder="1" applyAlignment="1">
      <alignment horizontal="left" vertical="center"/>
    </xf>
    <xf numFmtId="3" fontId="109" fillId="2" borderId="25" xfId="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horizontal="right" vertical="center"/>
    </xf>
    <xf numFmtId="3" fontId="109" fillId="2" borderId="29" xfId="0" applyNumberFormat="1" applyFont="1" applyFill="1" applyBorder="1" applyAlignment="1">
      <alignment horizontal="right" vertical="center"/>
    </xf>
    <xf numFmtId="0" fontId="109" fillId="2" borderId="25" xfId="0" applyFont="1" applyFill="1" applyBorder="1" applyAlignment="1">
      <alignment vertical="top" wrapText="1"/>
    </xf>
    <xf numFmtId="0" fontId="109" fillId="2" borderId="25" xfId="0" applyFont="1" applyFill="1" applyBorder="1" applyAlignment="1">
      <alignment horizontal="left" vertical="top" wrapText="1"/>
    </xf>
    <xf numFmtId="165" fontId="115" fillId="2" borderId="0" xfId="1" applyNumberFormat="1" applyFont="1" applyFill="1" applyBorder="1" applyAlignment="1">
      <alignment horizontal="right" vertical="center"/>
    </xf>
    <xf numFmtId="165" fontId="115" fillId="2" borderId="0" xfId="0" applyNumberFormat="1" applyFont="1" applyFill="1" applyBorder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Border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5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9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9" fillId="2" borderId="29" xfId="2" applyFont="1" applyFill="1" applyBorder="1" applyAlignment="1">
      <alignment horizontal="right" textRotation="90" wrapText="1"/>
    </xf>
    <xf numFmtId="0" fontId="109" fillId="2" borderId="32" xfId="2" applyFont="1" applyFill="1" applyBorder="1" applyAlignment="1">
      <alignment horizontal="right" textRotation="90" wrapText="1"/>
    </xf>
    <xf numFmtId="3" fontId="110" fillId="2" borderId="29" xfId="2" applyNumberFormat="1" applyFont="1" applyFill="1" applyBorder="1" applyAlignment="1">
      <alignment horizontal="right" vertical="center"/>
    </xf>
    <xf numFmtId="3" fontId="110" fillId="2" borderId="25" xfId="2" applyNumberFormat="1" applyFont="1" applyFill="1" applyBorder="1" applyAlignment="1">
      <alignment horizontal="right" vertical="center"/>
    </xf>
    <xf numFmtId="3" fontId="110" fillId="2" borderId="32" xfId="2" applyNumberFormat="1" applyFont="1" applyFill="1" applyBorder="1" applyAlignment="1">
      <alignment horizontal="right" vertical="center"/>
    </xf>
    <xf numFmtId="3" fontId="110" fillId="2" borderId="27" xfId="2" applyNumberFormat="1" applyFont="1" applyFill="1" applyBorder="1" applyAlignment="1">
      <alignment horizontal="right" vertical="center"/>
    </xf>
    <xf numFmtId="3" fontId="110" fillId="2" borderId="6" xfId="2" applyNumberFormat="1" applyFont="1" applyFill="1" applyBorder="1" applyAlignment="1">
      <alignment horizontal="right" vertical="center"/>
    </xf>
    <xf numFmtId="3" fontId="110" fillId="2" borderId="34" xfId="2" applyNumberFormat="1" applyFont="1" applyFill="1" applyBorder="1" applyAlignment="1">
      <alignment horizontal="right" vertical="center"/>
    </xf>
    <xf numFmtId="0" fontId="109" fillId="2" borderId="26" xfId="0" applyFont="1" applyFill="1" applyBorder="1" applyAlignment="1">
      <alignment horizontal="left" vertical="top" wrapText="1"/>
    </xf>
    <xf numFmtId="0" fontId="109" fillId="2" borderId="28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vertical="center" wrapText="1"/>
    </xf>
    <xf numFmtId="0" fontId="109" fillId="2" borderId="29" xfId="0" applyFont="1" applyFill="1" applyBorder="1" applyAlignment="1">
      <alignment vertical="top" wrapText="1"/>
    </xf>
    <xf numFmtId="164" fontId="110" fillId="2" borderId="0" xfId="1" applyNumberFormat="1" applyFont="1" applyFill="1" applyBorder="1" applyAlignment="1">
      <alignment horizontal="right" vertical="center"/>
    </xf>
    <xf numFmtId="0" fontId="109" fillId="2" borderId="30" xfId="0" applyFont="1" applyFill="1" applyBorder="1" applyAlignment="1">
      <alignment horizontal="right"/>
    </xf>
    <xf numFmtId="0" fontId="109" fillId="2" borderId="0" xfId="0" applyFont="1" applyFill="1" applyBorder="1" applyAlignment="1">
      <alignment horizontal="right"/>
    </xf>
    <xf numFmtId="0" fontId="138" fillId="2" borderId="30" xfId="0" applyFont="1" applyFill="1" applyBorder="1" applyAlignment="1">
      <alignment horizontal="right" wrapText="1"/>
    </xf>
    <xf numFmtId="0" fontId="138" fillId="2" borderId="0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left" vertical="center" wrapText="1"/>
    </xf>
    <xf numFmtId="0" fontId="138" fillId="2" borderId="29" xfId="0" applyFont="1" applyFill="1" applyBorder="1" applyAlignment="1">
      <alignment horizontal="right" wrapText="1"/>
    </xf>
    <xf numFmtId="0" fontId="138" fillId="2" borderId="25" xfId="0" applyFont="1" applyFill="1" applyBorder="1" applyAlignment="1">
      <alignment horizontal="right" wrapText="1"/>
    </xf>
    <xf numFmtId="0" fontId="93" fillId="2" borderId="0" xfId="0" applyFont="1" applyFill="1" applyBorder="1" applyAlignment="1">
      <alignment horizontal="left" wrapText="1"/>
    </xf>
    <xf numFmtId="1" fontId="109" fillId="2" borderId="26" xfId="0" applyNumberFormat="1" applyFont="1" applyFill="1" applyBorder="1" applyAlignment="1">
      <alignment horizontal="left" vertical="center" wrapText="1"/>
    </xf>
    <xf numFmtId="0" fontId="45" fillId="2" borderId="0" xfId="0" applyFont="1" applyFill="1" applyBorder="1"/>
    <xf numFmtId="0" fontId="45" fillId="0" borderId="25" xfId="0" applyFont="1" applyFill="1" applyBorder="1"/>
    <xf numFmtId="0" fontId="109" fillId="2" borderId="25" xfId="0" applyFont="1" applyFill="1" applyBorder="1" applyAlignment="1">
      <alignment vertical="top"/>
    </xf>
    <xf numFmtId="0" fontId="109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9" fillId="2" borderId="6" xfId="0" applyFont="1" applyFill="1" applyBorder="1" applyAlignment="1">
      <alignment vertical="center" wrapText="1"/>
    </xf>
    <xf numFmtId="0" fontId="109" fillId="2" borderId="30" xfId="0" applyFont="1" applyFill="1" applyBorder="1" applyAlignment="1">
      <alignment vertical="top" wrapText="1"/>
    </xf>
    <xf numFmtId="0" fontId="129" fillId="0" borderId="30" xfId="0" applyFont="1" applyFill="1" applyBorder="1"/>
    <xf numFmtId="0" fontId="109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9" fillId="2" borderId="0" xfId="0" applyFont="1" applyFill="1" applyBorder="1" applyAlignment="1">
      <alignment horizontal="right" textRotation="90" wrapText="1"/>
    </xf>
    <xf numFmtId="0" fontId="109" fillId="2" borderId="25" xfId="2" applyFont="1" applyFill="1" applyBorder="1" applyAlignment="1">
      <alignment horizontal="center" textRotation="90" wrapText="1"/>
    </xf>
    <xf numFmtId="165" fontId="110" fillId="2" borderId="25" xfId="2" applyNumberFormat="1" applyFont="1" applyFill="1" applyBorder="1" applyAlignment="1">
      <alignment horizontal="right" vertical="center"/>
    </xf>
    <xf numFmtId="165" fontId="110" fillId="2" borderId="29" xfId="2" applyNumberFormat="1" applyFont="1" applyFill="1" applyBorder="1" applyAlignment="1">
      <alignment horizontal="right" vertical="center"/>
    </xf>
    <xf numFmtId="165" fontId="110" fillId="2" borderId="32" xfId="2" applyNumberFormat="1" applyFont="1" applyFill="1" applyBorder="1" applyAlignment="1">
      <alignment horizontal="right" vertical="center"/>
    </xf>
    <xf numFmtId="165" fontId="110" fillId="2" borderId="27" xfId="2" applyNumberFormat="1" applyFont="1" applyFill="1" applyBorder="1" applyAlignment="1">
      <alignment horizontal="right" vertical="center"/>
    </xf>
    <xf numFmtId="165" fontId="110" fillId="2" borderId="2" xfId="2" applyNumberFormat="1" applyFont="1" applyFill="1" applyBorder="1" applyAlignment="1">
      <alignment horizontal="right" vertical="center"/>
    </xf>
    <xf numFmtId="165" fontId="110" fillId="2" borderId="34" xfId="2" applyNumberFormat="1" applyFont="1" applyFill="1" applyBorder="1" applyAlignment="1">
      <alignment horizontal="right" vertical="center"/>
    </xf>
    <xf numFmtId="0" fontId="107" fillId="0" borderId="0" xfId="2" quotePrefix="1" applyFont="1" applyFill="1" applyBorder="1" applyAlignment="1">
      <alignment horizontal="left"/>
    </xf>
    <xf numFmtId="0" fontId="107" fillId="0" borderId="0" xfId="2" applyFont="1" applyFill="1" applyBorder="1" applyAlignment="1">
      <alignment horizontal="left"/>
    </xf>
    <xf numFmtId="0" fontId="140" fillId="0" borderId="0" xfId="2" applyFont="1" applyFill="1" applyBorder="1" applyAlignment="1"/>
    <xf numFmtId="0" fontId="116" fillId="0" borderId="0" xfId="2" applyFont="1" applyFill="1" applyBorder="1" applyAlignment="1">
      <alignment wrapText="1"/>
    </xf>
    <xf numFmtId="165" fontId="116" fillId="0" borderId="0" xfId="2" applyNumberFormat="1" applyFont="1" applyFill="1" applyBorder="1"/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center"/>
    </xf>
    <xf numFmtId="165" fontId="45" fillId="2" borderId="31" xfId="20" applyNumberFormat="1" applyFont="1" applyFill="1" applyBorder="1" applyAlignment="1">
      <alignment horizontal="right" vertical="center"/>
    </xf>
    <xf numFmtId="0" fontId="130" fillId="0" borderId="0" xfId="1535" applyFont="1" applyAlignment="1">
      <alignment horizontal="left" vertical="center" wrapText="1"/>
    </xf>
    <xf numFmtId="0" fontId="132" fillId="0" borderId="0" xfId="1535" applyFont="1" applyAlignment="1">
      <alignment horizontal="left" vertical="center" wrapText="1"/>
    </xf>
    <xf numFmtId="0" fontId="32" fillId="0" borderId="0" xfId="1535" applyFont="1" applyAlignment="1">
      <alignment horizontal="center"/>
    </xf>
    <xf numFmtId="49" fontId="32" fillId="0" borderId="0" xfId="1535" applyNumberFormat="1" applyFont="1" applyAlignment="1">
      <alignment horizontal="center" vertical="center"/>
    </xf>
    <xf numFmtId="49" fontId="33" fillId="0" borderId="0" xfId="1535" applyNumberFormat="1" applyFont="1" applyAlignment="1">
      <alignment horizontal="center" vertical="center"/>
    </xf>
    <xf numFmtId="0" fontId="97" fillId="0" borderId="0" xfId="0" applyFont="1" applyFill="1" applyAlignment="1">
      <alignment horizontal="justify" vertical="top" wrapText="1"/>
    </xf>
    <xf numFmtId="0" fontId="107" fillId="0" borderId="0" xfId="2" applyFont="1" applyFill="1" applyBorder="1" applyAlignment="1">
      <alignment horizontal="left"/>
    </xf>
    <xf numFmtId="0" fontId="54" fillId="2" borderId="0" xfId="2" applyFont="1" applyFill="1" applyAlignment="1">
      <alignment horizontal="right" vertical="top" wrapText="1"/>
    </xf>
    <xf numFmtId="0" fontId="92" fillId="0" borderId="0" xfId="0" applyFont="1" applyAlignment="1">
      <alignment horizontal="right"/>
    </xf>
    <xf numFmtId="0" fontId="54" fillId="2" borderId="0" xfId="2" applyFont="1" applyFill="1" applyAlignment="1">
      <alignment horizontal="justify" vertical="top" wrapText="1"/>
    </xf>
    <xf numFmtId="0" fontId="107" fillId="2" borderId="25" xfId="2" applyFont="1" applyFill="1" applyBorder="1" applyAlignment="1">
      <alignment horizontal="left" wrapText="1"/>
    </xf>
    <xf numFmtId="0" fontId="92" fillId="0" borderId="0" xfId="0" applyFont="1" applyBorder="1" applyAlignment="1">
      <alignment horizontal="right"/>
    </xf>
    <xf numFmtId="3" fontId="92" fillId="0" borderId="0" xfId="2" applyNumberFormat="1" applyFont="1" applyFill="1" applyAlignment="1">
      <alignment horizontal="center"/>
    </xf>
    <xf numFmtId="0" fontId="107" fillId="0" borderId="25" xfId="2" applyFont="1" applyFill="1" applyBorder="1" applyAlignment="1">
      <alignment horizontal="left"/>
    </xf>
    <xf numFmtId="0" fontId="103" fillId="0" borderId="0" xfId="0" applyFont="1" applyFill="1" applyAlignment="1">
      <alignment horizontal="justify" vertical="top" wrapText="1"/>
    </xf>
    <xf numFmtId="0" fontId="140" fillId="0" borderId="0" xfId="0" applyFont="1" applyFill="1" applyBorder="1" applyAlignment="1">
      <alignment horizontal="left"/>
    </xf>
    <xf numFmtId="1" fontId="93" fillId="0" borderId="0" xfId="0" applyNumberFormat="1" applyFont="1" applyFill="1" applyBorder="1" applyAlignment="1">
      <alignment horizontal="center" vertical="center"/>
    </xf>
    <xf numFmtId="0" fontId="93" fillId="0" borderId="0" xfId="0" applyFont="1" applyFill="1" applyBorder="1" applyAlignment="1">
      <alignment horizontal="center" vertical="center"/>
    </xf>
    <xf numFmtId="0" fontId="109" fillId="2" borderId="28" xfId="0" applyFont="1" applyFill="1" applyBorder="1" applyAlignment="1">
      <alignment horizontal="left" vertical="center"/>
    </xf>
    <xf numFmtId="0" fontId="109" fillId="2" borderId="26" xfId="0" applyFont="1" applyFill="1" applyBorder="1" applyAlignment="1">
      <alignment horizontal="left" vertical="center"/>
    </xf>
    <xf numFmtId="0" fontId="109" fillId="2" borderId="31" xfId="0" applyFont="1" applyFill="1" applyBorder="1" applyAlignment="1">
      <alignment horizontal="left" vertical="center"/>
    </xf>
    <xf numFmtId="0" fontId="45" fillId="2" borderId="0" xfId="0" applyFont="1" applyFill="1" applyBorder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45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center" vertical="center" textRotation="90" wrapText="1"/>
    </xf>
    <xf numFmtId="0" fontId="109" fillId="2" borderId="25" xfId="0" applyFont="1" applyFill="1" applyBorder="1" applyAlignment="1">
      <alignment horizontal="center" vertical="center" textRotation="90" wrapText="1"/>
    </xf>
    <xf numFmtId="0" fontId="109" fillId="2" borderId="26" xfId="0" applyFont="1" applyFill="1" applyBorder="1" applyAlignment="1">
      <alignment horizontal="center" vertical="center" textRotation="90" wrapText="1"/>
    </xf>
    <xf numFmtId="0" fontId="45" fillId="2" borderId="25" xfId="0" applyFont="1" applyFill="1" applyBorder="1" applyAlignment="1">
      <alignment horizontal="left" vertical="center"/>
    </xf>
    <xf numFmtId="0" fontId="45" fillId="2" borderId="25" xfId="0" applyFont="1" applyFill="1" applyBorder="1" applyAlignment="1">
      <alignment horizontal="left" vertical="top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9" fillId="2" borderId="27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top" wrapText="1"/>
    </xf>
    <xf numFmtId="0" fontId="105" fillId="0" borderId="0" xfId="2" applyFont="1" applyFill="1" applyBorder="1" applyAlignment="1">
      <alignment horizontal="left" wrapText="1"/>
    </xf>
    <xf numFmtId="1" fontId="93" fillId="0" borderId="0" xfId="2" applyNumberFormat="1" applyFont="1" applyFill="1" applyBorder="1" applyAlignment="1">
      <alignment horizontal="center" vertical="center" wrapText="1"/>
    </xf>
    <xf numFmtId="0" fontId="93" fillId="0" borderId="0" xfId="2" applyFont="1" applyFill="1" applyBorder="1" applyAlignment="1">
      <alignment horizontal="center" vertical="center" wrapText="1"/>
    </xf>
    <xf numFmtId="0" fontId="140" fillId="0" borderId="0" xfId="2" applyFont="1" applyFill="1" applyBorder="1" applyAlignment="1">
      <alignment horizontal="left"/>
    </xf>
    <xf numFmtId="0" fontId="109" fillId="2" borderId="34" xfId="2" applyFont="1" applyFill="1" applyBorder="1" applyAlignment="1">
      <alignment horizontal="left" vertical="top" wrapText="1"/>
    </xf>
    <xf numFmtId="0" fontId="109" fillId="2" borderId="0" xfId="2" applyFont="1" applyFill="1" applyBorder="1" applyAlignment="1">
      <alignment horizontal="left" vertical="top" wrapText="1"/>
    </xf>
    <xf numFmtId="0" fontId="109" fillId="2" borderId="25" xfId="2" applyFont="1" applyFill="1" applyBorder="1" applyAlignment="1">
      <alignment horizontal="left" vertical="top" wrapText="1"/>
    </xf>
    <xf numFmtId="0" fontId="109" fillId="2" borderId="33" xfId="2" applyFont="1" applyFill="1" applyBorder="1" applyAlignment="1">
      <alignment horizontal="left" vertical="top" wrapText="1"/>
    </xf>
    <xf numFmtId="0" fontId="109" fillId="2" borderId="32" xfId="2" applyFont="1" applyFill="1" applyBorder="1" applyAlignment="1">
      <alignment horizontal="left" vertical="top" wrapText="1"/>
    </xf>
    <xf numFmtId="0" fontId="109" fillId="2" borderId="27" xfId="2" applyFont="1" applyFill="1" applyBorder="1" applyAlignment="1">
      <alignment horizontal="left" vertical="center" wrapText="1"/>
    </xf>
    <xf numFmtId="0" fontId="109" fillId="2" borderId="2" xfId="2" applyFont="1" applyFill="1" applyBorder="1" applyAlignment="1">
      <alignment horizontal="left" vertical="center" wrapText="1"/>
    </xf>
    <xf numFmtId="0" fontId="109" fillId="2" borderId="34" xfId="2" applyFont="1" applyFill="1" applyBorder="1" applyAlignment="1">
      <alignment horizontal="left" vertical="center" wrapText="1"/>
    </xf>
    <xf numFmtId="0" fontId="105" fillId="0" borderId="0" xfId="2" applyFont="1" applyFill="1" applyBorder="1" applyAlignment="1">
      <alignment horizontal="left"/>
    </xf>
    <xf numFmtId="0" fontId="117" fillId="0" borderId="0" xfId="2" applyFont="1" applyFill="1" applyBorder="1" applyAlignment="1">
      <alignment horizontal="right" vertical="center" wrapText="1"/>
    </xf>
    <xf numFmtId="0" fontId="109" fillId="2" borderId="29" xfId="2" applyFont="1" applyFill="1" applyBorder="1" applyAlignment="1">
      <alignment horizontal="left" vertical="top" wrapText="1"/>
    </xf>
    <xf numFmtId="0" fontId="109" fillId="2" borderId="6" xfId="2" applyFont="1" applyFill="1" applyBorder="1" applyAlignment="1">
      <alignment horizontal="left" vertical="center" wrapText="1"/>
    </xf>
    <xf numFmtId="1" fontId="45" fillId="0" borderId="0" xfId="2" applyNumberFormat="1" applyFont="1" applyFill="1" applyBorder="1" applyAlignment="1">
      <alignment horizontal="center" vertical="center"/>
    </xf>
    <xf numFmtId="1" fontId="93" fillId="0" borderId="25" xfId="2" applyNumberFormat="1" applyFont="1" applyFill="1" applyBorder="1" applyAlignment="1">
      <alignment horizontal="center" wrapText="1"/>
    </xf>
    <xf numFmtId="0" fontId="93" fillId="0" borderId="25" xfId="2" applyFont="1" applyFill="1" applyBorder="1" applyAlignment="1">
      <alignment horizontal="center" wrapText="1"/>
    </xf>
    <xf numFmtId="1" fontId="109" fillId="2" borderId="26" xfId="2" applyNumberFormat="1" applyFont="1" applyFill="1" applyBorder="1" applyAlignment="1">
      <alignment horizontal="right" wrapText="1"/>
    </xf>
    <xf numFmtId="1" fontId="109" fillId="2" borderId="25" xfId="2" applyNumberFormat="1" applyFont="1" applyFill="1" applyBorder="1" applyAlignment="1">
      <alignment horizontal="right" wrapText="1"/>
    </xf>
    <xf numFmtId="0" fontId="127" fillId="0" borderId="28" xfId="0" applyFont="1" applyFill="1" applyBorder="1" applyAlignment="1">
      <alignment horizontal="left"/>
    </xf>
    <xf numFmtId="0" fontId="127" fillId="0" borderId="26" xfId="0" applyFont="1" applyFill="1" applyBorder="1" applyAlignment="1">
      <alignment horizontal="left"/>
    </xf>
    <xf numFmtId="0" fontId="127" fillId="0" borderId="31" xfId="0" applyFont="1" applyFill="1" applyBorder="1" applyAlignment="1">
      <alignment horizontal="left"/>
    </xf>
    <xf numFmtId="0" fontId="140" fillId="0" borderId="0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/>
    </xf>
    <xf numFmtId="0" fontId="109" fillId="2" borderId="27" xfId="0" applyFont="1" applyFill="1" applyBorder="1" applyAlignment="1">
      <alignment horizontal="left" vertical="center"/>
    </xf>
    <xf numFmtId="0" fontId="109" fillId="2" borderId="34" xfId="0" applyFont="1" applyFill="1" applyBorder="1" applyAlignment="1">
      <alignment horizontal="left" vertical="center"/>
    </xf>
    <xf numFmtId="0" fontId="109" fillId="2" borderId="29" xfId="0" applyFont="1" applyFill="1" applyBorder="1" applyAlignment="1">
      <alignment horizontal="right" wrapText="1"/>
    </xf>
    <xf numFmtId="0" fontId="109" fillId="2" borderId="25" xfId="0" applyFont="1" applyFill="1" applyBorder="1" applyAlignment="1">
      <alignment horizontal="right" wrapText="1"/>
    </xf>
    <xf numFmtId="1" fontId="112" fillId="0" borderId="25" xfId="0" applyNumberFormat="1" applyFont="1" applyFill="1" applyBorder="1" applyAlignment="1">
      <alignment horizontal="left" vertical="center"/>
    </xf>
    <xf numFmtId="0" fontId="109" fillId="2" borderId="3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left" vertical="top" wrapText="1"/>
    </xf>
    <xf numFmtId="0" fontId="109" fillId="2" borderId="0" xfId="0" applyFont="1" applyFill="1" applyBorder="1" applyAlignment="1">
      <alignment horizontal="right" wrapText="1"/>
    </xf>
    <xf numFmtId="1" fontId="109" fillId="2" borderId="28" xfId="0" applyNumberFormat="1" applyFont="1" applyFill="1" applyBorder="1" applyAlignment="1">
      <alignment horizontal="left" vertical="top"/>
    </xf>
    <xf numFmtId="1" fontId="109" fillId="2" borderId="26" xfId="0" applyNumberFormat="1" applyFont="1" applyFill="1" applyBorder="1" applyAlignment="1">
      <alignment horizontal="left" vertical="top"/>
    </xf>
    <xf numFmtId="1" fontId="109" fillId="2" borderId="29" xfId="0" applyNumberFormat="1" applyFont="1" applyFill="1" applyBorder="1" applyAlignment="1">
      <alignment horizontal="left" vertical="top"/>
    </xf>
    <xf numFmtId="1" fontId="109" fillId="2" borderId="25" xfId="0" applyNumberFormat="1" applyFont="1" applyFill="1" applyBorder="1" applyAlignment="1">
      <alignment horizontal="left" vertical="top"/>
    </xf>
    <xf numFmtId="0" fontId="109" fillId="2" borderId="28" xfId="0" applyFont="1" applyFill="1" applyBorder="1" applyAlignment="1">
      <alignment horizontal="left" vertical="top" wrapText="1"/>
    </xf>
    <xf numFmtId="0" fontId="109" fillId="2" borderId="29" xfId="0" applyFont="1" applyFill="1" applyBorder="1" applyAlignment="1">
      <alignment horizontal="left" vertical="top" wrapText="1"/>
    </xf>
    <xf numFmtId="0" fontId="109" fillId="2" borderId="26" xfId="0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left"/>
    </xf>
    <xf numFmtId="1" fontId="105" fillId="0" borderId="0" xfId="0" applyNumberFormat="1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top"/>
    </xf>
    <xf numFmtId="0" fontId="105" fillId="0" borderId="0" xfId="0" applyFont="1" applyFill="1" applyBorder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Border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5" fillId="0" borderId="0" xfId="0" applyFont="1" applyFill="1" applyBorder="1" applyAlignment="1">
      <alignment horizontal="left" wrapText="1"/>
    </xf>
    <xf numFmtId="0" fontId="109" fillId="2" borderId="31" xfId="0" applyFont="1" applyFill="1" applyBorder="1" applyAlignment="1">
      <alignment horizontal="left" vertical="top" wrapText="1"/>
    </xf>
    <xf numFmtId="0" fontId="109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Border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horizontal="justify" vertical="top" wrapText="1"/>
    </xf>
    <xf numFmtId="0" fontId="45" fillId="0" borderId="0" xfId="0" applyFont="1" applyFill="1" applyBorder="1" applyAlignment="1">
      <alignment horizontal="left" vertical="top" wrapText="1"/>
    </xf>
    <xf numFmtId="0" fontId="105" fillId="0" borderId="0" xfId="0" applyFont="1" applyFill="1" applyBorder="1" applyAlignment="1">
      <alignment horizontal="center" vertical="top"/>
    </xf>
    <xf numFmtId="0" fontId="10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left" vertical="top" wrapText="1"/>
    </xf>
    <xf numFmtId="0" fontId="140" fillId="0" borderId="0" xfId="0" applyFont="1" applyFill="1" applyBorder="1" applyAlignment="1">
      <alignment horizontal="left" wrapText="1"/>
    </xf>
    <xf numFmtId="0" fontId="109" fillId="2" borderId="27" xfId="0" applyFont="1" applyFill="1" applyBorder="1" applyAlignment="1">
      <alignment horizontal="left" vertical="center" wrapText="1"/>
    </xf>
    <xf numFmtId="0" fontId="109" fillId="2" borderId="6" xfId="0" applyFont="1" applyFill="1" applyBorder="1" applyAlignment="1">
      <alignment horizontal="left" vertical="center" wrapText="1"/>
    </xf>
    <xf numFmtId="0" fontId="109" fillId="2" borderId="34" xfId="0" applyFont="1" applyFill="1" applyBorder="1" applyAlignment="1">
      <alignment horizontal="left" vertical="center" wrapText="1"/>
    </xf>
    <xf numFmtId="0" fontId="112" fillId="0" borderId="0" xfId="0" applyFont="1" applyFill="1" applyBorder="1" applyAlignment="1">
      <alignment horizontal="left" vertical="center"/>
    </xf>
    <xf numFmtId="0" fontId="109" fillId="2" borderId="33" xfId="0" applyFont="1" applyFill="1" applyBorder="1" applyAlignment="1">
      <alignment horizontal="right" wrapText="1"/>
    </xf>
    <xf numFmtId="0" fontId="109" fillId="2" borderId="32" xfId="0" applyFont="1" applyFill="1" applyBorder="1" applyAlignment="1">
      <alignment horizontal="right" wrapText="1"/>
    </xf>
    <xf numFmtId="0" fontId="107" fillId="2" borderId="25" xfId="0" applyFont="1" applyFill="1" applyBorder="1" applyAlignment="1">
      <alignment horizontal="left" vertical="center"/>
    </xf>
    <xf numFmtId="1" fontId="105" fillId="0" borderId="0" xfId="0" applyNumberFormat="1" applyFont="1" applyFill="1" applyBorder="1" applyAlignment="1">
      <alignment horizontal="center" vertical="top" wrapText="1"/>
    </xf>
    <xf numFmtId="1" fontId="105" fillId="0" borderId="0" xfId="0" applyNumberFormat="1" applyFont="1" applyFill="1" applyBorder="1" applyAlignment="1">
      <alignment horizontal="center" vertical="top"/>
    </xf>
    <xf numFmtId="0" fontId="109" fillId="2" borderId="26" xfId="0" applyFont="1" applyFill="1" applyBorder="1" applyAlignment="1">
      <alignment horizontal="right" wrapText="1"/>
    </xf>
    <xf numFmtId="0" fontId="109" fillId="2" borderId="31" xfId="0" applyFont="1" applyFill="1" applyBorder="1" applyAlignment="1">
      <alignment horizontal="right" wrapText="1"/>
    </xf>
    <xf numFmtId="0" fontId="105" fillId="0" borderId="0" xfId="0" applyFont="1" applyAlignment="1">
      <alignment horizontal="left" vertical="center" readingOrder="1"/>
    </xf>
    <xf numFmtId="1" fontId="112" fillId="0" borderId="0" xfId="2" applyNumberFormat="1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 wrapText="1"/>
    </xf>
    <xf numFmtId="0" fontId="109" fillId="2" borderId="25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/>
    </xf>
    <xf numFmtId="1" fontId="112" fillId="0" borderId="0" xfId="0" applyNumberFormat="1" applyFont="1" applyFill="1" applyBorder="1" applyAlignment="1">
      <alignment horizontal="left" vertical="center"/>
    </xf>
    <xf numFmtId="0" fontId="109" fillId="2" borderId="28" xfId="0" applyFont="1" applyFill="1" applyBorder="1" applyAlignment="1">
      <alignment horizontal="left" vertical="center" wrapText="1"/>
    </xf>
    <xf numFmtId="0" fontId="109" fillId="2" borderId="26" xfId="0" applyFont="1" applyFill="1" applyBorder="1" applyAlignment="1">
      <alignment horizontal="left" vertical="center" wrapText="1"/>
    </xf>
    <xf numFmtId="0" fontId="109" fillId="2" borderId="31" xfId="0" applyFont="1" applyFill="1" applyBorder="1" applyAlignment="1">
      <alignment horizontal="left" vertical="center" wrapText="1"/>
    </xf>
    <xf numFmtId="0" fontId="109" fillId="2" borderId="0" xfId="0" applyFont="1" applyFill="1" applyBorder="1" applyAlignment="1">
      <alignment horizontal="left" vertical="center" wrapText="1"/>
    </xf>
    <xf numFmtId="1" fontId="109" fillId="2" borderId="6" xfId="0" applyNumberFormat="1" applyFont="1" applyFill="1" applyBorder="1" applyAlignment="1">
      <alignment horizontal="left" vertical="center"/>
    </xf>
    <xf numFmtId="0" fontId="105" fillId="0" borderId="0" xfId="2" applyFont="1" applyFill="1" applyAlignment="1">
      <alignment horizontal="left"/>
    </xf>
    <xf numFmtId="0" fontId="45" fillId="0" borderId="0" xfId="2" applyFont="1" applyFill="1" applyBorder="1" applyAlignment="1">
      <alignment horizontal="left"/>
    </xf>
    <xf numFmtId="0" fontId="45" fillId="0" borderId="0" xfId="2" applyFont="1" applyFill="1" applyBorder="1" applyAlignment="1">
      <alignment horizontal="left" vertical="top" wrapText="1"/>
    </xf>
    <xf numFmtId="0" fontId="9" fillId="0" borderId="0" xfId="1539" applyFont="1"/>
    <xf numFmtId="0" fontId="9" fillId="0" borderId="0" xfId="1539"/>
    <xf numFmtId="0" fontId="141" fillId="0" borderId="0" xfId="1539" applyFont="1"/>
    <xf numFmtId="0" fontId="92" fillId="0" borderId="0" xfId="0" applyFont="1" applyFill="1"/>
    <xf numFmtId="0" fontId="92" fillId="0" borderId="0" xfId="1539" applyFont="1"/>
    <xf numFmtId="0" fontId="142" fillId="0" borderId="0" xfId="1539" applyFont="1"/>
  </cellXfs>
  <cellStyles count="1540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3368.4318376071833</c:v>
                </c:pt>
                <c:pt idx="1">
                  <c:v>3030.8876179384415</c:v>
                </c:pt>
                <c:pt idx="2">
                  <c:v>3740.0577454539725</c:v>
                </c:pt>
                <c:pt idx="3">
                  <c:v>3646.2681503652043</c:v>
                </c:pt>
                <c:pt idx="4">
                  <c:v>3600.6119231410016</c:v>
                </c:pt>
                <c:pt idx="5">
                  <c:v>2992.0868665099147</c:v>
                </c:pt>
                <c:pt idx="6">
                  <c:v>1764.5666832355819</c:v>
                </c:pt>
                <c:pt idx="7">
                  <c:v>1260.4085447814048</c:v>
                </c:pt>
                <c:pt idx="8">
                  <c:v>776.19697855963193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-2936.875920396245</c:v>
                </c:pt>
                <c:pt idx="1">
                  <c:v>-2527.7966007449631</c:v>
                </c:pt>
                <c:pt idx="2">
                  <c:v>-3041.2181782033535</c:v>
                </c:pt>
                <c:pt idx="3">
                  <c:v>-2450.724807779794</c:v>
                </c:pt>
                <c:pt idx="4">
                  <c:v>-2386.8278837610524</c:v>
                </c:pt>
                <c:pt idx="5">
                  <c:v>-2183.7793839814467</c:v>
                </c:pt>
                <c:pt idx="6">
                  <c:v>-1059.5208547861516</c:v>
                </c:pt>
                <c:pt idx="7">
                  <c:v>-841.7128717077677</c:v>
                </c:pt>
                <c:pt idx="8">
                  <c:v>-253.64251109221692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18335.702206453949</c:v>
                </c:pt>
                <c:pt idx="1">
                  <c:v>7825.467968808668</c:v>
                </c:pt>
                <c:pt idx="2">
                  <c:v>12778.584212555133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288569.21020753233</c:v>
                </c:pt>
                <c:pt idx="1">
                  <c:v>382267.49122851907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311104.71409840178</c:v>
                </c:pt>
                <c:pt idx="1">
                  <c:v>363440.71679746889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383357.96064253687</c:v>
                </c:pt>
                <c:pt idx="1">
                  <c:v>429164.09860486491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36822587099093235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0.29355020383968389</c:v>
                </c:pt>
                <c:pt idx="1">
                  <c:v>0.32536939467467441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0.31647469310185133</c:v>
                </c:pt>
                <c:pt idx="1">
                  <c:v>0.30934486645591064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0.38997510305846478</c:v>
                </c:pt>
                <c:pt idx="1">
                  <c:v>0.36528573886941496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4599030419658057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18843.73768136169</c:v>
                </c:pt>
                <c:pt idx="1">
                  <c:v>21451.486135251151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18444.496195747073</c:v>
                </c:pt>
                <c:pt idx="1">
                  <c:v>21871.742012823921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29906.473419748214</c:v>
                </c:pt>
                <c:pt idx="1">
                  <c:v>28361.221471816913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3503722759478039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0.28043485029427462</c:v>
                </c:pt>
                <c:pt idx="1">
                  <c:v>0.2992488084793567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0.27449328879820584</c:v>
                </c:pt>
                <c:pt idx="1">
                  <c:v>0.30511138927339482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0.44507186090751943</c:v>
                </c:pt>
                <c:pt idx="1">
                  <c:v>0.39563980224724854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5196304938297599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0.30314528175528538</c:v>
                </c:pt>
                <c:pt idx="1">
                  <c:v>0.30869050052699387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0.3057453648658166</c:v>
                </c:pt>
                <c:pt idx="1">
                  <c:v>0.32896304847065588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0.39110935337889807</c:v>
                </c:pt>
                <c:pt idx="1">
                  <c:v>0.36234645100235024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5196304938297599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235294.93843617072</c:v>
                </c:pt>
                <c:pt idx="1">
                  <c:v>302371.2370932679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237313.06780265464</c:v>
                </c:pt>
                <c:pt idx="1">
                  <c:v>322228.78175464511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303570.78524278855</c:v>
                </c:pt>
                <c:pt idx="1">
                  <c:v>354928.78614304791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10145.726989999999</c:v>
                </c:pt>
                <c:pt idx="1">
                  <c:v>11261.470000000001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10659.31</c:v>
                </c:pt>
                <c:pt idx="1">
                  <c:v>12813.60599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15230.959989999999</c:v>
                </c:pt>
                <c:pt idx="1">
                  <c:v>15362.80199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3503722759478039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0.2815442291115432</c:v>
                </c:pt>
                <c:pt idx="1">
                  <c:v>0.28554959284855524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0.29579617308537132</c:v>
                </c:pt>
                <c:pt idx="1">
                  <c:v>0.32490607117599285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0.42265959780308532</c:v>
                </c:pt>
                <c:pt idx="1">
                  <c:v>0.38954433597545202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5196304938297599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24284.807100000002</c:v>
                </c:pt>
                <c:pt idx="1">
                  <c:v>47183.298000000003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44687.840099999987</c:v>
                </c:pt>
                <c:pt idx="1">
                  <c:v>6526.5870400000003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34649.741989999995</c:v>
                </c:pt>
                <c:pt idx="1">
                  <c:v>30511.289000000001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3503722759478039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678.60557000000006</c:v>
                </c:pt>
                <c:pt idx="1">
                  <c:v>384.90369700000002</c:v>
                </c:pt>
                <c:pt idx="2">
                  <c:v>267.33676600000001</c:v>
                </c:pt>
                <c:pt idx="3">
                  <c:v>58.112975999999996</c:v>
                </c:pt>
                <c:pt idx="4">
                  <c:v>0</c:v>
                </c:pt>
                <c:pt idx="5">
                  <c:v>1.0541230000000001</c:v>
                </c:pt>
                <c:pt idx="6">
                  <c:v>0.967611</c:v>
                </c:pt>
                <c:pt idx="7">
                  <c:v>1.9614500000000001</c:v>
                </c:pt>
                <c:pt idx="8">
                  <c:v>3.5981879999999999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-2.2123170000000001</c:v>
                </c:pt>
                <c:pt idx="1">
                  <c:v>-13.730227999999999</c:v>
                </c:pt>
                <c:pt idx="2">
                  <c:v>-82.844617999999983</c:v>
                </c:pt>
                <c:pt idx="3">
                  <c:v>-583.95101499999998</c:v>
                </c:pt>
                <c:pt idx="4">
                  <c:v>-843.36109899999997</c:v>
                </c:pt>
                <c:pt idx="5">
                  <c:v>-488.84463900000003</c:v>
                </c:pt>
                <c:pt idx="6">
                  <c:v>-419.18194199999999</c:v>
                </c:pt>
                <c:pt idx="7">
                  <c:v>-132.453382</c:v>
                </c:pt>
                <c:pt idx="8">
                  <c:v>-156.05039400000001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Červenec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0.23435868724732695</c:v>
                </c:pt>
                <c:pt idx="1">
                  <c:v>0.56023082719781092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Srpen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0.43125660824188516</c:v>
                </c:pt>
                <c:pt idx="1">
                  <c:v>7.749342269795792E-2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Září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2022</c:v>
                </c:pt>
                <c:pt idx="1">
                  <c:v>2021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0.33438470451078772</c:v>
                </c:pt>
                <c:pt idx="1">
                  <c:v>0.36227575010423119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5196304938297599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18843.73768136169</c:v>
                </c:pt>
                <c:pt idx="1">
                  <c:v>235294.93843617072</c:v>
                </c:pt>
                <c:pt idx="2">
                  <c:v>10145.726989999999</c:v>
                </c:pt>
                <c:pt idx="3">
                  <c:v>24284.807100000002</c:v>
                </c:pt>
                <c:pt idx="4">
                  <c:v>288569.21020753239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20.467741935483868</c:v>
                </c:pt>
                <c:pt idx="1">
                  <c:v>18.857526881720432</c:v>
                </c:pt>
                <c:pt idx="2">
                  <c:v>18.416129032258066</c:v>
                </c:pt>
                <c:pt idx="3">
                  <c:v>18.874193548387094</c:v>
                </c:pt>
                <c:pt idx="4">
                  <c:v>18.874193548387094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27.2</c:v>
                </c:pt>
                <c:pt idx="1">
                  <c:v>25.016666666666669</c:v>
                </c:pt>
                <c:pt idx="2">
                  <c:v>24</c:v>
                </c:pt>
                <c:pt idx="3">
                  <c:v>24.9</c:v>
                </c:pt>
                <c:pt idx="4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15.2</c:v>
                </c:pt>
                <c:pt idx="1">
                  <c:v>13.333333333333334</c:v>
                </c:pt>
                <c:pt idx="2">
                  <c:v>12.8</c:v>
                </c:pt>
                <c:pt idx="3">
                  <c:v>13.3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6.5300583065704423E-2</c:v>
                </c:pt>
                <c:pt idx="1">
                  <c:v>0.81538476771985469</c:v>
                </c:pt>
                <c:pt idx="2">
                  <c:v>3.5158730145546102E-2</c:v>
                </c:pt>
                <c:pt idx="3">
                  <c:v>8.4155919068894844E-2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18444.496195747073</c:v>
                </c:pt>
                <c:pt idx="1">
                  <c:v>237313.06780265464</c:v>
                </c:pt>
                <c:pt idx="2">
                  <c:v>10659.31</c:v>
                </c:pt>
                <c:pt idx="3">
                  <c:v>44687.840099999987</c:v>
                </c:pt>
                <c:pt idx="4">
                  <c:v>311104.71409840172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20.93870967741935</c:v>
                </c:pt>
                <c:pt idx="1">
                  <c:v>19.419892473118281</c:v>
                </c:pt>
                <c:pt idx="2">
                  <c:v>18.464516129032262</c:v>
                </c:pt>
                <c:pt idx="3">
                  <c:v>19.361290322580643</c:v>
                </c:pt>
                <c:pt idx="4">
                  <c:v>19.361290322580643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27.3</c:v>
                </c:pt>
                <c:pt idx="1">
                  <c:v>25.283333333333331</c:v>
                </c:pt>
                <c:pt idx="2">
                  <c:v>23.8</c:v>
                </c:pt>
                <c:pt idx="3">
                  <c:v>25.2</c:v>
                </c:pt>
                <c:pt idx="4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15.7</c:v>
                </c:pt>
                <c:pt idx="1">
                  <c:v>15.15</c:v>
                </c:pt>
                <c:pt idx="2">
                  <c:v>13.6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5.9287099680248243E-2</c:v>
                </c:pt>
                <c:pt idx="1">
                  <c:v>0.76280768837078128</c:v>
                </c:pt>
                <c:pt idx="2">
                  <c:v>3.426277236232584E-2</c:v>
                </c:pt>
                <c:pt idx="3">
                  <c:v>0.14364243958664452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29906.473419748214</c:v>
                </c:pt>
                <c:pt idx="1">
                  <c:v>303570.78524278855</c:v>
                </c:pt>
                <c:pt idx="2">
                  <c:v>15230.959989999999</c:v>
                </c:pt>
                <c:pt idx="3">
                  <c:v>34649.741989999995</c:v>
                </c:pt>
                <c:pt idx="4">
                  <c:v>383357.96064253675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1134.2625732048143</c:v>
                </c:pt>
                <c:pt idx="1">
                  <c:v>890.50037327489224</c:v>
                </c:pt>
                <c:pt idx="2">
                  <c:v>922.61982519439664</c:v>
                </c:pt>
                <c:pt idx="3">
                  <c:v>671.36203982845257</c:v>
                </c:pt>
                <c:pt idx="4">
                  <c:v>388.89642773175905</c:v>
                </c:pt>
                <c:pt idx="5">
                  <c:v>336.35371810523372</c:v>
                </c:pt>
                <c:pt idx="6">
                  <c:v>288.56926119243906</c:v>
                </c:pt>
                <c:pt idx="7">
                  <c:v>311.10451066410326</c:v>
                </c:pt>
                <c:pt idx="8">
                  <c:v>383.35752637665405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1205.7431048765241</c:v>
                </c:pt>
                <c:pt idx="1">
                  <c:v>992.34776233082323</c:v>
                </c:pt>
                <c:pt idx="2">
                  <c:v>915.4910560358029</c:v>
                </c:pt>
                <c:pt idx="3">
                  <c:v>605.2961340668877</c:v>
                </c:pt>
                <c:pt idx="4">
                  <c:v>408.72629326716236</c:v>
                </c:pt>
                <c:pt idx="5">
                  <c:v>343.04053123321125</c:v>
                </c:pt>
                <c:pt idx="6">
                  <c:v>290.00651385366569</c:v>
                </c:pt>
                <c:pt idx="7">
                  <c:v>316.66361055716817</c:v>
                </c:pt>
                <c:pt idx="8">
                  <c:v>364.5525872537109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13.73666666666667</c:v>
                </c:pt>
                <c:pt idx="1">
                  <c:v>12.180555555555555</c:v>
                </c:pt>
                <c:pt idx="2">
                  <c:v>11.75</c:v>
                </c:pt>
                <c:pt idx="3">
                  <c:v>12.16</c:v>
                </c:pt>
                <c:pt idx="4">
                  <c:v>12.16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19.8</c:v>
                </c:pt>
                <c:pt idx="1">
                  <c:v>18.266666666666666</c:v>
                </c:pt>
                <c:pt idx="2">
                  <c:v>17.399999999999999</c:v>
                </c:pt>
                <c:pt idx="3">
                  <c:v>18.100000000000001</c:v>
                </c:pt>
                <c:pt idx="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8.4</c:v>
                </c:pt>
                <c:pt idx="1">
                  <c:v>7.6999999999999993</c:v>
                </c:pt>
                <c:pt idx="2">
                  <c:v>6.8</c:v>
                </c:pt>
                <c:pt idx="3">
                  <c:v>7.7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7.8011875296974967E-2</c:v>
                </c:pt>
                <c:pt idx="1">
                  <c:v>0.79187291359224965</c:v>
                </c:pt>
                <c:pt idx="2">
                  <c:v>3.9730386619523342E-2</c:v>
                </c:pt>
                <c:pt idx="3">
                  <c:v>9.0384824491252055E-2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67194.707296856985</c:v>
                </c:pt>
                <c:pt idx="1">
                  <c:v>776178.79148161388</c:v>
                </c:pt>
                <c:pt idx="2">
                  <c:v>36035.996980000004</c:v>
                </c:pt>
                <c:pt idx="3">
                  <c:v>103622.38919</c:v>
                </c:pt>
                <c:pt idx="4">
                  <c:v>983031.88494847098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18.381039426523298</c:v>
                </c:pt>
                <c:pt idx="1">
                  <c:v>16.819324970131422</c:v>
                </c:pt>
                <c:pt idx="2">
                  <c:v>16.210215053763445</c:v>
                </c:pt>
                <c:pt idx="3">
                  <c:v>16.798494623655913</c:v>
                </c:pt>
                <c:pt idx="4">
                  <c:v>16.798494623655913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27.3</c:v>
                </c:pt>
                <c:pt idx="1">
                  <c:v>25.283333333333331</c:v>
                </c:pt>
                <c:pt idx="2">
                  <c:v>24</c:v>
                </c:pt>
                <c:pt idx="3">
                  <c:v>25.2</c:v>
                </c:pt>
                <c:pt idx="4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8.4</c:v>
                </c:pt>
                <c:pt idx="1">
                  <c:v>7.6999999999999993</c:v>
                </c:pt>
                <c:pt idx="2">
                  <c:v>6.8</c:v>
                </c:pt>
                <c:pt idx="3">
                  <c:v>7.7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6.8354555254715094E-2</c:v>
                </c:pt>
                <c:pt idx="1">
                  <c:v>0.78957641493215658</c:v>
                </c:pt>
                <c:pt idx="2">
                  <c:v>3.6658014385656426E-2</c:v>
                </c:pt>
                <c:pt idx="3">
                  <c:v>0.10541101542747185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333505.95894312812</c:v>
                </c:pt>
                <c:pt idx="1">
                  <c:v>2379425.2386532133</c:v>
                </c:pt>
                <c:pt idx="2">
                  <c:v>118544.4</c:v>
                </c:pt>
                <c:pt idx="3">
                  <c:v>115907.12813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121522.14989162906</c:v>
                </c:pt>
                <c:pt idx="1">
                  <c:v>1136157.3628188428</c:v>
                </c:pt>
                <c:pt idx="2">
                  <c:v>54774.993010000006</c:v>
                </c:pt>
                <c:pt idx="3">
                  <c:v>84158.310919999989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67194.707296856985</c:v>
                </c:pt>
                <c:pt idx="1">
                  <c:v>776178.79148161388</c:v>
                </c:pt>
                <c:pt idx="2">
                  <c:v>36035.996979999996</c:v>
                </c:pt>
                <c:pt idx="3">
                  <c:v>103622.38919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96912.711830000015</c:v>
                </c:pt>
                <c:pt idx="1">
                  <c:v>288249.81235000002</c:v>
                </c:pt>
                <c:pt idx="2">
                  <c:v>87855.708340000012</c:v>
                </c:pt>
                <c:pt idx="3">
                  <c:v>109023.80092999998</c:v>
                </c:pt>
                <c:pt idx="4">
                  <c:v>100225.70615999997</c:v>
                </c:pt>
                <c:pt idx="5">
                  <c:v>374608.08879999991</c:v>
                </c:pt>
                <c:pt idx="6">
                  <c:v>180449.61959000002</c:v>
                </c:pt>
                <c:pt idx="7">
                  <c:v>135962.79754000003</c:v>
                </c:pt>
                <c:pt idx="8">
                  <c:v>141405.68912999996</c:v>
                </c:pt>
                <c:pt idx="9">
                  <c:v>196653.47913599553</c:v>
                </c:pt>
                <c:pt idx="10">
                  <c:v>511663.23923099996</c:v>
                </c:pt>
                <c:pt idx="11">
                  <c:v>672511.83306000021</c:v>
                </c:pt>
                <c:pt idx="12">
                  <c:v>100229.76822000003</c:v>
                </c:pt>
                <c:pt idx="13">
                  <c:v>135633.35811999999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18.238709677419354</c:v>
                </c:pt>
                <c:pt idx="1">
                  <c:v>20.764516129032259</c:v>
                </c:pt>
                <c:pt idx="2">
                  <c:v>17.754838709677422</c:v>
                </c:pt>
                <c:pt idx="3">
                  <c:v>18.180645161290325</c:v>
                </c:pt>
                <c:pt idx="4">
                  <c:v>17.951612903225808</c:v>
                </c:pt>
                <c:pt idx="5">
                  <c:v>19.003225806451614</c:v>
                </c:pt>
                <c:pt idx="6">
                  <c:v>18.64516129032258</c:v>
                </c:pt>
                <c:pt idx="7">
                  <c:v>18.435483870967733</c:v>
                </c:pt>
                <c:pt idx="8">
                  <c:v>19.29354838709677</c:v>
                </c:pt>
                <c:pt idx="9">
                  <c:v>20.845161290322579</c:v>
                </c:pt>
                <c:pt idx="10">
                  <c:v>19.216129032258067</c:v>
                </c:pt>
                <c:pt idx="11">
                  <c:v>19.180645161290322</c:v>
                </c:pt>
                <c:pt idx="12">
                  <c:v>18.412903225806449</c:v>
                </c:pt>
                <c:pt idx="13">
                  <c:v>18.7741935483871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0.78709677419354818</c:v>
                </c:pt>
                <c:pt idx="1">
                  <c:v>3.0892857142857144</c:v>
                </c:pt>
                <c:pt idx="2">
                  <c:v>3.3161290322580643</c:v>
                </c:pt>
                <c:pt idx="3">
                  <c:v>6.6166666666666663</c:v>
                </c:pt>
                <c:pt idx="4">
                  <c:v>14.500000000000002</c:v>
                </c:pt>
                <c:pt idx="5">
                  <c:v>18.956666666666667</c:v>
                </c:pt>
                <c:pt idx="6">
                  <c:v>18.874193548387094</c:v>
                </c:pt>
                <c:pt idx="7">
                  <c:v>19.361290322580643</c:v>
                </c:pt>
                <c:pt idx="8">
                  <c:v>12.16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18.235483870967741</c:v>
                </c:pt>
                <c:pt idx="1">
                  <c:v>20.948387096774194</c:v>
                </c:pt>
                <c:pt idx="2">
                  <c:v>18.045161290322582</c:v>
                </c:pt>
                <c:pt idx="3">
                  <c:v>19.280645161290323</c:v>
                </c:pt>
                <c:pt idx="4">
                  <c:v>18.861290322580647</c:v>
                </c:pt>
                <c:pt idx="5">
                  <c:v>19.580645161290324</c:v>
                </c:pt>
                <c:pt idx="6">
                  <c:v>19.270967741935483</c:v>
                </c:pt>
                <c:pt idx="7">
                  <c:v>19.348387096774193</c:v>
                </c:pt>
                <c:pt idx="8">
                  <c:v>19.28387096774193</c:v>
                </c:pt>
                <c:pt idx="9">
                  <c:v>21.299999999999997</c:v>
                </c:pt>
                <c:pt idx="10">
                  <c:v>19.719354838709677</c:v>
                </c:pt>
                <c:pt idx="11">
                  <c:v>19.909677419354836</c:v>
                </c:pt>
                <c:pt idx="12">
                  <c:v>19.041935483870969</c:v>
                </c:pt>
                <c:pt idx="13">
                  <c:v>19.303225806451611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99108.259180000008</c:v>
                </c:pt>
                <c:pt idx="1">
                  <c:v>286872.40368000016</c:v>
                </c:pt>
                <c:pt idx="2">
                  <c:v>92030.568500000023</c:v>
                </c:pt>
                <c:pt idx="3">
                  <c:v>111700.32926999999</c:v>
                </c:pt>
                <c:pt idx="4">
                  <c:v>104214.76005999999</c:v>
                </c:pt>
                <c:pt idx="5">
                  <c:v>341335.37238000002</c:v>
                </c:pt>
                <c:pt idx="6">
                  <c:v>180182.12134999994</c:v>
                </c:pt>
                <c:pt idx="7">
                  <c:v>132436.13976000002</c:v>
                </c:pt>
                <c:pt idx="8">
                  <c:v>148852.43937000004</c:v>
                </c:pt>
                <c:pt idx="9">
                  <c:v>191261.56128698474</c:v>
                </c:pt>
                <c:pt idx="10">
                  <c:v>515195.59240100003</c:v>
                </c:pt>
                <c:pt idx="11">
                  <c:v>914496.25654000009</c:v>
                </c:pt>
                <c:pt idx="12">
                  <c:v>109791.55431000001</c:v>
                </c:pt>
                <c:pt idx="13">
                  <c:v>142265.63542999997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18.235483870967741</c:v>
                </c:pt>
                <c:pt idx="1">
                  <c:v>20.948387096774194</c:v>
                </c:pt>
                <c:pt idx="2">
                  <c:v>18.045161290322582</c:v>
                </c:pt>
                <c:pt idx="3">
                  <c:v>19.280645161290323</c:v>
                </c:pt>
                <c:pt idx="4">
                  <c:v>18.861290322580647</c:v>
                </c:pt>
                <c:pt idx="5">
                  <c:v>19.580645161290324</c:v>
                </c:pt>
                <c:pt idx="6">
                  <c:v>19.270967741935483</c:v>
                </c:pt>
                <c:pt idx="7">
                  <c:v>19.348387096774193</c:v>
                </c:pt>
                <c:pt idx="8">
                  <c:v>19.28387096774193</c:v>
                </c:pt>
                <c:pt idx="9">
                  <c:v>21.299999999999997</c:v>
                </c:pt>
                <c:pt idx="10">
                  <c:v>19.719354838709677</c:v>
                </c:pt>
                <c:pt idx="11">
                  <c:v>19.909677419354836</c:v>
                </c:pt>
                <c:pt idx="12">
                  <c:v>19.041935483870969</c:v>
                </c:pt>
                <c:pt idx="13">
                  <c:v>19.303225806451611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144652.26730000001</c:v>
                </c:pt>
                <c:pt idx="1">
                  <c:v>445905.81092999992</c:v>
                </c:pt>
                <c:pt idx="2">
                  <c:v>107212.16309000002</c:v>
                </c:pt>
                <c:pt idx="3">
                  <c:v>160267.60735999997</c:v>
                </c:pt>
                <c:pt idx="4">
                  <c:v>153177.17139000006</c:v>
                </c:pt>
                <c:pt idx="5">
                  <c:v>461861.59490999987</c:v>
                </c:pt>
                <c:pt idx="6">
                  <c:v>235496.46528000006</c:v>
                </c:pt>
                <c:pt idx="7">
                  <c:v>181099.65499999994</c:v>
                </c:pt>
                <c:pt idx="8">
                  <c:v>195611.68455000003</c:v>
                </c:pt>
                <c:pt idx="9">
                  <c:v>317853.25164596835</c:v>
                </c:pt>
                <c:pt idx="10">
                  <c:v>592471.0920660001</c:v>
                </c:pt>
                <c:pt idx="11">
                  <c:v>841922.70630000008</c:v>
                </c:pt>
                <c:pt idx="12">
                  <c:v>146001.16093000001</c:v>
                </c:pt>
                <c:pt idx="13">
                  <c:v>181745.93747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18.236559139784944</c:v>
                </c:pt>
                <c:pt idx="1">
                  <c:v>20.887096774193552</c:v>
                </c:pt>
                <c:pt idx="2">
                  <c:v>17.948387096774194</c:v>
                </c:pt>
                <c:pt idx="3">
                  <c:v>18.91397849462366</c:v>
                </c:pt>
                <c:pt idx="4">
                  <c:v>18.558064516129033</c:v>
                </c:pt>
                <c:pt idx="5">
                  <c:v>19.388172043010755</c:v>
                </c:pt>
                <c:pt idx="6">
                  <c:v>19.06236559139785</c:v>
                </c:pt>
                <c:pt idx="7">
                  <c:v>19.044086021505375</c:v>
                </c:pt>
                <c:pt idx="8">
                  <c:v>19.287096774193543</c:v>
                </c:pt>
                <c:pt idx="9">
                  <c:v>21.14838709677419</c:v>
                </c:pt>
                <c:pt idx="10">
                  <c:v>19.551612903225806</c:v>
                </c:pt>
                <c:pt idx="11">
                  <c:v>19.666666666666664</c:v>
                </c:pt>
                <c:pt idx="12">
                  <c:v>18.832258064516129</c:v>
                </c:pt>
                <c:pt idx="13">
                  <c:v>19.126881720430106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340673.23830999999</c:v>
                </c:pt>
                <c:pt idx="1">
                  <c:v>1021028.02696</c:v>
                </c:pt>
                <c:pt idx="2">
                  <c:v>287098.43993000005</c:v>
                </c:pt>
                <c:pt idx="3">
                  <c:v>380991.73755999992</c:v>
                </c:pt>
                <c:pt idx="4">
                  <c:v>357617.63761000003</c:v>
                </c:pt>
                <c:pt idx="5">
                  <c:v>1177805.0560899996</c:v>
                </c:pt>
                <c:pt idx="6">
                  <c:v>596128.20622000005</c:v>
                </c:pt>
                <c:pt idx="7">
                  <c:v>449498.5922999999</c:v>
                </c:pt>
                <c:pt idx="8">
                  <c:v>485869.81305</c:v>
                </c:pt>
                <c:pt idx="9">
                  <c:v>705768.29206894874</c:v>
                </c:pt>
                <c:pt idx="10">
                  <c:v>1619329.9236980001</c:v>
                </c:pt>
                <c:pt idx="11">
                  <c:v>2428930.7959000012</c:v>
                </c:pt>
                <c:pt idx="12">
                  <c:v>356022.48346000008</c:v>
                </c:pt>
                <c:pt idx="13">
                  <c:v>459644.93101999996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1591</c:v>
                </c:pt>
                <c:pt idx="1">
                  <c:v>6324</c:v>
                </c:pt>
                <c:pt idx="2">
                  <c:v>205977</c:v>
                </c:pt>
                <c:pt idx="3">
                  <c:v>2588055</c:v>
                </c:pt>
                <c:pt idx="4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1130.5589073510132</c:v>
                </c:pt>
                <c:pt idx="1">
                  <c:v>792.97827088592771</c:v>
                </c:pt>
                <c:pt idx="2">
                  <c:v>688.93857996371594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291.47941689673081</c:v>
                </c:pt>
                <c:pt idx="1">
                  <c:v>121.48613377044437</c:v>
                </c:pt>
                <c:pt idx="2">
                  <c:v>78.714795254479498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491.93637013248167</c:v>
                </c:pt>
                <c:pt idx="1">
                  <c:v>158.560558070436</c:v>
                </c:pt>
                <c:pt idx="2">
                  <c:v>73.210806060104034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943.94375273459264</c:v>
                </c:pt>
                <c:pt idx="1">
                  <c:v>286.95559416623479</c:v>
                </c:pt>
                <c:pt idx="2">
                  <c:v>117.05393096906919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24.554257610078288</c:v>
                </c:pt>
                <c:pt idx="1">
                  <c:v>23.538894514925193</c:v>
                </c:pt>
                <c:pt idx="2">
                  <c:v>20.987495626636026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12105.793593597</c:v>
                </c:pt>
                <c:pt idx="1">
                  <c:v>8556.3409606169989</c:v>
                </c:pt>
                <c:pt idx="2">
                  <c:v>7504.6652050879993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3120.9507358399997</c:v>
                </c:pt>
                <c:pt idx="1">
                  <c:v>1310.7046951699999</c:v>
                </c:pt>
                <c:pt idx="2">
                  <c:v>857.9532439699999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5266.4144165960943</c:v>
                </c:pt>
                <c:pt idx="1">
                  <c:v>1710.0677040087473</c:v>
                </c:pt>
                <c:pt idx="2">
                  <c:v>798.50359258091521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10103.876503418738</c:v>
                </c:pt>
                <c:pt idx="1">
                  <c:v>3094.2336039831539</c:v>
                </c:pt>
                <c:pt idx="2">
                  <c:v>1276.7961103580337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262.84610711799996</c:v>
                </c:pt>
                <c:pt idx="1">
                  <c:v>253.97646442999999</c:v>
                </c:pt>
                <c:pt idx="2">
                  <c:v>228.48902218000001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12731.686606960797</c:v>
                </c:pt>
                <c:pt idx="1">
                  <c:v>7090.3694354779027</c:v>
                </c:pt>
                <c:pt idx="2">
                  <c:v>9308.6858449173887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12990.72977675386</c:v>
                </c:pt>
                <c:pt idx="1">
                  <c:v>7256.0137495526542</c:v>
                </c:pt>
                <c:pt idx="2">
                  <c:v>10035.629376261391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11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11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11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11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1AA8B5-5249-445C-8B4E-732F90127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135708</xdr:rowOff>
    </xdr:from>
    <xdr:to>
      <xdr:col>2</xdr:col>
      <xdr:colOff>985</xdr:colOff>
      <xdr:row>1</xdr:row>
      <xdr:rowOff>4871807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5A5B4A11-A448-40A2-8020-A1DA7E185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5212533"/>
          <a:ext cx="6135085" cy="4736099"/>
        </a:xfrm>
        <a:prstGeom prst="rect">
          <a:avLst/>
        </a:prstGeom>
      </xdr:spPr>
    </xdr:pic>
    <xdr:clientData/>
  </xdr:twoCellAnchor>
  <xdr:twoCellAnchor editAs="oneCell">
    <xdr:from>
      <xdr:col>1</xdr:col>
      <xdr:colOff>1585813</xdr:colOff>
      <xdr:row>1</xdr:row>
      <xdr:rowOff>3947730</xdr:rowOff>
    </xdr:from>
    <xdr:to>
      <xdr:col>2</xdr:col>
      <xdr:colOff>63003</xdr:colOff>
      <xdr:row>2</xdr:row>
      <xdr:rowOff>157748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58758D7-D9AE-4D28-8E13-F184DBD0F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7588" y="9024555"/>
          <a:ext cx="1839515" cy="12868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66675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18D57470-C8CE-41B0-9D13-6A6BBB738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629D853-21F0-440B-8467-D525E11B1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</xdr:row>
      <xdr:rowOff>219074</xdr:rowOff>
    </xdr:from>
    <xdr:to>
      <xdr:col>0</xdr:col>
      <xdr:colOff>907958</xdr:colOff>
      <xdr:row>5</xdr:row>
      <xdr:rowOff>45719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5E71C72E-6C87-4172-9D38-6702F73C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0</xdr:colOff>
      <xdr:row>2</xdr:row>
      <xdr:rowOff>219074</xdr:rowOff>
    </xdr:from>
    <xdr:ext cx="907958" cy="664845"/>
    <xdr:pic>
      <xdr:nvPicPr>
        <xdr:cNvPr id="9" name="Obrázek 8">
          <a:extLst>
            <a:ext uri="{FF2B5EF4-FFF2-40B4-BE49-F238E27FC236}">
              <a16:creationId xmlns:a16="http://schemas.microsoft.com/office/drawing/2014/main" id="{128EAC60-D702-4C8D-9840-8CEF24BE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874"/>
          <a:ext cx="907958" cy="6648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19050</xdr:rowOff>
    </xdr:from>
    <xdr:to>
      <xdr:col>20</xdr:col>
      <xdr:colOff>28575</xdr:colOff>
      <xdr:row>38</xdr:row>
      <xdr:rowOff>128386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1E71F8-84D4-46A9-8E1E-57EEF4063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47725"/>
          <a:ext cx="6324600" cy="6176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597417</xdr:colOff>
      <xdr:row>56</xdr:row>
      <xdr:rowOff>48902</xdr:rowOff>
    </xdr:from>
    <xdr:to>
      <xdr:col>8</xdr:col>
      <xdr:colOff>6709</xdr:colOff>
      <xdr:row>57</xdr:row>
      <xdr:rowOff>155878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54B76F9-5478-4C3D-BFD4-D4C3FD9419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5417" y="9183377"/>
          <a:ext cx="1238092" cy="268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23812</xdr:rowOff>
    </xdr:from>
    <xdr:to>
      <xdr:col>5</xdr:col>
      <xdr:colOff>423393</xdr:colOff>
      <xdr:row>57</xdr:row>
      <xdr:rowOff>155878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D0FE0CE-B882-40A6-AACC-02B880A69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10587"/>
          <a:ext cx="3471393" cy="941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45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45</xdr:row>
      <xdr:rowOff>95250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114301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41</xdr:row>
      <xdr:rowOff>123825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41</xdr:row>
      <xdr:rowOff>114300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50</xdr:row>
      <xdr:rowOff>228599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50</xdr:row>
      <xdr:rowOff>219075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38100</xdr:rowOff>
    </xdr:from>
    <xdr:to>
      <xdr:col>9</xdr:col>
      <xdr:colOff>485775</xdr:colOff>
      <xdr:row>50</xdr:row>
      <xdr:rowOff>209550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53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53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53</xdr:row>
      <xdr:rowOff>171451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53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4EE4A-A0B5-4F83-9926-315C635D1C0E}">
  <sheetPr codeName="List1"/>
  <dimension ref="A1:K50"/>
  <sheetViews>
    <sheetView showGridLines="0" tabSelected="1" showWhiteSpace="0" zoomScaleNormal="100" zoomScaleSheetLayoutView="70" zoomScalePageLayoutView="70" workbookViewId="0">
      <selection sqref="A1:B1"/>
    </sheetView>
  </sheetViews>
  <sheetFormatPr defaultColWidth="9.140625" defaultRowHeight="12.75"/>
  <cols>
    <col min="1" max="1" width="41.5703125" style="135" customWidth="1"/>
    <col min="2" max="2" width="50.42578125" style="135" customWidth="1"/>
    <col min="3" max="9" width="9.85546875" style="135" customWidth="1"/>
    <col min="10" max="10" width="10.28515625" style="135" customWidth="1"/>
    <col min="11" max="16384" width="9.140625" style="135"/>
  </cols>
  <sheetData>
    <row r="1" spans="1:11" ht="399.75" customHeight="1">
      <c r="A1" s="404" t="s">
        <v>315</v>
      </c>
      <c r="B1" s="405"/>
    </row>
    <row r="2" spans="1:11" ht="400.15" customHeight="1">
      <c r="A2" s="136"/>
      <c r="B2" s="137"/>
      <c r="C2" s="138"/>
      <c r="D2" s="138"/>
      <c r="E2" s="138"/>
      <c r="F2" s="138"/>
      <c r="G2" s="138"/>
      <c r="H2" s="138"/>
      <c r="I2" s="138"/>
      <c r="J2" s="138"/>
      <c r="K2" s="135" t="s">
        <v>262</v>
      </c>
    </row>
    <row r="3" spans="1:11">
      <c r="B3" s="139"/>
      <c r="D3" s="140"/>
      <c r="E3" s="141"/>
      <c r="F3" s="141"/>
      <c r="G3" s="141"/>
      <c r="J3" s="142"/>
    </row>
    <row r="9" spans="1:11">
      <c r="B9" s="143"/>
      <c r="I9" s="144"/>
    </row>
    <row r="10" spans="1:11">
      <c r="B10" s="145"/>
      <c r="C10" s="146"/>
    </row>
    <row r="11" spans="1:11">
      <c r="B11" s="145"/>
      <c r="C11" s="146"/>
    </row>
    <row r="12" spans="1:11">
      <c r="B12" s="145"/>
      <c r="C12" s="146"/>
    </row>
    <row r="13" spans="1:11">
      <c r="A13" s="147"/>
      <c r="B13" s="148"/>
      <c r="C13" s="149"/>
      <c r="D13" s="147"/>
      <c r="E13" s="147"/>
      <c r="F13" s="147"/>
      <c r="G13" s="147"/>
      <c r="H13" s="147"/>
      <c r="I13" s="147"/>
      <c r="J13" s="147"/>
    </row>
    <row r="14" spans="1:11">
      <c r="A14" s="147"/>
      <c r="B14" s="148"/>
      <c r="C14" s="149"/>
      <c r="D14" s="147"/>
      <c r="E14" s="147"/>
      <c r="F14" s="147"/>
      <c r="G14" s="147"/>
      <c r="H14" s="147"/>
      <c r="I14" s="147"/>
      <c r="J14" s="147"/>
    </row>
    <row r="15" spans="1:11">
      <c r="A15" s="147"/>
      <c r="B15" s="148"/>
      <c r="C15" s="149"/>
      <c r="D15" s="147"/>
      <c r="E15" s="147"/>
      <c r="F15" s="147"/>
      <c r="G15" s="147"/>
      <c r="H15" s="147"/>
      <c r="I15" s="147"/>
      <c r="J15" s="147"/>
    </row>
    <row r="16" spans="1:11">
      <c r="A16" s="147"/>
      <c r="B16" s="148"/>
      <c r="C16" s="149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8"/>
      <c r="C17" s="149"/>
      <c r="D17" s="147"/>
      <c r="E17" s="147"/>
      <c r="F17" s="147"/>
      <c r="G17" s="147"/>
      <c r="H17" s="147"/>
      <c r="I17" s="147"/>
      <c r="J17" s="147"/>
    </row>
    <row r="18" spans="1:10">
      <c r="A18" s="147"/>
      <c r="B18" s="148"/>
      <c r="C18" s="149"/>
      <c r="D18" s="147"/>
      <c r="E18" s="147"/>
      <c r="F18" s="147"/>
      <c r="G18" s="147"/>
      <c r="H18" s="147"/>
      <c r="I18" s="147"/>
      <c r="J18" s="147"/>
    </row>
    <row r="19" spans="1:10">
      <c r="A19" s="147"/>
      <c r="B19" s="148"/>
      <c r="C19" s="149"/>
      <c r="D19" s="147"/>
      <c r="E19" s="147"/>
      <c r="F19" s="147"/>
      <c r="G19" s="147"/>
      <c r="H19" s="147"/>
      <c r="I19" s="147"/>
      <c r="J19" s="147"/>
    </row>
    <row r="21" spans="1:10">
      <c r="A21" s="147"/>
      <c r="B21" s="148"/>
      <c r="C21" s="149"/>
      <c r="D21" s="147"/>
      <c r="E21" s="147"/>
      <c r="F21" s="147"/>
      <c r="G21" s="147"/>
      <c r="H21" s="147"/>
      <c r="I21" s="147"/>
      <c r="J21" s="147"/>
    </row>
    <row r="22" spans="1:10">
      <c r="A22" s="147"/>
      <c r="B22" s="148"/>
      <c r="C22" s="149"/>
      <c r="D22" s="147"/>
      <c r="E22" s="147"/>
      <c r="F22" s="147"/>
      <c r="G22" s="147"/>
      <c r="H22" s="147"/>
      <c r="I22" s="147"/>
      <c r="J22" s="147"/>
    </row>
    <row r="23" spans="1:10">
      <c r="A23" s="147"/>
      <c r="B23" s="148"/>
      <c r="C23" s="149"/>
      <c r="D23" s="147"/>
      <c r="E23" s="147"/>
      <c r="F23" s="147"/>
      <c r="G23" s="147"/>
      <c r="H23" s="147"/>
      <c r="I23" s="147"/>
      <c r="J23" s="147"/>
    </row>
    <row r="25" spans="1:10">
      <c r="A25" s="147"/>
      <c r="C25" s="149"/>
      <c r="D25" s="147"/>
      <c r="E25" s="147"/>
      <c r="F25" s="147"/>
      <c r="G25" s="147"/>
      <c r="H25" s="147"/>
      <c r="I25" s="147"/>
      <c r="J25" s="147"/>
    </row>
    <row r="26" spans="1:10">
      <c r="A26" s="147"/>
      <c r="C26" s="149"/>
      <c r="D26" s="147"/>
      <c r="E26" s="147"/>
      <c r="F26" s="147"/>
      <c r="G26" s="147"/>
      <c r="H26" s="147"/>
      <c r="I26" s="147"/>
      <c r="J26" s="147"/>
    </row>
    <row r="27" spans="1:10">
      <c r="A27" s="147"/>
      <c r="C27" s="149"/>
      <c r="D27" s="147"/>
      <c r="E27" s="147"/>
      <c r="F27" s="147"/>
      <c r="G27" s="147"/>
      <c r="H27" s="147"/>
      <c r="I27" s="147"/>
      <c r="J27" s="147"/>
    </row>
    <row r="28" spans="1:10">
      <c r="A28" s="406"/>
      <c r="B28" s="406"/>
      <c r="C28" s="406"/>
      <c r="D28" s="406"/>
      <c r="E28" s="406"/>
      <c r="F28" s="406"/>
      <c r="G28" s="406"/>
      <c r="H28" s="406"/>
      <c r="I28" s="406"/>
      <c r="J28" s="406"/>
    </row>
    <row r="29" spans="1:10">
      <c r="A29" s="147"/>
      <c r="B29" s="148"/>
      <c r="C29" s="149"/>
      <c r="D29" s="147"/>
      <c r="E29" s="147"/>
      <c r="F29" s="147"/>
      <c r="G29" s="147"/>
      <c r="H29" s="147"/>
      <c r="I29" s="147"/>
      <c r="J29" s="147"/>
    </row>
    <row r="31" spans="1:10">
      <c r="A31" s="147"/>
      <c r="B31" s="148"/>
      <c r="C31" s="149"/>
      <c r="D31" s="147"/>
      <c r="E31" s="147"/>
      <c r="F31" s="147"/>
      <c r="G31" s="147"/>
      <c r="H31" s="147"/>
      <c r="I31" s="147"/>
      <c r="J31" s="147"/>
    </row>
    <row r="32" spans="1:10">
      <c r="A32" s="147"/>
      <c r="B32" s="148"/>
      <c r="C32" s="149"/>
      <c r="D32" s="147"/>
      <c r="E32" s="147"/>
      <c r="F32" s="147"/>
      <c r="G32" s="147"/>
      <c r="H32" s="147"/>
      <c r="I32" s="147"/>
      <c r="J32" s="147"/>
    </row>
    <row r="33" spans="1:10">
      <c r="A33" s="407"/>
      <c r="B33" s="407"/>
      <c r="C33" s="407"/>
      <c r="D33" s="407"/>
      <c r="E33" s="407"/>
      <c r="F33" s="407"/>
      <c r="G33" s="407"/>
      <c r="H33" s="407"/>
      <c r="I33" s="407"/>
      <c r="J33" s="407"/>
    </row>
    <row r="34" spans="1:10">
      <c r="B34" s="142"/>
      <c r="C34" s="142"/>
      <c r="D34" s="142"/>
      <c r="E34" s="142"/>
      <c r="F34" s="142"/>
      <c r="G34" s="142"/>
      <c r="H34" s="142"/>
      <c r="I34" s="142"/>
      <c r="J34" s="142"/>
    </row>
    <row r="37" spans="1:10">
      <c r="B37" s="145"/>
      <c r="C37" s="146"/>
    </row>
    <row r="39" spans="1:10">
      <c r="B39" s="150"/>
      <c r="C39" s="150"/>
      <c r="D39" s="150"/>
      <c r="E39" s="150"/>
      <c r="F39" s="150"/>
      <c r="G39" s="150"/>
      <c r="H39" s="150"/>
      <c r="I39" s="150"/>
    </row>
    <row r="50" spans="1:10">
      <c r="A50" s="408"/>
      <c r="B50" s="408"/>
      <c r="C50" s="408"/>
      <c r="D50" s="408"/>
      <c r="E50" s="408"/>
      <c r="F50" s="408"/>
      <c r="G50" s="408"/>
      <c r="H50" s="408"/>
      <c r="I50" s="408"/>
      <c r="J50" s="408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31" zoomScaleNormal="100" zoomScaleSheetLayoutView="100" workbookViewId="0">
      <selection activeCell="C1" sqref="C1"/>
    </sheetView>
  </sheetViews>
  <sheetFormatPr defaultColWidth="9.140625" defaultRowHeight="12.75"/>
  <cols>
    <col min="1" max="1" width="18.42578125" style="76" customWidth="1"/>
    <col min="2" max="10" width="9" style="76" customWidth="1"/>
    <col min="11" max="12" width="7.7109375" style="76" customWidth="1"/>
    <col min="13" max="16384" width="9.140625" style="76"/>
  </cols>
  <sheetData>
    <row r="1" spans="1:10" ht="18">
      <c r="A1" s="462" t="s">
        <v>299</v>
      </c>
      <c r="B1" s="462"/>
      <c r="C1" s="462"/>
      <c r="D1" s="462"/>
      <c r="E1" s="462"/>
      <c r="F1" s="462"/>
      <c r="G1" s="462"/>
      <c r="H1" s="462"/>
      <c r="I1" s="462"/>
      <c r="J1" s="462"/>
    </row>
    <row r="2" spans="1:10" ht="6" customHeight="1">
      <c r="A2" s="266"/>
      <c r="B2" s="267"/>
      <c r="C2" s="267"/>
      <c r="D2" s="267"/>
      <c r="E2" s="267"/>
      <c r="F2" s="267"/>
      <c r="G2" s="267"/>
      <c r="H2" s="267"/>
      <c r="I2" s="267"/>
      <c r="J2" s="267"/>
    </row>
    <row r="3" spans="1:10" ht="15.75" customHeight="1">
      <c r="A3" s="312">
        <f>'3.1'!A4</f>
        <v>2022</v>
      </c>
      <c r="B3" s="464" t="str">
        <f>'3.1'!D5</f>
        <v>Červenec</v>
      </c>
      <c r="C3" s="463"/>
      <c r="D3" s="465"/>
      <c r="E3" s="463" t="str">
        <f>'3.1'!E5</f>
        <v>Srpen</v>
      </c>
      <c r="F3" s="463"/>
      <c r="G3" s="463"/>
      <c r="H3" s="464" t="str">
        <f>'3.1'!F5</f>
        <v>Září</v>
      </c>
      <c r="I3" s="463"/>
      <c r="J3" s="463"/>
    </row>
    <row r="4" spans="1:10" ht="28.5" customHeight="1">
      <c r="A4" s="286"/>
      <c r="B4" s="466" t="s">
        <v>60</v>
      </c>
      <c r="C4" s="467"/>
      <c r="D4" s="225" t="s">
        <v>184</v>
      </c>
      <c r="E4" s="467" t="s">
        <v>60</v>
      </c>
      <c r="F4" s="467"/>
      <c r="G4" s="222" t="s">
        <v>184</v>
      </c>
      <c r="H4" s="466" t="s">
        <v>60</v>
      </c>
      <c r="I4" s="467"/>
      <c r="J4" s="222" t="s">
        <v>184</v>
      </c>
    </row>
    <row r="5" spans="1:10" ht="15" customHeight="1">
      <c r="A5" s="274" t="s">
        <v>176</v>
      </c>
      <c r="B5" s="224" t="s">
        <v>264</v>
      </c>
      <c r="C5" s="222" t="s">
        <v>265</v>
      </c>
      <c r="D5" s="225" t="s">
        <v>233</v>
      </c>
      <c r="E5" s="222" t="s">
        <v>264</v>
      </c>
      <c r="F5" s="222" t="s">
        <v>265</v>
      </c>
      <c r="G5" s="222" t="s">
        <v>233</v>
      </c>
      <c r="H5" s="224" t="s">
        <v>264</v>
      </c>
      <c r="I5" s="222" t="s">
        <v>265</v>
      </c>
      <c r="J5" s="222" t="s">
        <v>233</v>
      </c>
    </row>
    <row r="6" spans="1:10" ht="12.6" customHeight="1">
      <c r="A6" s="155">
        <v>1</v>
      </c>
      <c r="B6" s="156">
        <v>9596.9874176307676</v>
      </c>
      <c r="C6" s="157">
        <v>104368.82881587098</v>
      </c>
      <c r="D6" s="280">
        <v>19.2</v>
      </c>
      <c r="E6" s="157">
        <v>11444.143451851511</v>
      </c>
      <c r="F6" s="157">
        <v>124314.3269393871</v>
      </c>
      <c r="G6" s="268">
        <v>19.8</v>
      </c>
      <c r="H6" s="156">
        <v>12364.134907712547</v>
      </c>
      <c r="I6" s="157">
        <v>135317.64226853332</v>
      </c>
      <c r="J6" s="268">
        <v>14.3</v>
      </c>
    </row>
    <row r="7" spans="1:10" ht="12.6" customHeight="1">
      <c r="A7" s="155">
        <v>2</v>
      </c>
      <c r="B7" s="156">
        <v>7691.1448051199595</v>
      </c>
      <c r="C7" s="157">
        <v>83625.005815870973</v>
      </c>
      <c r="D7" s="280">
        <v>17</v>
      </c>
      <c r="E7" s="157">
        <v>9826.3244872243067</v>
      </c>
      <c r="F7" s="157">
        <v>106680.41593938709</v>
      </c>
      <c r="G7" s="268">
        <v>20.5</v>
      </c>
      <c r="H7" s="156">
        <v>10462.303559826112</v>
      </c>
      <c r="I7" s="157">
        <v>114392.61126853335</v>
      </c>
      <c r="J7" s="268">
        <v>13.5</v>
      </c>
    </row>
    <row r="8" spans="1:10" ht="12.6" customHeight="1">
      <c r="A8" s="155">
        <v>3</v>
      </c>
      <c r="B8" s="156">
        <v>7506.1621903061205</v>
      </c>
      <c r="C8" s="157">
        <v>81614.838815870971</v>
      </c>
      <c r="D8" s="280">
        <v>20.399999999999999</v>
      </c>
      <c r="E8" s="157">
        <v>9476.3873863114077</v>
      </c>
      <c r="F8" s="157">
        <v>102850.21093938709</v>
      </c>
      <c r="G8" s="268">
        <v>22.4</v>
      </c>
      <c r="H8" s="156">
        <v>8305.5141637146917</v>
      </c>
      <c r="I8" s="157">
        <v>90835.265268533345</v>
      </c>
      <c r="J8" s="268">
        <v>15.3</v>
      </c>
    </row>
    <row r="9" spans="1:10" ht="12.6" customHeight="1">
      <c r="A9" s="155">
        <v>4</v>
      </c>
      <c r="B9" s="156">
        <v>8023.0151150654638</v>
      </c>
      <c r="C9" s="157">
        <v>87230.146815870976</v>
      </c>
      <c r="D9" s="280">
        <v>21.4</v>
      </c>
      <c r="E9" s="157">
        <v>8158.3571486354494</v>
      </c>
      <c r="F9" s="157">
        <v>88556.430939387094</v>
      </c>
      <c r="G9" s="268">
        <v>23.8</v>
      </c>
      <c r="H9" s="156">
        <v>7825.467968808668</v>
      </c>
      <c r="I9" s="157">
        <v>85593.44826853335</v>
      </c>
      <c r="J9" s="268">
        <v>16.3</v>
      </c>
    </row>
    <row r="10" spans="1:10" ht="12.6" customHeight="1">
      <c r="A10" s="155">
        <v>5</v>
      </c>
      <c r="B10" s="156">
        <v>7694.1452298430395</v>
      </c>
      <c r="C10" s="157">
        <v>83654.874815870964</v>
      </c>
      <c r="D10" s="280">
        <v>18</v>
      </c>
      <c r="E10" s="157">
        <v>7859.4739044404096</v>
      </c>
      <c r="F10" s="157">
        <v>85311.527939387102</v>
      </c>
      <c r="G10" s="268">
        <v>25.2</v>
      </c>
      <c r="H10" s="156">
        <v>11542.015208681978</v>
      </c>
      <c r="I10" s="157">
        <v>126338.61026853335</v>
      </c>
      <c r="J10" s="268">
        <v>16.7</v>
      </c>
    </row>
    <row r="11" spans="1:10" ht="12.6" customHeight="1">
      <c r="A11" s="155">
        <v>6</v>
      </c>
      <c r="B11" s="156">
        <v>7937.3450560253368</v>
      </c>
      <c r="C11" s="157">
        <v>86303.447815870968</v>
      </c>
      <c r="D11" s="280">
        <v>16.600000000000001</v>
      </c>
      <c r="E11" s="157">
        <v>7256.0137495526542</v>
      </c>
      <c r="F11" s="157">
        <v>78764.243939387103</v>
      </c>
      <c r="G11" s="268">
        <v>16</v>
      </c>
      <c r="H11" s="156">
        <v>9299.7556400948761</v>
      </c>
      <c r="I11" s="157">
        <v>101720.39126853335</v>
      </c>
      <c r="J11" s="268">
        <v>17.100000000000001</v>
      </c>
    </row>
    <row r="12" spans="1:10" ht="12.6" customHeight="1">
      <c r="A12" s="155">
        <v>7</v>
      </c>
      <c r="B12" s="156">
        <v>9323.7870667113384</v>
      </c>
      <c r="C12" s="157">
        <v>101376.39981587097</v>
      </c>
      <c r="D12" s="280">
        <v>15</v>
      </c>
      <c r="E12" s="157">
        <v>7353.8990152920333</v>
      </c>
      <c r="F12" s="157">
        <v>79826.362939387094</v>
      </c>
      <c r="G12" s="268">
        <v>17.2</v>
      </c>
      <c r="H12" s="156">
        <v>11859.991125731456</v>
      </c>
      <c r="I12" s="157">
        <v>129835.66726853335</v>
      </c>
      <c r="J12" s="268">
        <v>18.100000000000001</v>
      </c>
    </row>
    <row r="13" spans="1:10" ht="12.6" customHeight="1">
      <c r="A13" s="155">
        <v>8</v>
      </c>
      <c r="B13" s="156">
        <v>9111.5924906096006</v>
      </c>
      <c r="C13" s="157">
        <v>99074.254815870969</v>
      </c>
      <c r="D13" s="280">
        <v>15.1</v>
      </c>
      <c r="E13" s="157">
        <v>8847.6444764243042</v>
      </c>
      <c r="F13" s="157">
        <v>96038.555939387094</v>
      </c>
      <c r="G13" s="268">
        <v>17.5</v>
      </c>
      <c r="H13" s="156">
        <v>11692.346861062686</v>
      </c>
      <c r="I13" s="157">
        <v>127997.18626853335</v>
      </c>
      <c r="J13" s="268">
        <v>16.3</v>
      </c>
    </row>
    <row r="14" spans="1:10" ht="12.6" customHeight="1">
      <c r="A14" s="155">
        <v>9</v>
      </c>
      <c r="B14" s="156">
        <v>7970.5689827093411</v>
      </c>
      <c r="C14" s="157">
        <v>86680.020815870972</v>
      </c>
      <c r="D14" s="280">
        <v>15.7</v>
      </c>
      <c r="E14" s="157">
        <v>9039.5619542296863</v>
      </c>
      <c r="F14" s="157">
        <v>98120.476939387096</v>
      </c>
      <c r="G14" s="268">
        <v>18.3</v>
      </c>
      <c r="H14" s="156">
        <v>8962.8675922249731</v>
      </c>
      <c r="I14" s="157">
        <v>98031.088268533349</v>
      </c>
      <c r="J14" s="268">
        <v>15.4</v>
      </c>
    </row>
    <row r="15" spans="1:10" ht="12.6" customHeight="1">
      <c r="A15" s="155">
        <v>10</v>
      </c>
      <c r="B15" s="156">
        <v>8779.8999440830048</v>
      </c>
      <c r="C15" s="157">
        <v>95491.789815870972</v>
      </c>
      <c r="D15" s="280">
        <v>13.3</v>
      </c>
      <c r="E15" s="157">
        <v>9032.2347528447863</v>
      </c>
      <c r="F15" s="157">
        <v>98039.3569393871</v>
      </c>
      <c r="G15" s="268">
        <v>18.5</v>
      </c>
      <c r="H15" s="156">
        <v>8616.0960394381618</v>
      </c>
      <c r="I15" s="157">
        <v>94300.30826853335</v>
      </c>
      <c r="J15" s="268">
        <v>14</v>
      </c>
    </row>
    <row r="16" spans="1:10" ht="12.6" customHeight="1">
      <c r="A16" s="155">
        <v>11</v>
      </c>
      <c r="B16" s="156">
        <v>12731.686606960797</v>
      </c>
      <c r="C16" s="157">
        <v>138550.11981587097</v>
      </c>
      <c r="D16" s="280">
        <v>14.7</v>
      </c>
      <c r="E16" s="157">
        <v>9418.0775376411784</v>
      </c>
      <c r="F16" s="157">
        <v>102247.7129393871</v>
      </c>
      <c r="G16" s="268">
        <v>18.2</v>
      </c>
      <c r="H16" s="156">
        <v>9164.1464145558311</v>
      </c>
      <c r="I16" s="157">
        <v>100295.66326853335</v>
      </c>
      <c r="J16" s="268">
        <v>13.8</v>
      </c>
    </row>
    <row r="17" spans="1:10" ht="12.6" customHeight="1">
      <c r="A17" s="155">
        <v>12</v>
      </c>
      <c r="B17" s="156">
        <v>10169.37236990227</v>
      </c>
      <c r="C17" s="157">
        <v>110577.87781587098</v>
      </c>
      <c r="D17" s="280">
        <v>16.5</v>
      </c>
      <c r="E17" s="157">
        <v>10849.899717093431</v>
      </c>
      <c r="F17" s="157">
        <v>117714.6939393871</v>
      </c>
      <c r="G17" s="268">
        <v>18.399999999999999</v>
      </c>
      <c r="H17" s="156">
        <v>12343.893218597974</v>
      </c>
      <c r="I17" s="157">
        <v>135158.20026853331</v>
      </c>
      <c r="J17" s="268">
        <v>13.3</v>
      </c>
    </row>
    <row r="18" spans="1:10" ht="12.6" customHeight="1">
      <c r="A18" s="155">
        <v>13</v>
      </c>
      <c r="B18" s="156">
        <v>9931.2867528877941</v>
      </c>
      <c r="C18" s="157">
        <v>107992.54881587098</v>
      </c>
      <c r="D18" s="281">
        <v>21</v>
      </c>
      <c r="E18" s="157">
        <v>7435.9074083872774</v>
      </c>
      <c r="F18" s="157">
        <v>80715.196939387097</v>
      </c>
      <c r="G18" s="269">
        <v>19.5</v>
      </c>
      <c r="H18" s="156">
        <v>12223.096201354727</v>
      </c>
      <c r="I18" s="157">
        <v>133886.95326853334</v>
      </c>
      <c r="J18" s="269">
        <v>14.9</v>
      </c>
    </row>
    <row r="19" spans="1:10" ht="12.6" customHeight="1">
      <c r="A19" s="155">
        <v>14</v>
      </c>
      <c r="B19" s="156">
        <v>9825.9367492331348</v>
      </c>
      <c r="C19" s="157">
        <v>106849.41581587098</v>
      </c>
      <c r="D19" s="281">
        <v>20.399999999999999</v>
      </c>
      <c r="E19" s="157">
        <v>7716.0792293565692</v>
      </c>
      <c r="F19" s="157">
        <v>83755.644939387101</v>
      </c>
      <c r="G19" s="269">
        <v>19.899999999999999</v>
      </c>
      <c r="H19" s="156">
        <v>12317.771927887454</v>
      </c>
      <c r="I19" s="157">
        <v>134922.47726853332</v>
      </c>
      <c r="J19" s="269">
        <v>15.6</v>
      </c>
    </row>
    <row r="20" spans="1:10" ht="12.6" customHeight="1">
      <c r="A20" s="155">
        <v>15</v>
      </c>
      <c r="B20" s="156">
        <v>9772.5725440950355</v>
      </c>
      <c r="C20" s="157">
        <v>106268.26581587097</v>
      </c>
      <c r="D20" s="281">
        <v>15.4</v>
      </c>
      <c r="E20" s="157">
        <v>10464.145464941008</v>
      </c>
      <c r="F20" s="157">
        <v>113655.6149393871</v>
      </c>
      <c r="G20" s="269">
        <v>20.399999999999999</v>
      </c>
      <c r="H20" s="156">
        <v>10271.101980626705</v>
      </c>
      <c r="I20" s="157">
        <v>112346.49926853334</v>
      </c>
      <c r="J20" s="269">
        <v>14.1</v>
      </c>
    </row>
    <row r="21" spans="1:10" ht="12.6" customHeight="1">
      <c r="A21" s="155">
        <v>16</v>
      </c>
      <c r="B21" s="156">
        <v>8017.5931560937306</v>
      </c>
      <c r="C21" s="157">
        <v>87188.288815870968</v>
      </c>
      <c r="D21" s="281">
        <v>15.9</v>
      </c>
      <c r="E21" s="157">
        <v>11660.329102162195</v>
      </c>
      <c r="F21" s="157">
        <v>126782.1589393871</v>
      </c>
      <c r="G21" s="269">
        <v>21.4</v>
      </c>
      <c r="H21" s="156">
        <v>10418.988974306025</v>
      </c>
      <c r="I21" s="157">
        <v>113963.70526853335</v>
      </c>
      <c r="J21" s="269">
        <v>11.2</v>
      </c>
    </row>
    <row r="22" spans="1:10" ht="12.6" customHeight="1">
      <c r="A22" s="155">
        <v>17</v>
      </c>
      <c r="B22" s="156">
        <v>8233.1545560111281</v>
      </c>
      <c r="C22" s="157">
        <v>89527.521815870976</v>
      </c>
      <c r="D22" s="281">
        <v>16.3</v>
      </c>
      <c r="E22" s="157">
        <v>12370.074637592605</v>
      </c>
      <c r="F22" s="157">
        <v>134584.1099393871</v>
      </c>
      <c r="G22" s="269">
        <v>23</v>
      </c>
      <c r="H22" s="156">
        <v>9865.5376378364017</v>
      </c>
      <c r="I22" s="157">
        <v>107918.11126853335</v>
      </c>
      <c r="J22" s="269">
        <v>8.8000000000000007</v>
      </c>
    </row>
    <row r="23" spans="1:10" ht="12.6" customHeight="1">
      <c r="A23" s="155">
        <v>18</v>
      </c>
      <c r="B23" s="156">
        <v>11187.666410137954</v>
      </c>
      <c r="C23" s="270">
        <v>121789.51581587097</v>
      </c>
      <c r="D23" s="282">
        <v>19.399999999999999</v>
      </c>
      <c r="E23" s="157">
        <v>11339.433935217861</v>
      </c>
      <c r="F23" s="270">
        <v>123427.3959393871</v>
      </c>
      <c r="G23" s="271">
        <v>24.2</v>
      </c>
      <c r="H23" s="156">
        <v>10822.465525959671</v>
      </c>
      <c r="I23" s="270">
        <v>118387.41326853335</v>
      </c>
      <c r="J23" s="271">
        <v>8.6999999999999993</v>
      </c>
    </row>
    <row r="24" spans="1:10" ht="12.6" customHeight="1">
      <c r="A24" s="155">
        <v>19</v>
      </c>
      <c r="B24" s="156">
        <v>10716.283395795783</v>
      </c>
      <c r="C24" s="270">
        <v>116646.80381587097</v>
      </c>
      <c r="D24" s="282">
        <v>22.7</v>
      </c>
      <c r="E24" s="157">
        <v>10952.268266316425</v>
      </c>
      <c r="F24" s="270">
        <v>119221.4619393871</v>
      </c>
      <c r="G24" s="271">
        <v>21.4</v>
      </c>
      <c r="H24" s="156">
        <v>15107.3619890308</v>
      </c>
      <c r="I24" s="270">
        <v>165275.35426853332</v>
      </c>
      <c r="J24" s="271">
        <v>8.5</v>
      </c>
    </row>
    <row r="25" spans="1:10" ht="12.6" customHeight="1">
      <c r="A25" s="155">
        <v>20</v>
      </c>
      <c r="B25" s="156">
        <v>10192.158981878849</v>
      </c>
      <c r="C25" s="157">
        <v>110890.90481587098</v>
      </c>
      <c r="D25" s="281">
        <v>24.9</v>
      </c>
      <c r="E25" s="157">
        <v>7533.7194668055545</v>
      </c>
      <c r="F25" s="157">
        <v>81781.004939387101</v>
      </c>
      <c r="G25" s="269">
        <v>18</v>
      </c>
      <c r="H25" s="156">
        <v>18335.702206453949</v>
      </c>
      <c r="I25" s="157">
        <v>200799.63426853332</v>
      </c>
      <c r="J25" s="269">
        <v>7.9</v>
      </c>
    </row>
    <row r="26" spans="1:10" ht="12.6" customHeight="1">
      <c r="A26" s="155">
        <v>21</v>
      </c>
      <c r="B26" s="156">
        <v>12384.889518500042</v>
      </c>
      <c r="C26" s="157">
        <v>134924.71681587098</v>
      </c>
      <c r="D26" s="281">
        <v>23.8</v>
      </c>
      <c r="E26" s="157">
        <v>8008.3013318296389</v>
      </c>
      <c r="F26" s="157">
        <v>86913.018939387097</v>
      </c>
      <c r="G26" s="269">
        <v>16.7</v>
      </c>
      <c r="H26" s="156">
        <v>17992.161388138258</v>
      </c>
      <c r="I26" s="157">
        <v>196975.90526853333</v>
      </c>
      <c r="J26" s="269">
        <v>8</v>
      </c>
    </row>
    <row r="27" spans="1:10" ht="12.6" customHeight="1">
      <c r="A27" s="155">
        <v>22</v>
      </c>
      <c r="B27" s="156">
        <v>10654.782108415915</v>
      </c>
      <c r="C27" s="157">
        <v>116025.96281587097</v>
      </c>
      <c r="D27" s="281">
        <v>23.4</v>
      </c>
      <c r="E27" s="157">
        <v>12328.841157210734</v>
      </c>
      <c r="F27" s="157">
        <v>133452.0769393871</v>
      </c>
      <c r="G27" s="269">
        <v>15</v>
      </c>
      <c r="H27" s="156">
        <v>17990.459197725675</v>
      </c>
      <c r="I27" s="157">
        <v>196890.51726853332</v>
      </c>
      <c r="J27" s="269">
        <v>7.7</v>
      </c>
    </row>
    <row r="28" spans="1:10" ht="12.6" customHeight="1">
      <c r="A28" s="155">
        <v>23</v>
      </c>
      <c r="B28" s="278">
        <v>7090.3694354779027</v>
      </c>
      <c r="C28" s="272">
        <v>77102.303815870968</v>
      </c>
      <c r="D28" s="280">
        <v>22</v>
      </c>
      <c r="E28" s="272">
        <v>12554.75760184371</v>
      </c>
      <c r="F28" s="272">
        <v>135878.4769393871</v>
      </c>
      <c r="G28" s="268">
        <v>16.899999999999999</v>
      </c>
      <c r="H28" s="278">
        <v>17317.139524683349</v>
      </c>
      <c r="I28" s="272">
        <v>189533.02026853332</v>
      </c>
      <c r="J28" s="268">
        <v>7.7</v>
      </c>
    </row>
    <row r="29" spans="1:10" ht="12.6" customHeight="1">
      <c r="A29" s="155">
        <v>24</v>
      </c>
      <c r="B29" s="279">
        <v>7916.8231165311499</v>
      </c>
      <c r="C29" s="273">
        <v>86131.170815870966</v>
      </c>
      <c r="D29" s="280">
        <v>20.8</v>
      </c>
      <c r="E29" s="273">
        <v>12170.291234692226</v>
      </c>
      <c r="F29" s="273">
        <v>131741.0829393871</v>
      </c>
      <c r="G29" s="268">
        <v>19.3</v>
      </c>
      <c r="H29" s="279">
        <v>12968.808457560825</v>
      </c>
      <c r="I29" s="273">
        <v>141876.12226853331</v>
      </c>
      <c r="J29" s="268">
        <v>10.199999999999999</v>
      </c>
    </row>
    <row r="30" spans="1:10" ht="12.6" customHeight="1">
      <c r="A30" s="155">
        <v>25</v>
      </c>
      <c r="B30" s="156">
        <v>8477.0729419495474</v>
      </c>
      <c r="C30" s="157">
        <v>92200.558815870972</v>
      </c>
      <c r="D30" s="281">
        <v>24.4</v>
      </c>
      <c r="E30" s="157">
        <v>11753.904189131476</v>
      </c>
      <c r="F30" s="157">
        <v>127256.9629393871</v>
      </c>
      <c r="G30" s="269">
        <v>20.8</v>
      </c>
      <c r="H30" s="156">
        <v>12517.044920607113</v>
      </c>
      <c r="I30" s="157">
        <v>136931.35126853333</v>
      </c>
      <c r="J30" s="269">
        <v>11.7</v>
      </c>
    </row>
    <row r="31" spans="1:10" ht="12.6" customHeight="1">
      <c r="A31" s="155">
        <v>26</v>
      </c>
      <c r="B31" s="156">
        <v>10398.80529489955</v>
      </c>
      <c r="C31" s="157">
        <v>113140.28481587097</v>
      </c>
      <c r="D31" s="281">
        <v>20</v>
      </c>
      <c r="E31" s="157">
        <v>11494.421551346592</v>
      </c>
      <c r="F31" s="157">
        <v>124586.4969393871</v>
      </c>
      <c r="G31" s="269">
        <v>20.8</v>
      </c>
      <c r="H31" s="156">
        <v>14747.599394637828</v>
      </c>
      <c r="I31" s="157">
        <v>161329.24826853332</v>
      </c>
      <c r="J31" s="269">
        <v>10.6</v>
      </c>
    </row>
    <row r="32" spans="1:10" ht="12.6" customHeight="1">
      <c r="A32" s="155">
        <v>27</v>
      </c>
      <c r="B32" s="156">
        <v>10593.927673583828</v>
      </c>
      <c r="C32" s="157">
        <v>115209.80281587096</v>
      </c>
      <c r="D32" s="281">
        <v>17</v>
      </c>
      <c r="E32" s="157">
        <v>7336.1991806897058</v>
      </c>
      <c r="F32" s="157">
        <v>79629.540939387094</v>
      </c>
      <c r="G32" s="269">
        <v>19.399999999999999</v>
      </c>
      <c r="H32" s="156">
        <v>16235.001303116811</v>
      </c>
      <c r="I32" s="157">
        <v>177616.89326853331</v>
      </c>
      <c r="J32" s="269">
        <v>8.8000000000000007</v>
      </c>
    </row>
    <row r="33" spans="1:15" ht="12.6" customHeight="1">
      <c r="A33" s="155">
        <v>28</v>
      </c>
      <c r="B33" s="156">
        <v>11086.133946042655</v>
      </c>
      <c r="C33" s="157">
        <v>120630.60281587097</v>
      </c>
      <c r="D33" s="281">
        <v>19</v>
      </c>
      <c r="E33" s="157">
        <v>9717.2136390056803</v>
      </c>
      <c r="F33" s="157">
        <v>105695.7779393871</v>
      </c>
      <c r="G33" s="269">
        <v>17.5</v>
      </c>
      <c r="H33" s="156">
        <v>18170.235815545926</v>
      </c>
      <c r="I33" s="157">
        <v>198888.18926853332</v>
      </c>
      <c r="J33" s="269">
        <v>8.1</v>
      </c>
    </row>
    <row r="34" spans="1:15" ht="12.6" customHeight="1">
      <c r="A34" s="155">
        <v>29</v>
      </c>
      <c r="B34" s="156">
        <v>10616.292866154881</v>
      </c>
      <c r="C34" s="157">
        <v>115445.93781587097</v>
      </c>
      <c r="D34" s="281">
        <v>19.8</v>
      </c>
      <c r="E34" s="157">
        <v>12990.72977675386</v>
      </c>
      <c r="F34" s="157">
        <v>141224.47493938709</v>
      </c>
      <c r="G34" s="269">
        <v>17.100000000000001</v>
      </c>
      <c r="H34" s="156">
        <v>17533.947817015527</v>
      </c>
      <c r="I34" s="157">
        <v>191923.24626853332</v>
      </c>
      <c r="J34" s="269">
        <v>8.5</v>
      </c>
    </row>
    <row r="35" spans="1:15" ht="12.6" customHeight="1">
      <c r="A35" s="155">
        <v>30</v>
      </c>
      <c r="B35" s="156">
        <v>7626.3552946767377</v>
      </c>
      <c r="C35" s="157">
        <v>82941.525815870977</v>
      </c>
      <c r="D35" s="281">
        <v>17</v>
      </c>
      <c r="E35" s="157">
        <v>12348.886989830915</v>
      </c>
      <c r="F35" s="157">
        <v>134296.75993938709</v>
      </c>
      <c r="G35" s="269">
        <v>17.2</v>
      </c>
      <c r="H35" s="156">
        <v>16084.569413717023</v>
      </c>
      <c r="I35" s="157">
        <v>176008.95326853331</v>
      </c>
      <c r="J35" s="269">
        <v>9.6999999999999993</v>
      </c>
    </row>
    <row r="36" spans="1:15" ht="12.6" customHeight="1">
      <c r="A36" s="160">
        <v>31</v>
      </c>
      <c r="B36" s="161">
        <v>7311.4491751063615</v>
      </c>
      <c r="C36" s="162">
        <v>79511.973815870966</v>
      </c>
      <c r="D36" s="283">
        <v>19</v>
      </c>
      <c r="E36" s="162">
        <v>12366.988919447916</v>
      </c>
      <c r="F36" s="162">
        <v>134560.81993938709</v>
      </c>
      <c r="G36" s="275">
        <v>15.9</v>
      </c>
      <c r="H36" s="161"/>
      <c r="I36" s="162"/>
      <c r="J36" s="275"/>
    </row>
    <row r="37" spans="1:15" ht="12.6" customHeight="1">
      <c r="A37" s="276" t="s">
        <v>0</v>
      </c>
      <c r="B37" s="170">
        <f>SUM(B6:B36)</f>
        <v>288569.26119243907</v>
      </c>
      <c r="C37" s="171">
        <f>SUM(C6:C36)</f>
        <v>3138965.7122920007</v>
      </c>
      <c r="D37" s="284">
        <f>AVERAGE(D6:D36)</f>
        <v>18.874193548387094</v>
      </c>
      <c r="E37" s="171">
        <f>SUM(E6:E36)</f>
        <v>311104.51066410315</v>
      </c>
      <c r="F37" s="171">
        <f>SUM(F6:F36)</f>
        <v>3377622.3941210005</v>
      </c>
      <c r="G37" s="277">
        <f>AVERAGE(G6:G36)</f>
        <v>19.361290322580643</v>
      </c>
      <c r="H37" s="170">
        <f>SUM(H6:H36)</f>
        <v>383357.52637665399</v>
      </c>
      <c r="I37" s="171">
        <f>SUM(I6:I36)</f>
        <v>4195289.6770559996</v>
      </c>
      <c r="J37" s="277">
        <f>AVERAGE(J6:J36)</f>
        <v>12.16</v>
      </c>
      <c r="M37" s="77"/>
      <c r="N37" s="77"/>
      <c r="O37" s="77"/>
    </row>
    <row r="38" spans="1:15" ht="12.95" customHeight="1">
      <c r="A38" s="155" t="s">
        <v>177</v>
      </c>
      <c r="B38" s="156">
        <f>MAX(B6:B36)</f>
        <v>12731.686606960797</v>
      </c>
      <c r="C38" s="157">
        <f>MAX(C6:C36)</f>
        <v>138550.11981587097</v>
      </c>
      <c r="D38" s="281">
        <f>VLOOKUP(B38,$B$6:$D$36,3,FALSE)</f>
        <v>14.7</v>
      </c>
      <c r="E38" s="157">
        <f>MAX(E6:E36)</f>
        <v>12990.72977675386</v>
      </c>
      <c r="F38" s="157">
        <f>MAX(F6:F36)</f>
        <v>141224.47493938709</v>
      </c>
      <c r="G38" s="269">
        <f>VLOOKUP(E38,$E$6:$G$36,3,FALSE)</f>
        <v>17.100000000000001</v>
      </c>
      <c r="H38" s="156">
        <f>MAX(H6:H36)</f>
        <v>18335.702206453949</v>
      </c>
      <c r="I38" s="157">
        <f>MAX(I6:I36)</f>
        <v>200799.63426853332</v>
      </c>
      <c r="J38" s="269">
        <f>VLOOKUP(H38,$H$6:$J$36,3,FALSE)</f>
        <v>7.9</v>
      </c>
    </row>
    <row r="39" spans="1:15" ht="12.95" customHeight="1">
      <c r="A39" s="155" t="s">
        <v>178</v>
      </c>
      <c r="B39" s="156">
        <f>MIN(B6:B36)</f>
        <v>7090.3694354779027</v>
      </c>
      <c r="C39" s="157">
        <f>MIN(C6:C36)</f>
        <v>77102.303815870968</v>
      </c>
      <c r="D39" s="281">
        <f>VLOOKUP(B39,$B$6:$D$36,3,FALSE)</f>
        <v>22</v>
      </c>
      <c r="E39" s="157">
        <f>MIN(E6:E36)</f>
        <v>7256.0137495526542</v>
      </c>
      <c r="F39" s="157">
        <f>MIN(F6:F36)</f>
        <v>78764.243939387103</v>
      </c>
      <c r="G39" s="269">
        <f>VLOOKUP(E39,$E$6:$G$36,3,FALSE)</f>
        <v>16</v>
      </c>
      <c r="H39" s="156">
        <f>MIN(H6:H36)</f>
        <v>7825.467968808668</v>
      </c>
      <c r="I39" s="157">
        <f>MIN(I6:I36)</f>
        <v>85593.44826853335</v>
      </c>
      <c r="J39" s="269">
        <f>VLOOKUP(H39,$H$6:$J$36,3,FALSE)</f>
        <v>16.3</v>
      </c>
    </row>
    <row r="40" spans="1:15" ht="12.95" customHeight="1">
      <c r="A40" s="160" t="s">
        <v>179</v>
      </c>
      <c r="B40" s="161">
        <f t="shared" ref="B40:J40" si="0">AVERAGE(B6:B36)</f>
        <v>9308.6858449173887</v>
      </c>
      <c r="C40" s="162">
        <f t="shared" si="0"/>
        <v>101256.95846103228</v>
      </c>
      <c r="D40" s="283">
        <f t="shared" si="0"/>
        <v>18.874193548387094</v>
      </c>
      <c r="E40" s="162">
        <f t="shared" si="0"/>
        <v>10035.629376261391</v>
      </c>
      <c r="F40" s="162">
        <f>AVERAGE(F6:F36)</f>
        <v>108955.56110067744</v>
      </c>
      <c r="G40" s="275">
        <f>AVERAGE(G6:G36)</f>
        <v>19.361290322580643</v>
      </c>
      <c r="H40" s="161">
        <f>AVERAGE(H6:H36)</f>
        <v>12778.584212555133</v>
      </c>
      <c r="I40" s="162">
        <f t="shared" si="0"/>
        <v>139842.98923519999</v>
      </c>
      <c r="J40" s="275">
        <f t="shared" si="0"/>
        <v>12.16</v>
      </c>
    </row>
    <row r="41" spans="1:15" ht="15" customHeight="1">
      <c r="A41" s="43"/>
      <c r="B41" s="459" t="str">
        <f>B3</f>
        <v>Červenec</v>
      </c>
      <c r="C41" s="460"/>
      <c r="D41" s="461"/>
      <c r="E41" s="459" t="str">
        <f>E3</f>
        <v>Srpen</v>
      </c>
      <c r="F41" s="460"/>
      <c r="G41" s="461"/>
      <c r="H41" s="459" t="str">
        <f>H3</f>
        <v>Září</v>
      </c>
      <c r="I41" s="460"/>
      <c r="J41" s="460"/>
    </row>
    <row r="42" spans="1:15" ht="15" customHeight="1">
      <c r="A42" s="43"/>
      <c r="B42" s="311" t="s">
        <v>272</v>
      </c>
      <c r="C42" s="79"/>
      <c r="D42" s="309"/>
      <c r="E42" s="311" t="s">
        <v>272</v>
      </c>
      <c r="F42" s="79"/>
      <c r="G42" s="79"/>
      <c r="H42" s="311" t="s">
        <v>272</v>
      </c>
      <c r="I42" s="79"/>
      <c r="J42" s="79"/>
    </row>
    <row r="43" spans="1:15" ht="21" customHeight="1">
      <c r="A43" s="43"/>
      <c r="B43" s="305"/>
      <c r="C43" s="79"/>
      <c r="D43" s="309"/>
      <c r="E43" s="79"/>
      <c r="F43" s="79"/>
      <c r="G43" s="79"/>
      <c r="H43" s="305"/>
      <c r="I43" s="79"/>
      <c r="J43" s="79"/>
    </row>
    <row r="44" spans="1:15" ht="21" customHeight="1">
      <c r="B44" s="305"/>
      <c r="C44" s="79"/>
      <c r="D44" s="309"/>
      <c r="E44" s="79"/>
      <c r="F44" s="79"/>
      <c r="G44" s="79"/>
      <c r="H44" s="305"/>
      <c r="I44" s="79"/>
      <c r="J44" s="79"/>
    </row>
    <row r="45" spans="1:15" ht="21" customHeight="1">
      <c r="B45" s="306" t="s">
        <v>270</v>
      </c>
      <c r="C45" s="81">
        <f>B38</f>
        <v>12731.686606960797</v>
      </c>
      <c r="D45" s="309"/>
      <c r="E45" s="80" t="s">
        <v>270</v>
      </c>
      <c r="F45" s="81">
        <f>E38</f>
        <v>12990.72977675386</v>
      </c>
      <c r="G45" s="79"/>
      <c r="H45" s="306" t="s">
        <v>270</v>
      </c>
      <c r="I45" s="81">
        <f>H38</f>
        <v>18335.702206453949</v>
      </c>
      <c r="J45" s="79"/>
    </row>
    <row r="46" spans="1:15" ht="21" customHeight="1">
      <c r="B46" s="307" t="s">
        <v>271</v>
      </c>
      <c r="C46" s="81">
        <f t="shared" ref="C46:C47" si="1">B39</f>
        <v>7090.3694354779027</v>
      </c>
      <c r="D46" s="309"/>
      <c r="E46" s="82" t="s">
        <v>271</v>
      </c>
      <c r="F46" s="81">
        <f t="shared" ref="F46:F47" si="2">E39</f>
        <v>7256.0137495526542</v>
      </c>
      <c r="G46" s="79"/>
      <c r="H46" s="307" t="s">
        <v>271</v>
      </c>
      <c r="I46" s="81">
        <f t="shared" ref="I46:I47" si="3">H39</f>
        <v>7825.467968808668</v>
      </c>
      <c r="J46" s="79"/>
    </row>
    <row r="47" spans="1:15" ht="21" customHeight="1">
      <c r="B47" s="307" t="s">
        <v>62</v>
      </c>
      <c r="C47" s="81">
        <f t="shared" si="1"/>
        <v>9308.6858449173887</v>
      </c>
      <c r="D47" s="309"/>
      <c r="E47" s="82" t="s">
        <v>62</v>
      </c>
      <c r="F47" s="81">
        <f t="shared" si="2"/>
        <v>10035.629376261391</v>
      </c>
      <c r="G47" s="79"/>
      <c r="H47" s="307" t="s">
        <v>62</v>
      </c>
      <c r="I47" s="81">
        <f t="shared" si="3"/>
        <v>12778.584212555133</v>
      </c>
      <c r="J47" s="79"/>
    </row>
    <row r="48" spans="1:15" ht="21" customHeight="1">
      <c r="B48" s="305"/>
      <c r="C48" s="79"/>
      <c r="D48" s="309"/>
      <c r="E48" s="79"/>
      <c r="F48" s="79"/>
      <c r="G48" s="79"/>
      <c r="H48" s="305"/>
      <c r="I48" s="79"/>
      <c r="J48" s="79"/>
    </row>
    <row r="49" spans="1:10" ht="21" customHeight="1">
      <c r="B49" s="305"/>
      <c r="C49" s="79"/>
      <c r="D49" s="309"/>
      <c r="E49" s="79"/>
      <c r="F49" s="79"/>
      <c r="G49" s="79"/>
      <c r="H49" s="305"/>
      <c r="I49" s="79"/>
      <c r="J49" s="79"/>
    </row>
    <row r="50" spans="1:10" ht="21" customHeight="1">
      <c r="B50" s="305"/>
      <c r="C50" s="79"/>
      <c r="D50" s="309"/>
      <c r="E50" s="79"/>
      <c r="F50" s="79"/>
      <c r="G50" s="79"/>
      <c r="H50" s="305"/>
      <c r="I50" s="79"/>
      <c r="J50" s="79"/>
    </row>
    <row r="51" spans="1:10" ht="21" customHeight="1">
      <c r="A51" s="292"/>
      <c r="B51" s="308"/>
      <c r="C51" s="292"/>
      <c r="D51" s="310"/>
      <c r="E51" s="292"/>
      <c r="F51" s="292"/>
      <c r="G51" s="292"/>
      <c r="H51" s="308"/>
      <c r="I51" s="292"/>
      <c r="J51" s="292"/>
    </row>
    <row r="52" spans="1:10" ht="12.75" customHeight="1">
      <c r="A52" s="133" t="s">
        <v>180</v>
      </c>
      <c r="B52" s="295">
        <v>160.21183005730077</v>
      </c>
      <c r="C52" s="296">
        <v>1742.7339252119787</v>
      </c>
      <c r="D52" s="301" t="s">
        <v>211</v>
      </c>
      <c r="E52" s="41">
        <v>143.89200190140497</v>
      </c>
      <c r="F52" s="41">
        <v>1562.2172977164921</v>
      </c>
      <c r="G52" s="287" t="s">
        <v>211</v>
      </c>
      <c r="H52" s="295">
        <v>568.49461662087037</v>
      </c>
      <c r="I52" s="296">
        <v>6221.345434674342</v>
      </c>
      <c r="J52" s="297" t="s">
        <v>211</v>
      </c>
    </row>
    <row r="53" spans="1:10" ht="12.95" customHeight="1">
      <c r="A53" s="289" t="s">
        <v>181</v>
      </c>
      <c r="B53" s="298">
        <v>16.965856212366269</v>
      </c>
      <c r="C53" s="290">
        <v>184.54925070754317</v>
      </c>
      <c r="D53" s="302" t="s">
        <v>211</v>
      </c>
      <c r="E53" s="290">
        <v>229.66894203397396</v>
      </c>
      <c r="F53" s="290">
        <v>2493.4867070621881</v>
      </c>
      <c r="G53" s="291" t="s">
        <v>211</v>
      </c>
      <c r="H53" s="298">
        <v>746.47755326346407</v>
      </c>
      <c r="I53" s="290">
        <v>8169.10940280667</v>
      </c>
      <c r="J53" s="291" t="s">
        <v>211</v>
      </c>
    </row>
    <row r="54" spans="1:10" ht="12.95" customHeight="1">
      <c r="A54" s="288" t="s">
        <v>182</v>
      </c>
      <c r="B54" s="299" t="s">
        <v>317</v>
      </c>
      <c r="C54" s="83" t="s">
        <v>317</v>
      </c>
      <c r="D54" s="303">
        <v>0</v>
      </c>
      <c r="E54" s="83" t="s">
        <v>317</v>
      </c>
      <c r="F54" s="83" t="s">
        <v>317</v>
      </c>
      <c r="G54" s="264">
        <v>0</v>
      </c>
      <c r="H54" s="299" t="s">
        <v>317</v>
      </c>
      <c r="I54" s="83" t="s">
        <v>317</v>
      </c>
      <c r="J54" s="264">
        <v>0</v>
      </c>
    </row>
    <row r="55" spans="1:10" ht="12.95" customHeight="1">
      <c r="A55" s="289" t="s">
        <v>183</v>
      </c>
      <c r="B55" s="300" t="s">
        <v>317</v>
      </c>
      <c r="C55" s="293" t="s">
        <v>317</v>
      </c>
      <c r="D55" s="304">
        <v>-12</v>
      </c>
      <c r="E55" s="293" t="s">
        <v>317</v>
      </c>
      <c r="F55" s="293" t="s">
        <v>317</v>
      </c>
      <c r="G55" s="294">
        <v>-12</v>
      </c>
      <c r="H55" s="300" t="s">
        <v>317</v>
      </c>
      <c r="I55" s="293" t="s">
        <v>317</v>
      </c>
      <c r="J55" s="294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2" width="9.140625" style="85"/>
    <col min="13" max="13" width="9.140625" style="84"/>
    <col min="14" max="14" width="11.140625" style="84" customWidth="1"/>
    <col min="15" max="16384" width="9.140625" style="84"/>
  </cols>
  <sheetData>
    <row r="1" spans="1:21" ht="20.25">
      <c r="A1" s="55" t="s">
        <v>292</v>
      </c>
    </row>
    <row r="2" spans="1:21" s="86" customFormat="1" ht="18">
      <c r="A2" s="462" t="s">
        <v>300</v>
      </c>
      <c r="B2" s="462"/>
      <c r="C2" s="462"/>
      <c r="D2" s="462"/>
      <c r="E2" s="462"/>
      <c r="F2" s="462"/>
      <c r="G2" s="462"/>
      <c r="H2" s="462"/>
      <c r="I2" s="462"/>
      <c r="J2" s="462"/>
      <c r="K2" s="462"/>
      <c r="L2" s="85"/>
      <c r="M2" s="84"/>
      <c r="N2" s="84"/>
      <c r="O2" s="84"/>
      <c r="P2" s="84"/>
      <c r="Q2" s="84"/>
      <c r="R2" s="84"/>
      <c r="S2" s="84"/>
      <c r="T2" s="84"/>
      <c r="U2" s="84"/>
    </row>
    <row r="3" spans="1:21" ht="6" customHeight="1">
      <c r="A3" s="468"/>
      <c r="B3" s="468"/>
      <c r="C3" s="468"/>
      <c r="D3" s="328"/>
      <c r="E3" s="328"/>
      <c r="F3" s="329"/>
      <c r="G3" s="330"/>
      <c r="H3" s="330"/>
      <c r="I3" s="330"/>
      <c r="J3" s="292"/>
      <c r="K3" s="292"/>
    </row>
    <row r="4" spans="1:21" ht="15" customHeight="1">
      <c r="A4" s="478" t="s">
        <v>2</v>
      </c>
      <c r="B4" s="478"/>
      <c r="C4" s="478"/>
      <c r="D4" s="472">
        <f>'3.1'!A4</f>
        <v>2022</v>
      </c>
      <c r="E4" s="473"/>
      <c r="F4" s="473"/>
      <c r="G4" s="473"/>
      <c r="H4" s="401"/>
      <c r="I4" s="472">
        <f>D4-1</f>
        <v>2021</v>
      </c>
      <c r="J4" s="473"/>
      <c r="K4" s="473"/>
    </row>
    <row r="5" spans="1:21" ht="50.1" customHeight="1">
      <c r="A5" s="335"/>
      <c r="B5" s="335"/>
      <c r="C5" s="335"/>
      <c r="D5" s="474"/>
      <c r="E5" s="475"/>
      <c r="F5" s="475"/>
      <c r="G5" s="475"/>
      <c r="H5" s="175"/>
      <c r="I5" s="474"/>
      <c r="J5" s="475"/>
      <c r="K5" s="475"/>
    </row>
    <row r="6" spans="1:21" ht="24.95" customHeight="1">
      <c r="A6" s="478" t="s">
        <v>159</v>
      </c>
      <c r="B6" s="478"/>
      <c r="C6" s="478" t="s">
        <v>185</v>
      </c>
      <c r="D6" s="476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21" ht="22.5" customHeight="1">
      <c r="A7" s="479"/>
      <c r="B7" s="479"/>
      <c r="C7" s="479"/>
      <c r="D7" s="477"/>
      <c r="E7" s="222" t="s">
        <v>264</v>
      </c>
      <c r="F7" s="222" t="s">
        <v>265</v>
      </c>
      <c r="G7" s="467"/>
      <c r="H7" s="467"/>
      <c r="I7" s="224" t="s">
        <v>264</v>
      </c>
      <c r="J7" s="222" t="s">
        <v>265</v>
      </c>
      <c r="K7" s="467"/>
    </row>
    <row r="8" spans="1:21" ht="12.95" customHeight="1">
      <c r="A8" s="484" t="str">
        <f>'3.1'!D5</f>
        <v>Červenec</v>
      </c>
      <c r="B8" s="484"/>
      <c r="C8" s="165" t="s">
        <v>4</v>
      </c>
      <c r="D8" s="325">
        <v>1581</v>
      </c>
      <c r="E8" s="321">
        <v>212195.57257776958</v>
      </c>
      <c r="F8" s="321">
        <v>2307890.158721</v>
      </c>
      <c r="G8" s="322">
        <f t="shared" ref="G8:G13" si="0">E8/$E$14</f>
        <v>0.73533684492937901</v>
      </c>
      <c r="H8" s="322">
        <f>(E8-I8)/I8</f>
        <v>-0.27823489849035737</v>
      </c>
      <c r="I8" s="325">
        <v>293995.33467875031</v>
      </c>
      <c r="J8" s="321">
        <v>3139180.4315850004</v>
      </c>
      <c r="K8" s="322">
        <f>I8/$I$14</f>
        <v>0.76908275337229826</v>
      </c>
      <c r="M8" s="89"/>
      <c r="N8" s="89"/>
      <c r="O8" s="89"/>
      <c r="P8" s="89"/>
      <c r="Q8" s="89"/>
      <c r="R8" s="89"/>
      <c r="S8" s="89"/>
      <c r="T8" s="90"/>
      <c r="U8" s="90"/>
    </row>
    <row r="9" spans="1:21" ht="12.95" customHeight="1">
      <c r="A9" s="485"/>
      <c r="B9" s="485"/>
      <c r="C9" s="155" t="s">
        <v>5</v>
      </c>
      <c r="D9" s="326">
        <v>6324</v>
      </c>
      <c r="E9" s="130">
        <v>21886.337260689474</v>
      </c>
      <c r="F9" s="130">
        <v>238059.37745000006</v>
      </c>
      <c r="G9" s="320">
        <f t="shared" si="0"/>
        <v>7.584432602823192E-2</v>
      </c>
      <c r="H9" s="320">
        <f t="shared" ref="H9:H12" si="1">(E9-I9)/I9</f>
        <v>-0.21333553950007456</v>
      </c>
      <c r="I9" s="326">
        <v>27821.693186419914</v>
      </c>
      <c r="J9" s="130">
        <v>297095.63740000007</v>
      </c>
      <c r="K9" s="320">
        <f t="shared" ref="K9:K13" si="2">I9/$I$14</f>
        <v>7.2780693689142764E-2</v>
      </c>
      <c r="L9" s="91"/>
      <c r="M9" s="89"/>
      <c r="N9" s="89"/>
      <c r="O9" s="89"/>
      <c r="P9" s="89"/>
      <c r="Q9" s="89"/>
      <c r="R9" s="89"/>
      <c r="S9" s="89"/>
    </row>
    <row r="10" spans="1:21" ht="12.95" customHeight="1">
      <c r="A10" s="485"/>
      <c r="B10" s="485"/>
      <c r="C10" s="155" t="s">
        <v>6</v>
      </c>
      <c r="D10" s="326">
        <v>205424</v>
      </c>
      <c r="E10" s="130">
        <v>18029.14266932262</v>
      </c>
      <c r="F10" s="130">
        <v>196121.5213177609</v>
      </c>
      <c r="G10" s="320">
        <f t="shared" si="0"/>
        <v>6.2477707363015188E-2</v>
      </c>
      <c r="H10" s="320">
        <f t="shared" si="1"/>
        <v>9.2495172460095962E-2</v>
      </c>
      <c r="I10" s="326">
        <v>16502.720674476157</v>
      </c>
      <c r="J10" s="130">
        <v>176204.94084611081</v>
      </c>
      <c r="K10" s="320">
        <f t="shared" si="2"/>
        <v>4.3170609725248256E-2</v>
      </c>
      <c r="L10" s="91"/>
      <c r="M10" s="89"/>
      <c r="N10" s="89"/>
      <c r="O10" s="89"/>
      <c r="P10" s="89"/>
      <c r="Q10" s="89"/>
      <c r="R10" s="89"/>
      <c r="S10" s="89"/>
    </row>
    <row r="11" spans="1:21" ht="12.95" customHeight="1">
      <c r="A11" s="485"/>
      <c r="B11" s="485"/>
      <c r="C11" s="155" t="s">
        <v>7</v>
      </c>
      <c r="D11" s="326">
        <v>2585051</v>
      </c>
      <c r="E11" s="130">
        <v>28601.476632582162</v>
      </c>
      <c r="F11" s="130">
        <v>311179.94267823471</v>
      </c>
      <c r="G11" s="320">
        <f t="shared" si="0"/>
        <v>9.9114789869690662E-2</v>
      </c>
      <c r="H11" s="320">
        <f t="shared" si="1"/>
        <v>-0.20998542202024523</v>
      </c>
      <c r="I11" s="326">
        <v>36203.732728227093</v>
      </c>
      <c r="J11" s="130">
        <v>386608.30581290217</v>
      </c>
      <c r="K11" s="320">
        <f t="shared" si="2"/>
        <v>9.4707851331738133E-2</v>
      </c>
      <c r="L11" s="91"/>
      <c r="M11" s="89"/>
      <c r="N11" s="89"/>
      <c r="O11" s="89"/>
      <c r="P11" s="89"/>
      <c r="Q11" s="89"/>
      <c r="R11" s="89"/>
      <c r="S11" s="89"/>
    </row>
    <row r="12" spans="1:21" ht="12.95" customHeight="1">
      <c r="A12" s="485"/>
      <c r="B12" s="485"/>
      <c r="C12" s="155" t="s">
        <v>93</v>
      </c>
      <c r="D12" s="326">
        <v>268</v>
      </c>
      <c r="E12" s="130">
        <v>7185.3922112521532</v>
      </c>
      <c r="F12" s="130">
        <v>78134.612270000012</v>
      </c>
      <c r="G12" s="320">
        <f t="shared" si="0"/>
        <v>2.4900065416142578E-2</v>
      </c>
      <c r="H12" s="320">
        <f t="shared" si="1"/>
        <v>-0.1108751072703027</v>
      </c>
      <c r="I12" s="326">
        <v>8081.4205855741156</v>
      </c>
      <c r="J12" s="130">
        <v>86288.691129000013</v>
      </c>
      <c r="K12" s="320">
        <f t="shared" si="2"/>
        <v>2.1140747698953695E-2</v>
      </c>
      <c r="L12" s="91"/>
      <c r="M12" s="89"/>
      <c r="N12" s="89"/>
      <c r="O12" s="89"/>
      <c r="P12" s="89"/>
      <c r="Q12" s="89"/>
      <c r="R12" s="89"/>
      <c r="S12" s="89"/>
    </row>
    <row r="13" spans="1:21" ht="12.95" customHeight="1">
      <c r="A13" s="485"/>
      <c r="B13" s="485"/>
      <c r="C13" s="155" t="s">
        <v>94</v>
      </c>
      <c r="D13" s="326"/>
      <c r="E13" s="130">
        <v>671.28885591643552</v>
      </c>
      <c r="F13" s="130">
        <v>7580.0914519999405</v>
      </c>
      <c r="G13" s="320">
        <f t="shared" si="0"/>
        <v>2.3262663935409464E-3</v>
      </c>
      <c r="H13" s="320">
        <f>(E13-I13)/I13</f>
        <v>-2.9895308752016181</v>
      </c>
      <c r="I13" s="326">
        <v>-337.41062492855633</v>
      </c>
      <c r="J13" s="130">
        <v>-3438.2628086162395</v>
      </c>
      <c r="K13" s="320">
        <f t="shared" si="2"/>
        <v>-8.8265581738116632E-4</v>
      </c>
      <c r="L13" s="91"/>
      <c r="M13" s="89"/>
      <c r="N13" s="89"/>
      <c r="O13" s="89"/>
      <c r="P13" s="89"/>
      <c r="Q13" s="89"/>
      <c r="R13" s="89"/>
      <c r="S13" s="89"/>
    </row>
    <row r="14" spans="1:21" ht="12.95" customHeight="1">
      <c r="A14" s="486"/>
      <c r="B14" s="486"/>
      <c r="C14" s="331" t="s">
        <v>0</v>
      </c>
      <c r="D14" s="334">
        <v>2798648</v>
      </c>
      <c r="E14" s="332">
        <v>288569.21020753233</v>
      </c>
      <c r="F14" s="332">
        <v>3138965.7038889951</v>
      </c>
      <c r="G14" s="333">
        <f>SUM(G8:G13)</f>
        <v>1.0000000000000002</v>
      </c>
      <c r="H14" s="333">
        <f>(E14-I14)/I14</f>
        <v>-0.24511182135802911</v>
      </c>
      <c r="I14" s="334">
        <v>382267.49122851907</v>
      </c>
      <c r="J14" s="332">
        <v>4081939.7439643969</v>
      </c>
      <c r="K14" s="333">
        <f>SUM(K8:K13)</f>
        <v>1</v>
      </c>
      <c r="L14" s="91"/>
      <c r="M14" s="89"/>
      <c r="N14" s="89"/>
      <c r="O14" s="89"/>
      <c r="P14" s="89"/>
      <c r="Q14" s="89"/>
      <c r="R14" s="89"/>
      <c r="S14" s="89"/>
    </row>
    <row r="15" spans="1:21" ht="12.95" customHeight="1">
      <c r="A15" s="484" t="str">
        <f>'3.1'!E5</f>
        <v>Srpen</v>
      </c>
      <c r="B15" s="484"/>
      <c r="C15" s="165" t="s">
        <v>4</v>
      </c>
      <c r="D15" s="325">
        <v>1580</v>
      </c>
      <c r="E15" s="321">
        <v>234276.38728867652</v>
      </c>
      <c r="F15" s="321">
        <v>2543316.7270309995</v>
      </c>
      <c r="G15" s="322">
        <f>E15/$E$21</f>
        <v>0.75304672887269519</v>
      </c>
      <c r="H15" s="322">
        <f>(E15-I15)/I15</f>
        <v>-9.1199999065425627E-2</v>
      </c>
      <c r="I15" s="325">
        <v>257786.51743811162</v>
      </c>
      <c r="J15" s="321">
        <v>2747605.0781919998</v>
      </c>
      <c r="K15" s="322">
        <f>I15/$I$21</f>
        <v>0.70929454385201929</v>
      </c>
      <c r="L15" s="91"/>
      <c r="M15" s="89"/>
      <c r="N15" s="89"/>
      <c r="O15" s="89"/>
      <c r="P15" s="89"/>
      <c r="Q15" s="89"/>
      <c r="R15" s="89"/>
      <c r="S15" s="89"/>
    </row>
    <row r="16" spans="1:21" ht="12.95" customHeight="1">
      <c r="A16" s="485"/>
      <c r="B16" s="485"/>
      <c r="C16" s="155" t="s">
        <v>5</v>
      </c>
      <c r="D16" s="326">
        <v>6340</v>
      </c>
      <c r="E16" s="130">
        <v>23830.479745173499</v>
      </c>
      <c r="F16" s="130">
        <v>258759.43551999994</v>
      </c>
      <c r="G16" s="320">
        <f t="shared" ref="G16:G20" si="3">E16/$E$21</f>
        <v>7.6599545636058627E-2</v>
      </c>
      <c r="H16" s="320">
        <f t="shared" ref="H16:H18" si="4">(E16-I16)/I16</f>
        <v>-0.25875987474580231</v>
      </c>
      <c r="I16" s="326">
        <v>32149.473474606057</v>
      </c>
      <c r="J16" s="130">
        <v>342625.99922</v>
      </c>
      <c r="K16" s="320">
        <f t="shared" ref="K16:K20" si="5">I16/$I$21</f>
        <v>8.8458645354592136E-2</v>
      </c>
      <c r="L16" s="92"/>
      <c r="M16" s="89"/>
      <c r="N16" s="89"/>
      <c r="O16" s="89"/>
      <c r="P16" s="89"/>
      <c r="Q16" s="89"/>
      <c r="R16" s="89"/>
      <c r="S16" s="89"/>
    </row>
    <row r="17" spans="1:20" ht="12.95" customHeight="1">
      <c r="A17" s="485"/>
      <c r="B17" s="485"/>
      <c r="C17" s="155" t="s">
        <v>6</v>
      </c>
      <c r="D17" s="326">
        <v>205193</v>
      </c>
      <c r="E17" s="130">
        <v>17648.244034524843</v>
      </c>
      <c r="F17" s="130">
        <v>191629.38941472713</v>
      </c>
      <c r="G17" s="320">
        <f t="shared" si="3"/>
        <v>5.6727665106812687E-2</v>
      </c>
      <c r="H17" s="320">
        <f t="shared" si="4"/>
        <v>-0.13099072733674486</v>
      </c>
      <c r="I17" s="326">
        <v>20308.464581094999</v>
      </c>
      <c r="J17" s="130">
        <v>216407.62383561078</v>
      </c>
      <c r="K17" s="320">
        <f>I17/$I$21</f>
        <v>5.5878341755560924E-2</v>
      </c>
      <c r="L17" s="91"/>
      <c r="M17" s="89"/>
      <c r="N17" s="89"/>
      <c r="O17" s="89"/>
      <c r="P17" s="89"/>
      <c r="Q17" s="89"/>
      <c r="R17" s="89"/>
      <c r="S17" s="89"/>
    </row>
    <row r="18" spans="1:20" ht="12.95" customHeight="1">
      <c r="A18" s="485"/>
      <c r="B18" s="485"/>
      <c r="C18" s="155" t="s">
        <v>7</v>
      </c>
      <c r="D18" s="326">
        <v>2581381</v>
      </c>
      <c r="E18" s="130">
        <v>27449.349972155331</v>
      </c>
      <c r="F18" s="130">
        <v>298067.34010225767</v>
      </c>
      <c r="G18" s="320">
        <f t="shared" si="3"/>
        <v>8.8231867690288873E-2</v>
      </c>
      <c r="H18" s="320">
        <f t="shared" si="4"/>
        <v>-0.39047741833562605</v>
      </c>
      <c r="I18" s="326">
        <v>45034.180517482411</v>
      </c>
      <c r="J18" s="130">
        <v>479960.26783737598</v>
      </c>
      <c r="K18" s="320">
        <f>I18/$I$21</f>
        <v>0.12391066392976045</v>
      </c>
      <c r="L18" s="91"/>
      <c r="M18" s="89"/>
      <c r="N18" s="89"/>
      <c r="O18" s="89"/>
      <c r="P18" s="89"/>
      <c r="Q18" s="89"/>
      <c r="R18" s="89"/>
      <c r="S18" s="89"/>
    </row>
    <row r="19" spans="1:20" ht="12.95" customHeight="1">
      <c r="A19" s="485"/>
      <c r="B19" s="485"/>
      <c r="C19" s="155" t="s">
        <v>93</v>
      </c>
      <c r="D19" s="326">
        <v>269</v>
      </c>
      <c r="E19" s="130">
        <v>7183.4483326315631</v>
      </c>
      <c r="F19" s="130">
        <v>77970.101449999987</v>
      </c>
      <c r="G19" s="320">
        <f t="shared" si="3"/>
        <v>2.3090130130138282E-2</v>
      </c>
      <c r="H19" s="320">
        <f>(E19-I19)/I19</f>
        <v>-0.13413651911915395</v>
      </c>
      <c r="I19" s="326">
        <v>8296.2828335522536</v>
      </c>
      <c r="J19" s="130">
        <v>88400.125807999997</v>
      </c>
      <c r="K19" s="320">
        <f>I19/$I$21</f>
        <v>2.2827059407808298E-2</v>
      </c>
      <c r="L19" s="91"/>
      <c r="M19" s="89"/>
      <c r="N19" s="89"/>
      <c r="O19" s="89"/>
      <c r="P19" s="89"/>
      <c r="Q19" s="89"/>
      <c r="R19" s="89"/>
      <c r="S19" s="89"/>
    </row>
    <row r="20" spans="1:20" ht="12.95" customHeight="1">
      <c r="A20" s="485"/>
      <c r="B20" s="485"/>
      <c r="C20" s="155" t="s">
        <v>94</v>
      </c>
      <c r="D20" s="326"/>
      <c r="E20" s="130">
        <v>716.80472523997037</v>
      </c>
      <c r="F20" s="130">
        <v>7879.4028009999456</v>
      </c>
      <c r="G20" s="320">
        <f t="shared" si="3"/>
        <v>2.3040625640061711E-3</v>
      </c>
      <c r="H20" s="320">
        <f t="shared" ref="H20" si="6">(E20-I20)/I20</f>
        <v>-6.3412353927724778</v>
      </c>
      <c r="I20" s="326">
        <v>-134.20204737838714</v>
      </c>
      <c r="J20" s="130">
        <v>-1248.9792593145889</v>
      </c>
      <c r="K20" s="320">
        <f t="shared" si="5"/>
        <v>-3.6925429974091927E-4</v>
      </c>
      <c r="L20" s="91"/>
      <c r="M20" s="89"/>
      <c r="N20" s="89"/>
      <c r="O20" s="89"/>
      <c r="P20" s="89"/>
      <c r="Q20" s="89"/>
      <c r="R20" s="89"/>
      <c r="S20" s="89"/>
    </row>
    <row r="21" spans="1:20" ht="12.95" customHeight="1">
      <c r="A21" s="486"/>
      <c r="B21" s="486"/>
      <c r="C21" s="331" t="s">
        <v>0</v>
      </c>
      <c r="D21" s="334">
        <v>2794763</v>
      </c>
      <c r="E21" s="332">
        <v>311104.71409840178</v>
      </c>
      <c r="F21" s="332">
        <v>3377622.3963189842</v>
      </c>
      <c r="G21" s="333">
        <f>SUM(G15:G20)</f>
        <v>0.99999999999999989</v>
      </c>
      <c r="H21" s="333">
        <f>(E21-I21)/I21</f>
        <v>-0.14400148436927032</v>
      </c>
      <c r="I21" s="334">
        <v>363440.71679746889</v>
      </c>
      <c r="J21" s="332">
        <v>3873750.1156336721</v>
      </c>
      <c r="K21" s="333">
        <f>SUM(K15:K20)</f>
        <v>1.0000000000000002</v>
      </c>
      <c r="L21" s="91"/>
      <c r="M21" s="89"/>
      <c r="N21" s="89"/>
      <c r="O21" s="89"/>
      <c r="P21" s="89"/>
      <c r="Q21" s="89"/>
      <c r="R21" s="89"/>
      <c r="S21" s="89"/>
    </row>
    <row r="22" spans="1:20" ht="12.95" customHeight="1">
      <c r="A22" s="484" t="str">
        <f>'3.1'!F5</f>
        <v>Září</v>
      </c>
      <c r="B22" s="484"/>
      <c r="C22" s="165" t="s">
        <v>4</v>
      </c>
      <c r="D22" s="325">
        <v>1578</v>
      </c>
      <c r="E22" s="321">
        <v>242466.6200972698</v>
      </c>
      <c r="F22" s="321">
        <v>2653458.3193360004</v>
      </c>
      <c r="G22" s="322">
        <f>E22/$E$28</f>
        <v>0.63248098380656415</v>
      </c>
      <c r="H22" s="322">
        <f>(E22-I22)/I22</f>
        <v>-0.15391127378387226</v>
      </c>
      <c r="I22" s="325">
        <v>286573.51479156018</v>
      </c>
      <c r="J22" s="321">
        <v>3054892.9757880005</v>
      </c>
      <c r="K22" s="322">
        <f>I22/$I$28</f>
        <v>0.66774810782905425</v>
      </c>
      <c r="L22" s="93"/>
      <c r="M22" s="89"/>
      <c r="N22" s="89"/>
      <c r="O22" s="89"/>
      <c r="P22" s="89"/>
      <c r="Q22" s="89"/>
      <c r="R22" s="89"/>
      <c r="S22" s="89"/>
      <c r="T22" s="88"/>
    </row>
    <row r="23" spans="1:20" ht="12.95" customHeight="1">
      <c r="A23" s="485"/>
      <c r="B23" s="485"/>
      <c r="C23" s="155" t="s">
        <v>5</v>
      </c>
      <c r="D23" s="326">
        <v>6340</v>
      </c>
      <c r="E23" s="130">
        <v>32997.978248616528</v>
      </c>
      <c r="F23" s="130">
        <v>361134.43099999992</v>
      </c>
      <c r="G23" s="320">
        <f t="shared" ref="G23:G27" si="7">E23/$E$28</f>
        <v>8.607615241198964E-2</v>
      </c>
      <c r="H23" s="320">
        <f t="shared" ref="H23:H26" si="8">(E23-I23)/I23</f>
        <v>-0.10432210929780356</v>
      </c>
      <c r="I23" s="326">
        <v>36841.345076349564</v>
      </c>
      <c r="J23" s="130">
        <v>392749.52784000005</v>
      </c>
      <c r="K23" s="320">
        <f t="shared" ref="K23:K27" si="9">I23/$I$28</f>
        <v>8.5844424536241803E-2</v>
      </c>
      <c r="L23" s="93"/>
      <c r="M23" s="89"/>
      <c r="N23" s="89"/>
      <c r="O23" s="89"/>
      <c r="P23" s="89"/>
      <c r="Q23" s="89"/>
      <c r="R23" s="89"/>
      <c r="S23" s="89"/>
      <c r="T23" s="88"/>
    </row>
    <row r="24" spans="1:20" ht="12.95" customHeight="1">
      <c r="A24" s="485"/>
      <c r="B24" s="485"/>
      <c r="C24" s="155" t="s">
        <v>6</v>
      </c>
      <c r="D24" s="326">
        <v>204578</v>
      </c>
      <c r="E24" s="130">
        <v>37533.419356256578</v>
      </c>
      <c r="F24" s="130">
        <v>410752.68184842722</v>
      </c>
      <c r="G24" s="320">
        <f t="shared" si="7"/>
        <v>9.790697783697444E-2</v>
      </c>
      <c r="H24" s="320">
        <f t="shared" si="8"/>
        <v>0.24383453879585118</v>
      </c>
      <c r="I24" s="326">
        <v>30175.572542464095</v>
      </c>
      <c r="J24" s="130">
        <v>321666.87694204005</v>
      </c>
      <c r="K24" s="320">
        <f t="shared" si="9"/>
        <v>7.0312434429066734E-2</v>
      </c>
      <c r="L24" s="93"/>
      <c r="M24" s="89"/>
      <c r="N24" s="89"/>
      <c r="O24" s="89"/>
      <c r="P24" s="89"/>
      <c r="Q24" s="89"/>
      <c r="R24" s="89"/>
      <c r="S24" s="89"/>
      <c r="T24" s="88"/>
    </row>
    <row r="25" spans="1:20" ht="12.95" customHeight="1">
      <c r="A25" s="485"/>
      <c r="B25" s="485"/>
      <c r="C25" s="155" t="s">
        <v>7</v>
      </c>
      <c r="D25" s="326">
        <v>2578129</v>
      </c>
      <c r="E25" s="130">
        <v>61003.104364331688</v>
      </c>
      <c r="F25" s="130">
        <v>667548.82757754135</v>
      </c>
      <c r="G25" s="320">
        <f t="shared" si="7"/>
        <v>0.15912830990149751</v>
      </c>
      <c r="H25" s="320">
        <f t="shared" si="8"/>
        <v>-4.7280568847327537E-2</v>
      </c>
      <c r="I25" s="326">
        <v>64030.502968251094</v>
      </c>
      <c r="J25" s="130">
        <v>682604.63121496036</v>
      </c>
      <c r="K25" s="320">
        <f t="shared" si="9"/>
        <v>0.14919818124676018</v>
      </c>
      <c r="L25" s="93"/>
      <c r="M25" s="89"/>
      <c r="N25" s="89"/>
      <c r="O25" s="89"/>
      <c r="P25" s="89"/>
      <c r="Q25" s="89"/>
      <c r="R25" s="89"/>
      <c r="S25" s="89"/>
      <c r="T25" s="88"/>
    </row>
    <row r="26" spans="1:20" ht="12.95" customHeight="1">
      <c r="A26" s="485"/>
      <c r="B26" s="485"/>
      <c r="C26" s="155" t="s">
        <v>93</v>
      </c>
      <c r="D26" s="326">
        <v>271</v>
      </c>
      <c r="E26" s="130">
        <v>6618.6550827523097</v>
      </c>
      <c r="F26" s="130">
        <v>72384.30846</v>
      </c>
      <c r="G26" s="320">
        <f t="shared" si="7"/>
        <v>1.7264947548393007E-2</v>
      </c>
      <c r="H26" s="320">
        <f t="shared" si="8"/>
        <v>-0.21437230762277815</v>
      </c>
      <c r="I26" s="326">
        <v>8424.6713131063352</v>
      </c>
      <c r="J26" s="130">
        <v>89800.599168000001</v>
      </c>
      <c r="K26" s="320">
        <f t="shared" si="9"/>
        <v>1.963041955395016E-2</v>
      </c>
      <c r="L26" s="93"/>
      <c r="M26" s="89"/>
      <c r="N26" s="89"/>
      <c r="O26" s="89"/>
      <c r="P26" s="89"/>
      <c r="Q26" s="89"/>
      <c r="R26" s="89"/>
      <c r="S26" s="89"/>
      <c r="T26" s="88"/>
    </row>
    <row r="27" spans="1:20" ht="12.95" customHeight="1">
      <c r="A27" s="485"/>
      <c r="B27" s="485"/>
      <c r="C27" s="155" t="s">
        <v>94</v>
      </c>
      <c r="D27" s="326"/>
      <c r="E27" s="130">
        <v>2738.1834933099349</v>
      </c>
      <c r="F27" s="130">
        <v>30011.104936000011</v>
      </c>
      <c r="G27" s="320">
        <f t="shared" si="7"/>
        <v>7.1426284945812334E-3</v>
      </c>
      <c r="H27" s="320">
        <f t="shared" ref="H27" si="10">(E27-I27)/I27</f>
        <v>-0.12195267148906801</v>
      </c>
      <c r="I27" s="326">
        <v>3118.4919131336364</v>
      </c>
      <c r="J27" s="130">
        <v>33344.478740444269</v>
      </c>
      <c r="K27" s="320">
        <f t="shared" si="9"/>
        <v>7.266432404926906E-3</v>
      </c>
      <c r="L27" s="93"/>
      <c r="M27" s="89"/>
      <c r="N27" s="89"/>
      <c r="O27" s="89"/>
      <c r="P27" s="89"/>
      <c r="Q27" s="89"/>
      <c r="R27" s="89"/>
      <c r="S27" s="89"/>
      <c r="T27" s="88"/>
    </row>
    <row r="28" spans="1:20" ht="12.95" customHeight="1">
      <c r="A28" s="486"/>
      <c r="B28" s="486"/>
      <c r="C28" s="331" t="s">
        <v>0</v>
      </c>
      <c r="D28" s="334">
        <v>2790896</v>
      </c>
      <c r="E28" s="332">
        <v>383357.96064253687</v>
      </c>
      <c r="F28" s="332">
        <v>4195289.6731579686</v>
      </c>
      <c r="G28" s="333">
        <f>SUM(G22:G27)</f>
        <v>1</v>
      </c>
      <c r="H28" s="333">
        <f>(E28-I28)/I28</f>
        <v>-0.10673338732488466</v>
      </c>
      <c r="I28" s="334">
        <v>429164.09860486491</v>
      </c>
      <c r="J28" s="332">
        <v>4575059.0896934448</v>
      </c>
      <c r="K28" s="333">
        <f>SUM(K22:K27)</f>
        <v>1.0000000000000002</v>
      </c>
      <c r="M28" s="89"/>
      <c r="N28" s="89"/>
      <c r="O28" s="89"/>
      <c r="P28" s="89"/>
      <c r="Q28" s="89"/>
      <c r="R28" s="89"/>
      <c r="S28" s="89"/>
    </row>
    <row r="29" spans="1:20" ht="12.95" customHeight="1">
      <c r="A29" s="487" t="str">
        <f>'3.1'!G5</f>
        <v>III. čtvrtletí</v>
      </c>
      <c r="B29" s="484"/>
      <c r="C29" s="165" t="s">
        <v>4</v>
      </c>
      <c r="D29" s="325">
        <f>D22</f>
        <v>1578</v>
      </c>
      <c r="E29" s="321">
        <f>E8+E15+E22</f>
        <v>688938.57996371586</v>
      </c>
      <c r="F29" s="321">
        <f>F8+F15+F22</f>
        <v>7504665.2050880007</v>
      </c>
      <c r="G29" s="322">
        <f>E29/$E$35</f>
        <v>0.70083034997367244</v>
      </c>
      <c r="H29" s="322">
        <f>(E29-I29)/I29</f>
        <v>-0.17822607553131808</v>
      </c>
      <c r="I29" s="325">
        <f>I8+I15+I22</f>
        <v>838355.36690842221</v>
      </c>
      <c r="J29" s="321">
        <f>J8+J15+J22</f>
        <v>8941678.4855650011</v>
      </c>
      <c r="K29" s="322">
        <f>I29/$I$35</f>
        <v>0.71357147681227551</v>
      </c>
      <c r="M29" s="89"/>
      <c r="N29" s="89"/>
      <c r="O29" s="89"/>
      <c r="P29" s="89"/>
      <c r="Q29" s="89"/>
      <c r="R29" s="89"/>
      <c r="S29" s="89"/>
    </row>
    <row r="30" spans="1:20" ht="12.95" customHeight="1">
      <c r="A30" s="485"/>
      <c r="B30" s="485"/>
      <c r="C30" s="155" t="s">
        <v>5</v>
      </c>
      <c r="D30" s="326">
        <f t="shared" ref="D30:D33" si="11">D23</f>
        <v>6340</v>
      </c>
      <c r="E30" s="130">
        <f>E9+E16+E23</f>
        <v>78714.795254479512</v>
      </c>
      <c r="F30" s="130">
        <f t="shared" ref="F30" si="12">F9+F16+F23</f>
        <v>857953.24396999995</v>
      </c>
      <c r="G30" s="320">
        <f t="shared" ref="G30:G34" si="13">E30/$E$35</f>
        <v>8.0073491470325622E-2</v>
      </c>
      <c r="H30" s="320">
        <f t="shared" ref="H30:H32" si="14">(E30-I30)/I30</f>
        <v>-0.18693571892845748</v>
      </c>
      <c r="I30" s="326">
        <f>I9+I16+I23</f>
        <v>96812.511737375535</v>
      </c>
      <c r="J30" s="130">
        <f t="shared" ref="J30" si="15">J9+J16+J23</f>
        <v>1032471.1644600001</v>
      </c>
      <c r="K30" s="320">
        <f t="shared" ref="K30:K34" si="16">I30/$I$35</f>
        <v>8.2402582128267163E-2</v>
      </c>
      <c r="M30" s="89"/>
      <c r="N30" s="89"/>
      <c r="O30" s="89"/>
      <c r="P30" s="89"/>
      <c r="Q30" s="89"/>
      <c r="R30" s="89"/>
      <c r="S30" s="89"/>
    </row>
    <row r="31" spans="1:20" ht="12.95" customHeight="1">
      <c r="A31" s="485"/>
      <c r="B31" s="485"/>
      <c r="C31" s="155" t="s">
        <v>6</v>
      </c>
      <c r="D31" s="326">
        <f t="shared" si="11"/>
        <v>204578</v>
      </c>
      <c r="E31" s="130">
        <f t="shared" ref="E31:F31" si="17">E10+E17+E24</f>
        <v>73210.806060104049</v>
      </c>
      <c r="F31" s="130">
        <f t="shared" si="17"/>
        <v>798503.5925809152</v>
      </c>
      <c r="G31" s="320">
        <f t="shared" si="13"/>
        <v>7.4474497909029311E-2</v>
      </c>
      <c r="H31" s="320">
        <f t="shared" si="14"/>
        <v>9.2914606806829989E-2</v>
      </c>
      <c r="I31" s="326">
        <f t="shared" ref="I31:J31" si="18">I10+I17+I24</f>
        <v>66986.757798035251</v>
      </c>
      <c r="J31" s="130">
        <f t="shared" si="18"/>
        <v>714279.44162376167</v>
      </c>
      <c r="K31" s="320">
        <f t="shared" si="16"/>
        <v>5.7016202884321299E-2</v>
      </c>
      <c r="M31" s="89"/>
      <c r="N31" s="89"/>
      <c r="O31" s="89"/>
      <c r="P31" s="89"/>
      <c r="Q31" s="89"/>
      <c r="R31" s="89"/>
      <c r="S31" s="89"/>
    </row>
    <row r="32" spans="1:20" ht="12.95" customHeight="1">
      <c r="A32" s="485"/>
      <c r="B32" s="485"/>
      <c r="C32" s="155" t="s">
        <v>7</v>
      </c>
      <c r="D32" s="326">
        <f t="shared" si="11"/>
        <v>2578129</v>
      </c>
      <c r="E32" s="130">
        <f>E11+E18+E25</f>
        <v>117053.93096906919</v>
      </c>
      <c r="F32" s="130">
        <f t="shared" ref="E32:F34" si="19">F11+F18+F25</f>
        <v>1276796.1103580338</v>
      </c>
      <c r="G32" s="320">
        <f t="shared" si="13"/>
        <v>0.11907439907221827</v>
      </c>
      <c r="H32" s="320">
        <f t="shared" si="14"/>
        <v>-0.19422312144806003</v>
      </c>
      <c r="I32" s="326">
        <f>I11+I18+I25</f>
        <v>145268.41621396059</v>
      </c>
      <c r="J32" s="130">
        <f t="shared" ref="J32" si="20">J11+J18+J25</f>
        <v>1549173.2048652386</v>
      </c>
      <c r="K32" s="320">
        <f t="shared" si="16"/>
        <v>0.12364613191925734</v>
      </c>
      <c r="M32" s="89"/>
      <c r="N32" s="89"/>
      <c r="O32" s="89"/>
      <c r="P32" s="89"/>
      <c r="Q32" s="89"/>
      <c r="R32" s="89"/>
      <c r="S32" s="89"/>
    </row>
    <row r="33" spans="1:20" ht="12.95" customHeight="1">
      <c r="A33" s="485"/>
      <c r="B33" s="485"/>
      <c r="C33" s="155" t="s">
        <v>93</v>
      </c>
      <c r="D33" s="326">
        <f t="shared" si="11"/>
        <v>271</v>
      </c>
      <c r="E33" s="130">
        <f>E12+E19+E26</f>
        <v>20987.495626636024</v>
      </c>
      <c r="F33" s="130">
        <f t="shared" si="19"/>
        <v>228489.02218</v>
      </c>
      <c r="G33" s="320">
        <f t="shared" si="13"/>
        <v>2.1349760824630991E-2</v>
      </c>
      <c r="H33" s="320">
        <f>(E33-I33)/I33</f>
        <v>-0.15381104215956118</v>
      </c>
      <c r="I33" s="326">
        <f>I12+I19+I26</f>
        <v>24802.374732232704</v>
      </c>
      <c r="J33" s="130">
        <f t="shared" ref="J33" si="21">J12+J19+J26</f>
        <v>264489.41610500001</v>
      </c>
      <c r="K33" s="320">
        <f t="shared" si="16"/>
        <v>2.1110698236949471E-2</v>
      </c>
      <c r="M33" s="89"/>
      <c r="N33" s="89"/>
      <c r="O33" s="89"/>
      <c r="P33" s="89"/>
      <c r="Q33" s="89"/>
      <c r="R33" s="89"/>
      <c r="S33" s="89"/>
    </row>
    <row r="34" spans="1:20" ht="12.95" customHeight="1">
      <c r="A34" s="485"/>
      <c r="B34" s="485"/>
      <c r="C34" s="155" t="s">
        <v>94</v>
      </c>
      <c r="D34" s="326"/>
      <c r="E34" s="130">
        <f t="shared" si="19"/>
        <v>4126.2770744663412</v>
      </c>
      <c r="F34" s="130">
        <f t="shared" si="19"/>
        <v>45470.599188999899</v>
      </c>
      <c r="G34" s="320">
        <f t="shared" si="13"/>
        <v>4.1975007501233131E-3</v>
      </c>
      <c r="H34" s="320">
        <f t="shared" ref="H34" si="22">(E34-I34)/I34</f>
        <v>0.55892154459513288</v>
      </c>
      <c r="I34" s="326">
        <f t="shared" ref="I34:J34" si="23">I13+I20+I27</f>
        <v>2646.8792408266931</v>
      </c>
      <c r="J34" s="130">
        <f t="shared" si="23"/>
        <v>28657.236672513442</v>
      </c>
      <c r="K34" s="320">
        <f t="shared" si="16"/>
        <v>2.2529080189293694E-3</v>
      </c>
      <c r="M34" s="89"/>
      <c r="N34" s="89"/>
      <c r="O34" s="89"/>
      <c r="P34" s="89"/>
      <c r="Q34" s="89"/>
      <c r="R34" s="89"/>
      <c r="S34" s="89"/>
    </row>
    <row r="35" spans="1:20" ht="12.95" customHeight="1">
      <c r="A35" s="486"/>
      <c r="B35" s="486"/>
      <c r="C35" s="331" t="s">
        <v>0</v>
      </c>
      <c r="D35" s="334">
        <f>SUM(D29:D34)</f>
        <v>2790896</v>
      </c>
      <c r="E35" s="332">
        <f>SUM(E29:E34)</f>
        <v>983031.88494847098</v>
      </c>
      <c r="F35" s="332">
        <f>SUM(F29:F34)</f>
        <v>10711877.77336595</v>
      </c>
      <c r="G35" s="333">
        <f>SUM(G29:G34)</f>
        <v>0.99999999999999989</v>
      </c>
      <c r="H35" s="333">
        <f>(E35-I35)/I35</f>
        <v>-0.16328618914553963</v>
      </c>
      <c r="I35" s="334">
        <f>SUM(I29:I34)</f>
        <v>1174872.3066308529</v>
      </c>
      <c r="J35" s="332">
        <f>SUM(J29:J34)</f>
        <v>12530748.949291514</v>
      </c>
      <c r="K35" s="333">
        <f>SUM(K29:K34)</f>
        <v>1</v>
      </c>
      <c r="M35" s="89"/>
      <c r="N35" s="89"/>
      <c r="O35" s="89"/>
      <c r="P35" s="89"/>
      <c r="Q35" s="89"/>
      <c r="R35" s="89"/>
      <c r="S35" s="89"/>
    </row>
    <row r="36" spans="1:20" ht="20.100000000000001" customHeight="1">
      <c r="A36" s="127"/>
      <c r="B36" s="316"/>
      <c r="C36" s="102"/>
      <c r="D36" s="88"/>
      <c r="E36" s="88"/>
      <c r="F36" s="88"/>
      <c r="G36" s="488" t="s">
        <v>275</v>
      </c>
      <c r="H36" s="488"/>
      <c r="I36" s="488"/>
      <c r="J36" s="488"/>
      <c r="K36" s="488"/>
    </row>
    <row r="37" spans="1:20" ht="15" customHeight="1">
      <c r="A37" s="480" t="s">
        <v>274</v>
      </c>
      <c r="B37" s="480"/>
      <c r="C37" s="480"/>
      <c r="D37" s="480"/>
      <c r="E37" s="480"/>
      <c r="F37" s="120"/>
      <c r="G37" s="488"/>
      <c r="H37" s="488"/>
      <c r="I37" s="488"/>
      <c r="J37" s="488"/>
      <c r="K37" s="488"/>
      <c r="M37" s="94"/>
      <c r="N37" s="94"/>
      <c r="O37" s="94"/>
      <c r="P37" s="94"/>
      <c r="Q37" s="94"/>
      <c r="R37" s="94"/>
      <c r="S37" s="94"/>
    </row>
    <row r="38" spans="1:20" ht="15" customHeight="1">
      <c r="A38" s="481" t="str">
        <f>A29</f>
        <v>III. čtvrtletí</v>
      </c>
      <c r="B38" s="482"/>
      <c r="C38" s="482"/>
      <c r="D38" s="482"/>
      <c r="E38" s="482"/>
      <c r="F38" s="126"/>
      <c r="G38" s="483" t="str">
        <f>A29</f>
        <v>III. čtvrtletí</v>
      </c>
      <c r="H38" s="483"/>
      <c r="I38" s="483"/>
      <c r="J38" s="483"/>
      <c r="K38" s="483"/>
      <c r="M38" s="94"/>
      <c r="N38" s="94"/>
      <c r="O38" s="94"/>
      <c r="P38" s="94"/>
      <c r="Q38" s="94"/>
      <c r="R38" s="94"/>
      <c r="S38" s="94"/>
    </row>
    <row r="39" spans="1:20" ht="15" customHeight="1">
      <c r="A39" s="127"/>
      <c r="B39" s="127"/>
      <c r="C39" s="127"/>
      <c r="D39" s="76"/>
      <c r="E39" s="76"/>
      <c r="F39" s="76"/>
      <c r="G39" s="127"/>
      <c r="H39" s="127"/>
      <c r="I39" s="127"/>
      <c r="J39" s="127"/>
      <c r="K39" s="127"/>
      <c r="M39" s="94"/>
      <c r="N39" s="94"/>
      <c r="O39" s="94"/>
      <c r="P39" s="94"/>
      <c r="Q39" s="94"/>
      <c r="R39" s="94"/>
      <c r="S39" s="94"/>
      <c r="T39" s="94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/>
      <c r="D41" s="76"/>
      <c r="E41" s="76"/>
      <c r="F41" s="76"/>
      <c r="G41" s="95"/>
      <c r="H41" s="95"/>
      <c r="I41" s="95"/>
      <c r="J41" s="95"/>
      <c r="K41" s="95"/>
    </row>
    <row r="42" spans="1:20" ht="15" customHeight="1">
      <c r="A42" s="95"/>
      <c r="B42" s="95"/>
      <c r="C42" s="95">
        <f>D4</f>
        <v>2022</v>
      </c>
      <c r="D42" s="95">
        <f>I4</f>
        <v>2021</v>
      </c>
      <c r="E42" s="76"/>
      <c r="F42" s="76"/>
      <c r="G42" s="76"/>
      <c r="H42" s="95"/>
      <c r="I42" s="95">
        <f>D4</f>
        <v>2022</v>
      </c>
      <c r="J42" s="95">
        <f>I4</f>
        <v>2021</v>
      </c>
      <c r="K42" s="95"/>
    </row>
    <row r="43" spans="1:20" ht="15" customHeight="1">
      <c r="A43" s="95"/>
      <c r="B43" s="95" t="str">
        <f>A8</f>
        <v>Červenec</v>
      </c>
      <c r="C43" s="78">
        <f>E14</f>
        <v>288569.21020753233</v>
      </c>
      <c r="D43" s="78">
        <f>I14</f>
        <v>382267.49122851907</v>
      </c>
      <c r="E43" s="76"/>
      <c r="F43" s="76"/>
      <c r="G43" s="76"/>
      <c r="H43" s="95" t="str">
        <f>A8</f>
        <v>Červenec</v>
      </c>
      <c r="I43" s="96">
        <f>E14/E35</f>
        <v>0.29355020383968389</v>
      </c>
      <c r="J43" s="96">
        <f>I14/I35</f>
        <v>0.32536939467467441</v>
      </c>
      <c r="K43" s="95"/>
    </row>
    <row r="44" spans="1:20" ht="15" customHeight="1">
      <c r="A44" s="95"/>
      <c r="B44" s="95" t="str">
        <f>A15</f>
        <v>Srpen</v>
      </c>
      <c r="C44" s="78">
        <f>E21</f>
        <v>311104.71409840178</v>
      </c>
      <c r="D44" s="78">
        <f>I21</f>
        <v>363440.71679746889</v>
      </c>
      <c r="E44" s="76"/>
      <c r="F44" s="76"/>
      <c r="G44" s="76"/>
      <c r="H44" s="95" t="str">
        <f>A15</f>
        <v>Srpen</v>
      </c>
      <c r="I44" s="96">
        <f>E21/E35</f>
        <v>0.31647469310185133</v>
      </c>
      <c r="J44" s="96">
        <f>I21/I35</f>
        <v>0.30934486645591064</v>
      </c>
      <c r="K44" s="95"/>
    </row>
    <row r="45" spans="1:20" ht="15" customHeight="1">
      <c r="A45" s="95"/>
      <c r="B45" s="95" t="str">
        <f>A22</f>
        <v>Září</v>
      </c>
      <c r="C45" s="78">
        <f>E28</f>
        <v>383357.96064253687</v>
      </c>
      <c r="D45" s="78">
        <f>I28</f>
        <v>429164.09860486491</v>
      </c>
      <c r="E45" s="76"/>
      <c r="F45" s="76"/>
      <c r="G45" s="76"/>
      <c r="H45" s="95" t="str">
        <f>A22</f>
        <v>Září</v>
      </c>
      <c r="I45" s="96">
        <f>E28/E35</f>
        <v>0.38997510305846478</v>
      </c>
      <c r="J45" s="96">
        <f>I28/I35</f>
        <v>0.36528573886941496</v>
      </c>
      <c r="K45" s="95"/>
    </row>
    <row r="46" spans="1:20" ht="15" customHeight="1">
      <c r="A46" s="95"/>
      <c r="B46" s="95"/>
      <c r="C46" s="78">
        <f>SUM(C43:C45)</f>
        <v>983031.88494847098</v>
      </c>
      <c r="D46" s="78">
        <f>SUM(D43:D45)</f>
        <v>1174872.3066308529</v>
      </c>
      <c r="E46" s="95"/>
      <c r="F46" s="95"/>
      <c r="G46" s="95"/>
      <c r="H46" s="95"/>
      <c r="I46" s="97">
        <f>SUM(I43:I45)</f>
        <v>1</v>
      </c>
      <c r="J46" s="97">
        <f>SUM(J43:J45)</f>
        <v>1</v>
      </c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37:E37"/>
    <mergeCell ref="A38:E38"/>
    <mergeCell ref="G38:K38"/>
    <mergeCell ref="A8:B14"/>
    <mergeCell ref="A15:B21"/>
    <mergeCell ref="A22:B28"/>
    <mergeCell ref="A29:B35"/>
    <mergeCell ref="G36:K37"/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301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68"/>
      <c r="B2" s="468"/>
      <c r="C2" s="468"/>
      <c r="D2" s="328"/>
      <c r="E2" s="328"/>
      <c r="F2" s="329"/>
      <c r="G2" s="330"/>
      <c r="H2" s="330"/>
      <c r="I2" s="330"/>
      <c r="J2" s="292"/>
      <c r="K2" s="292"/>
    </row>
    <row r="3" spans="1:21" ht="15" customHeight="1">
      <c r="A3" s="478" t="s">
        <v>259</v>
      </c>
      <c r="B3" s="478"/>
      <c r="C3" s="478"/>
      <c r="D3" s="360">
        <f>'3.1'!A4</f>
        <v>2022</v>
      </c>
      <c r="E3" s="473"/>
      <c r="F3" s="473"/>
      <c r="G3" s="473"/>
      <c r="H3" s="359"/>
      <c r="I3" s="472">
        <f>D3-1</f>
        <v>2021</v>
      </c>
      <c r="J3" s="473"/>
      <c r="K3" s="473"/>
    </row>
    <row r="4" spans="1:21" ht="50.1" customHeight="1">
      <c r="A4" s="479"/>
      <c r="B4" s="479"/>
      <c r="C4" s="479"/>
      <c r="D4" s="362"/>
      <c r="E4" s="475"/>
      <c r="F4" s="475"/>
      <c r="G4" s="475"/>
      <c r="H4" s="175"/>
      <c r="I4" s="474"/>
      <c r="J4" s="475"/>
      <c r="K4" s="475"/>
    </row>
    <row r="5" spans="1:21" ht="24.95" customHeight="1">
      <c r="A5" s="478" t="s">
        <v>159</v>
      </c>
      <c r="B5" s="478"/>
      <c r="C5" s="489" t="s">
        <v>185</v>
      </c>
      <c r="D5" s="476" t="s">
        <v>160</v>
      </c>
      <c r="E5" s="470" t="s">
        <v>60</v>
      </c>
      <c r="F5" s="470"/>
      <c r="G5" s="471" t="s">
        <v>33</v>
      </c>
      <c r="H5" s="471" t="s">
        <v>273</v>
      </c>
      <c r="I5" s="469" t="s">
        <v>60</v>
      </c>
      <c r="J5" s="470"/>
      <c r="K5" s="471" t="s">
        <v>33</v>
      </c>
    </row>
    <row r="6" spans="1:21" ht="22.5" customHeight="1">
      <c r="A6" s="479"/>
      <c r="B6" s="479"/>
      <c r="C6" s="490"/>
      <c r="D6" s="477"/>
      <c r="E6" s="222" t="s">
        <v>264</v>
      </c>
      <c r="F6" s="222" t="s">
        <v>265</v>
      </c>
      <c r="G6" s="467"/>
      <c r="H6" s="467"/>
      <c r="I6" s="224" t="s">
        <v>264</v>
      </c>
      <c r="J6" s="222" t="s">
        <v>265</v>
      </c>
      <c r="K6" s="467"/>
    </row>
    <row r="7" spans="1:21" ht="12.95" customHeight="1">
      <c r="A7" s="434" t="str">
        <f>'3.1'!D5</f>
        <v>Červenec</v>
      </c>
      <c r="B7" s="434"/>
      <c r="C7" s="165" t="s">
        <v>4</v>
      </c>
      <c r="D7" s="325">
        <v>142</v>
      </c>
      <c r="E7" s="321">
        <v>7169.5079277696077</v>
      </c>
      <c r="F7" s="321">
        <v>78492.360530000005</v>
      </c>
      <c r="G7" s="322">
        <f t="shared" ref="G7:G12" si="0">E7/$E$13</f>
        <v>0.38047164787593896</v>
      </c>
      <c r="H7" s="322">
        <f>(E7-I7)/I7</f>
        <v>-0.11295242657981124</v>
      </c>
      <c r="I7" s="325">
        <v>8082.4390287503302</v>
      </c>
      <c r="J7" s="321">
        <v>86246.379189999992</v>
      </c>
      <c r="K7" s="322">
        <f>I7/$I$13</f>
        <v>0.37677757978122023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8"/>
      <c r="B8" s="428"/>
      <c r="C8" s="155" t="s">
        <v>5</v>
      </c>
      <c r="D8" s="326">
        <v>1518</v>
      </c>
      <c r="E8" s="130">
        <v>3034.7524706894715</v>
      </c>
      <c r="F8" s="130">
        <v>33224.724369999996</v>
      </c>
      <c r="G8" s="320">
        <f t="shared" si="0"/>
        <v>0.16104832926490695</v>
      </c>
      <c r="H8" s="320">
        <f t="shared" ref="H8:H11" si="1">(E8-I8)/I8</f>
        <v>-0.24236744373813984</v>
      </c>
      <c r="I8" s="326">
        <v>4005.5729464199153</v>
      </c>
      <c r="J8" s="130">
        <v>42742.81493</v>
      </c>
      <c r="K8" s="320">
        <f t="shared" ref="K8:K12" si="2">I8/$I$13</f>
        <v>0.18672706036145306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8"/>
      <c r="B9" s="428"/>
      <c r="C9" s="155" t="s">
        <v>6</v>
      </c>
      <c r="D9" s="326">
        <v>38059</v>
      </c>
      <c r="E9" s="130">
        <v>2549.2702093226212</v>
      </c>
      <c r="F9" s="130">
        <v>27909.623887760899</v>
      </c>
      <c r="G9" s="320">
        <f t="shared" si="0"/>
        <v>0.13528474299682594</v>
      </c>
      <c r="H9" s="320">
        <f t="shared" si="1"/>
        <v>-8.8677451531654045E-2</v>
      </c>
      <c r="I9" s="326">
        <v>2797.3303344761562</v>
      </c>
      <c r="J9" s="130">
        <v>29849.8552851108</v>
      </c>
      <c r="K9" s="320">
        <f t="shared" si="2"/>
        <v>0.1304026358285412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8"/>
      <c r="B10" s="428"/>
      <c r="C10" s="155" t="s">
        <v>7</v>
      </c>
      <c r="D10" s="326">
        <v>370811</v>
      </c>
      <c r="E10" s="130">
        <v>4287.2535425821588</v>
      </c>
      <c r="F10" s="130">
        <v>46937.211068234639</v>
      </c>
      <c r="G10" s="320">
        <f t="shared" si="0"/>
        <v>0.22751609129130865</v>
      </c>
      <c r="H10" s="320">
        <f t="shared" si="1"/>
        <v>1.2481953730510515E-2</v>
      </c>
      <c r="I10" s="326">
        <v>4234.3999582270926</v>
      </c>
      <c r="J10" s="130">
        <v>45184.590612902211</v>
      </c>
      <c r="K10" s="320">
        <f t="shared" si="2"/>
        <v>0.19739424725770949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8"/>
      <c r="B11" s="428"/>
      <c r="C11" s="155" t="s">
        <v>93</v>
      </c>
      <c r="D11" s="326">
        <v>38</v>
      </c>
      <c r="E11" s="130">
        <v>921.58221125215266</v>
      </c>
      <c r="F11" s="130">
        <v>10089.559279999999</v>
      </c>
      <c r="G11" s="320">
        <f t="shared" si="0"/>
        <v>4.8906550644869574E-2</v>
      </c>
      <c r="H11" s="320">
        <f t="shared" si="1"/>
        <v>-0.25535605188052779</v>
      </c>
      <c r="I11" s="326">
        <v>1237.614585574114</v>
      </c>
      <c r="J11" s="130">
        <v>13206.383179999999</v>
      </c>
      <c r="K11" s="320">
        <f t="shared" si="2"/>
        <v>5.7693652447712997E-2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8"/>
      <c r="B12" s="428"/>
      <c r="C12" s="155" t="s">
        <v>94</v>
      </c>
      <c r="D12" s="326"/>
      <c r="E12" s="130">
        <v>881.37131974567831</v>
      </c>
      <c r="F12" s="130">
        <v>9649.3270700000012</v>
      </c>
      <c r="G12" s="320">
        <f t="shared" si="0"/>
        <v>4.6772637926149926E-2</v>
      </c>
      <c r="H12" s="320">
        <f>(E12-I12)/I12</f>
        <v>-0.19445413407377105</v>
      </c>
      <c r="I12" s="326">
        <v>1094.1292818035433</v>
      </c>
      <c r="J12" s="130">
        <v>11675.27493</v>
      </c>
      <c r="K12" s="320">
        <f t="shared" si="2"/>
        <v>5.1004824323363063E-2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3"/>
      <c r="B13" s="433"/>
      <c r="C13" s="331" t="s">
        <v>0</v>
      </c>
      <c r="D13" s="334">
        <v>410568</v>
      </c>
      <c r="E13" s="332">
        <v>18843.73768136169</v>
      </c>
      <c r="F13" s="332">
        <v>206302.80620599553</v>
      </c>
      <c r="G13" s="333">
        <f>SUM(G7:G12)</f>
        <v>1</v>
      </c>
      <c r="H13" s="333">
        <f>(E13-I13)/I13</f>
        <v>-0.12156493202604536</v>
      </c>
      <c r="I13" s="334">
        <v>21451.486135251151</v>
      </c>
      <c r="J13" s="332">
        <v>228905.29812801303</v>
      </c>
      <c r="K13" s="333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4" t="str">
        <f>'3.1'!E5</f>
        <v>Srpen</v>
      </c>
      <c r="B14" s="434"/>
      <c r="C14" s="165" t="s">
        <v>4</v>
      </c>
      <c r="D14" s="325">
        <v>142</v>
      </c>
      <c r="E14" s="321">
        <v>7053.3629586765264</v>
      </c>
      <c r="F14" s="321">
        <v>76904.776819999999</v>
      </c>
      <c r="G14" s="322">
        <f>E14/$E$20</f>
        <v>0.38241017178354209</v>
      </c>
      <c r="H14" s="322">
        <f>(E14-I14)/I14</f>
        <v>6.8921498099179954E-2</v>
      </c>
      <c r="I14" s="325">
        <v>6598.5790081116693</v>
      </c>
      <c r="J14" s="321">
        <v>70226.732780000006</v>
      </c>
      <c r="K14" s="322">
        <f>I14/$I$20</f>
        <v>0.30169425938925054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8"/>
      <c r="B15" s="428"/>
      <c r="C15" s="155" t="s">
        <v>5</v>
      </c>
      <c r="D15" s="326">
        <v>1519</v>
      </c>
      <c r="E15" s="130">
        <v>3102.4356851734974</v>
      </c>
      <c r="F15" s="130">
        <v>33826.704290000001</v>
      </c>
      <c r="G15" s="320">
        <f t="shared" ref="G15:G19" si="3">E15/$E$20</f>
        <v>0.16820387243154172</v>
      </c>
      <c r="H15" s="320">
        <f t="shared" ref="H15:H17" si="4">(E15-I15)/I15</f>
        <v>-0.29067707459889652</v>
      </c>
      <c r="I15" s="326">
        <v>4373.7986946060591</v>
      </c>
      <c r="J15" s="130">
        <v>46549.054689999997</v>
      </c>
      <c r="K15" s="320">
        <f t="shared" ref="K15:K19" si="5">I15/$I$20</f>
        <v>0.19997486675005571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8"/>
      <c r="B16" s="428"/>
      <c r="C16" s="155" t="s">
        <v>6</v>
      </c>
      <c r="D16" s="326">
        <v>38007</v>
      </c>
      <c r="E16" s="130">
        <v>2510.6804145248434</v>
      </c>
      <c r="F16" s="130">
        <v>27374.634824727102</v>
      </c>
      <c r="G16" s="320">
        <f t="shared" si="3"/>
        <v>0.13612084536653027</v>
      </c>
      <c r="H16" s="320">
        <f t="shared" si="4"/>
        <v>-0.27789912404337663</v>
      </c>
      <c r="I16" s="326">
        <v>3476.9109110950035</v>
      </c>
      <c r="J16" s="130">
        <v>37003.741473610804</v>
      </c>
      <c r="K16" s="320">
        <f>I16/$I$20</f>
        <v>0.15896817496550608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8"/>
      <c r="B17" s="428"/>
      <c r="C17" s="155" t="s">
        <v>7</v>
      </c>
      <c r="D17" s="326">
        <v>370354</v>
      </c>
      <c r="E17" s="130">
        <v>4024.5539821553302</v>
      </c>
      <c r="F17" s="130">
        <v>43880.812132257655</v>
      </c>
      <c r="G17" s="320">
        <f t="shared" si="3"/>
        <v>0.21819809765708378</v>
      </c>
      <c r="H17" s="320">
        <f t="shared" si="4"/>
        <v>-0.19540595735570293</v>
      </c>
      <c r="I17" s="326">
        <v>5001.9684074824117</v>
      </c>
      <c r="J17" s="130">
        <v>53234.480417375999</v>
      </c>
      <c r="K17" s="320">
        <f>I17/$I$20</f>
        <v>0.22869547402989845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8"/>
      <c r="B18" s="428"/>
      <c r="C18" s="155" t="s">
        <v>93</v>
      </c>
      <c r="D18" s="326">
        <v>38</v>
      </c>
      <c r="E18" s="130">
        <v>850.62833263156119</v>
      </c>
      <c r="F18" s="130">
        <v>9274.6332199999997</v>
      </c>
      <c r="G18" s="320">
        <f t="shared" si="3"/>
        <v>4.6118274178055287E-2</v>
      </c>
      <c r="H18" s="320">
        <f>(E18-I18)/I18</f>
        <v>-0.34314811803241624</v>
      </c>
      <c r="I18" s="326">
        <v>1295.0078335522535</v>
      </c>
      <c r="J18" s="130">
        <v>13782.387959999998</v>
      </c>
      <c r="K18" s="320">
        <f>I18/$I$20</f>
        <v>5.9209176516116534E-2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8"/>
      <c r="B19" s="428"/>
      <c r="C19" s="155" t="s">
        <v>94</v>
      </c>
      <c r="D19" s="326"/>
      <c r="E19" s="130">
        <v>902.83482258531922</v>
      </c>
      <c r="F19" s="130">
        <v>9843.8548500000015</v>
      </c>
      <c r="G19" s="320">
        <f t="shared" si="3"/>
        <v>4.8948738583247102E-2</v>
      </c>
      <c r="H19" s="320">
        <f t="shared" ref="H19" si="6">(E19-I19)/I19</f>
        <v>-0.19782039449960195</v>
      </c>
      <c r="I19" s="326">
        <v>1125.4771579765265</v>
      </c>
      <c r="J19" s="130">
        <v>11978.12278</v>
      </c>
      <c r="K19" s="320">
        <f t="shared" si="5"/>
        <v>5.1458048349172766E-2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3"/>
      <c r="B20" s="433"/>
      <c r="C20" s="331" t="s">
        <v>0</v>
      </c>
      <c r="D20" s="334">
        <v>410060</v>
      </c>
      <c r="E20" s="332">
        <v>18444.496195747073</v>
      </c>
      <c r="F20" s="332">
        <v>201105.41613698474</v>
      </c>
      <c r="G20" s="333">
        <f>SUM(G14:G19)</f>
        <v>1</v>
      </c>
      <c r="H20" s="333">
        <f>(E20-I20)/I20</f>
        <v>-0.15669743247096515</v>
      </c>
      <c r="I20" s="334">
        <v>21871.742012823921</v>
      </c>
      <c r="J20" s="332">
        <v>232774.52010098682</v>
      </c>
      <c r="K20" s="333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4" t="str">
        <f>'3.1'!F5</f>
        <v>Září</v>
      </c>
      <c r="B21" s="434"/>
      <c r="C21" s="165" t="s">
        <v>4</v>
      </c>
      <c r="D21" s="325">
        <v>141</v>
      </c>
      <c r="E21" s="321">
        <v>8376.9050372697548</v>
      </c>
      <c r="F21" s="321">
        <v>92172.441930000001</v>
      </c>
      <c r="G21" s="322">
        <f>E21/$E$27</f>
        <v>0.28010340502863212</v>
      </c>
      <c r="H21" s="322">
        <f>(E21-I21)/I21</f>
        <v>3.801689656520877E-2</v>
      </c>
      <c r="I21" s="325">
        <v>8070.104701560138</v>
      </c>
      <c r="J21" s="321">
        <v>85930.487500000003</v>
      </c>
      <c r="K21" s="322">
        <f>I21/$I$27</f>
        <v>0.28454714863319813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8"/>
      <c r="B22" s="428"/>
      <c r="C22" s="155" t="s">
        <v>5</v>
      </c>
      <c r="D22" s="326">
        <v>1520</v>
      </c>
      <c r="E22" s="130">
        <v>5754.0270786165256</v>
      </c>
      <c r="F22" s="130">
        <v>63312.514560000003</v>
      </c>
      <c r="G22" s="320">
        <f t="shared" ref="G22:G26" si="7">E22/$E$27</f>
        <v>0.19240072200612443</v>
      </c>
      <c r="H22" s="320">
        <f t="shared" ref="H22:H26" si="8">(E22-I22)/I22</f>
        <v>0.10620647035395515</v>
      </c>
      <c r="I22" s="326">
        <v>5201.5850863495652</v>
      </c>
      <c r="J22" s="130">
        <v>55386.478170000002</v>
      </c>
      <c r="K22" s="320">
        <f t="shared" ref="K22:K26" si="9">I22/$I$27</f>
        <v>0.18340483295186985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8"/>
      <c r="B23" s="428"/>
      <c r="C23" s="155" t="s">
        <v>6</v>
      </c>
      <c r="D23" s="326">
        <v>37802</v>
      </c>
      <c r="E23" s="130">
        <v>5796.228106256578</v>
      </c>
      <c r="F23" s="130">
        <v>63776.859468427196</v>
      </c>
      <c r="G23" s="320">
        <f t="shared" si="7"/>
        <v>0.19381182210635176</v>
      </c>
      <c r="H23" s="320">
        <f t="shared" si="8"/>
        <v>0.11502247567909295</v>
      </c>
      <c r="I23" s="326">
        <v>5198.3060724640955</v>
      </c>
      <c r="J23" s="130">
        <v>55351.563230040003</v>
      </c>
      <c r="K23" s="320">
        <f t="shared" si="9"/>
        <v>0.18328921684948413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8"/>
      <c r="B24" s="428"/>
      <c r="C24" s="155" t="s">
        <v>7</v>
      </c>
      <c r="D24" s="326">
        <v>369914</v>
      </c>
      <c r="E24" s="130">
        <v>8212.5588543316826</v>
      </c>
      <c r="F24" s="130">
        <v>90364.147567541178</v>
      </c>
      <c r="G24" s="320">
        <f t="shared" si="7"/>
        <v>0.27460806692469009</v>
      </c>
      <c r="H24" s="320">
        <f t="shared" si="8"/>
        <v>0.11204639551820419</v>
      </c>
      <c r="I24" s="326">
        <v>7385.0865282510986</v>
      </c>
      <c r="J24" s="130">
        <v>78636.401594960276</v>
      </c>
      <c r="K24" s="320">
        <f t="shared" si="9"/>
        <v>0.26039381045664062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8"/>
      <c r="B25" s="428"/>
      <c r="C25" s="155" t="s">
        <v>93</v>
      </c>
      <c r="D25" s="326">
        <v>39</v>
      </c>
      <c r="E25" s="130">
        <v>747.7200827523103</v>
      </c>
      <c r="F25" s="130">
        <v>8227.2881200000011</v>
      </c>
      <c r="G25" s="320">
        <f t="shared" si="7"/>
        <v>2.5001947647179508E-2</v>
      </c>
      <c r="H25" s="320">
        <f t="shared" si="8"/>
        <v>-0.41688614400535046</v>
      </c>
      <c r="I25" s="326">
        <v>1282.2883131063363</v>
      </c>
      <c r="J25" s="130">
        <v>13653.806</v>
      </c>
      <c r="K25" s="320">
        <f t="shared" si="9"/>
        <v>4.5212732264742921E-2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8"/>
      <c r="B26" s="428"/>
      <c r="C26" s="155" t="s">
        <v>94</v>
      </c>
      <c r="D26" s="326"/>
      <c r="E26" s="130">
        <v>1019.0342605213641</v>
      </c>
      <c r="F26" s="130">
        <v>11212.60303</v>
      </c>
      <c r="G26" s="320">
        <f t="shared" si="7"/>
        <v>3.4074036287022151E-2</v>
      </c>
      <c r="H26" s="320">
        <f t="shared" si="8"/>
        <v>-0.16735415343978341</v>
      </c>
      <c r="I26" s="326">
        <v>1223.8507700856801</v>
      </c>
      <c r="J26" s="130">
        <v>13031.563040000001</v>
      </c>
      <c r="K26" s="320">
        <f t="shared" si="9"/>
        <v>4.3152258844064387E-2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3"/>
      <c r="B27" s="433"/>
      <c r="C27" s="331" t="s">
        <v>0</v>
      </c>
      <c r="D27" s="334">
        <v>409416</v>
      </c>
      <c r="E27" s="332">
        <v>29906.473419748214</v>
      </c>
      <c r="F27" s="332">
        <v>329065.85467596835</v>
      </c>
      <c r="G27" s="333">
        <f>SUM(G21:G26)</f>
        <v>1</v>
      </c>
      <c r="H27" s="333">
        <f>(E27-I27)/I27</f>
        <v>5.4484675473757287E-2</v>
      </c>
      <c r="I27" s="334">
        <v>28361.221471816913</v>
      </c>
      <c r="J27" s="332">
        <v>301990.29953500029</v>
      </c>
      <c r="K27" s="333">
        <f>SUM(K21:K26)</f>
        <v>0.99999999999999989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91" t="str">
        <f>'3.1'!G5</f>
        <v>III. čtvrtletí</v>
      </c>
      <c r="B28" s="491"/>
      <c r="C28" s="165" t="s">
        <v>4</v>
      </c>
      <c r="D28" s="325">
        <f>D21</f>
        <v>141</v>
      </c>
      <c r="E28" s="321">
        <f>E7+E14+E21</f>
        <v>22599.77592371589</v>
      </c>
      <c r="F28" s="321">
        <f>F7+F14+F21</f>
        <v>247569.57928000001</v>
      </c>
      <c r="G28" s="322">
        <f>E28/$E$34</f>
        <v>0.33633267905868219</v>
      </c>
      <c r="H28" s="322">
        <f>(E28-I28)/I28</f>
        <v>-6.6522789422893032E-3</v>
      </c>
      <c r="I28" s="325">
        <f>I7+I14+I21</f>
        <v>22751.122738422135</v>
      </c>
      <c r="J28" s="321">
        <f>J7+J14+J21</f>
        <v>242403.59947000002</v>
      </c>
      <c r="K28" s="322">
        <f>I28/$I$34</f>
        <v>0.31737877404458503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92"/>
      <c r="B29" s="492"/>
      <c r="C29" s="155" t="s">
        <v>5</v>
      </c>
      <c r="D29" s="326">
        <f t="shared" ref="D29:D32" si="10">D22</f>
        <v>1520</v>
      </c>
      <c r="E29" s="130">
        <f>E8+E15+E22</f>
        <v>11891.215234479494</v>
      </c>
      <c r="F29" s="130">
        <f t="shared" ref="F29" si="11">F8+F15+F22</f>
        <v>130363.94322000002</v>
      </c>
      <c r="G29" s="320">
        <f t="shared" ref="G29:G33" si="12">E29/$E$34</f>
        <v>0.17696654562309111</v>
      </c>
      <c r="H29" s="320">
        <f t="shared" ref="H29:H31" si="13">(E29-I29)/I29</f>
        <v>-0.12441991582890355</v>
      </c>
      <c r="I29" s="326">
        <f>I8+I15+I22</f>
        <v>13580.95672737554</v>
      </c>
      <c r="J29" s="130">
        <f t="shared" ref="J29" si="14">J8+J15+J22</f>
        <v>144678.34779</v>
      </c>
      <c r="K29" s="320">
        <f t="shared" ref="K29:K33" si="15">I29/$I$34</f>
        <v>0.18945471157815671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92"/>
      <c r="B30" s="492"/>
      <c r="C30" s="155" t="s">
        <v>6</v>
      </c>
      <c r="D30" s="326">
        <f t="shared" si="10"/>
        <v>37802</v>
      </c>
      <c r="E30" s="130">
        <f t="shared" ref="E30:F33" si="16">E9+E16+E23</f>
        <v>10856.178730104042</v>
      </c>
      <c r="F30" s="130">
        <f t="shared" si="16"/>
        <v>119061.11818091519</v>
      </c>
      <c r="G30" s="320">
        <f t="shared" si="12"/>
        <v>0.1615630034988163</v>
      </c>
      <c r="H30" s="320">
        <f t="shared" si="13"/>
        <v>-5.3725521529317269E-2</v>
      </c>
      <c r="I30" s="326">
        <f t="shared" ref="I30:J32" si="17">I9+I16+I23</f>
        <v>11472.547318035256</v>
      </c>
      <c r="J30" s="130">
        <f t="shared" si="17"/>
        <v>122205.1599887616</v>
      </c>
      <c r="K30" s="320">
        <f t="shared" si="15"/>
        <v>0.16004234361662306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92"/>
      <c r="B31" s="492"/>
      <c r="C31" s="155" t="s">
        <v>7</v>
      </c>
      <c r="D31" s="326">
        <f t="shared" si="10"/>
        <v>369914</v>
      </c>
      <c r="E31" s="130">
        <f>E10+E17+E24</f>
        <v>16524.366379069172</v>
      </c>
      <c r="F31" s="130">
        <f t="shared" si="16"/>
        <v>181182.17076803348</v>
      </c>
      <c r="G31" s="320">
        <f t="shared" si="12"/>
        <v>0.24591767780261012</v>
      </c>
      <c r="H31" s="320">
        <f t="shared" si="13"/>
        <v>-5.8411562351685783E-3</v>
      </c>
      <c r="I31" s="326">
        <f>I10+I17+I24</f>
        <v>16621.454893960603</v>
      </c>
      <c r="J31" s="130">
        <f t="shared" si="17"/>
        <v>177055.47262523847</v>
      </c>
      <c r="K31" s="320">
        <f t="shared" si="15"/>
        <v>0.23186974276982178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92"/>
      <c r="B32" s="492"/>
      <c r="C32" s="155" t="s">
        <v>93</v>
      </c>
      <c r="D32" s="326">
        <f t="shared" si="10"/>
        <v>39</v>
      </c>
      <c r="E32" s="130">
        <f>E11+E18+E25</f>
        <v>2519.930626636024</v>
      </c>
      <c r="F32" s="130">
        <f t="shared" si="16"/>
        <v>27591.480619999998</v>
      </c>
      <c r="G32" s="320">
        <f t="shared" si="12"/>
        <v>3.7501921326977689E-2</v>
      </c>
      <c r="H32" s="320">
        <f>(E32-I32)/I32</f>
        <v>-0.33945226939524825</v>
      </c>
      <c r="I32" s="326">
        <f>I11+I18+I25</f>
        <v>3814.9107322327036</v>
      </c>
      <c r="J32" s="130">
        <f t="shared" si="17"/>
        <v>40642.577139999994</v>
      </c>
      <c r="K32" s="320">
        <f t="shared" si="15"/>
        <v>5.3218107308646893E-2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92"/>
      <c r="B33" s="492"/>
      <c r="C33" s="155" t="s">
        <v>94</v>
      </c>
      <c r="D33" s="326"/>
      <c r="E33" s="130">
        <f t="shared" si="16"/>
        <v>2803.2404028523615</v>
      </c>
      <c r="F33" s="130">
        <f t="shared" si="16"/>
        <v>30705.784950000001</v>
      </c>
      <c r="G33" s="320">
        <f t="shared" si="12"/>
        <v>4.1718172689822586E-2</v>
      </c>
      <c r="H33" s="320">
        <f t="shared" ref="H33" si="18">(E33-I33)/I33</f>
        <v>-0.18592268409176735</v>
      </c>
      <c r="I33" s="326">
        <f t="shared" ref="I33:J33" si="19">I12+I19+I26</f>
        <v>3443.45720986575</v>
      </c>
      <c r="J33" s="130">
        <f t="shared" si="19"/>
        <v>36684.960749999998</v>
      </c>
      <c r="K33" s="320">
        <f t="shared" si="15"/>
        <v>4.8036320682166643E-2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93"/>
      <c r="B34" s="493"/>
      <c r="C34" s="331" t="s">
        <v>0</v>
      </c>
      <c r="D34" s="334">
        <f>SUM(D28:D33)</f>
        <v>409416</v>
      </c>
      <c r="E34" s="332">
        <f>SUM(E28:E33)</f>
        <v>67194.707296856985</v>
      </c>
      <c r="F34" s="332">
        <f>SUM(F28:F33)</f>
        <v>736474.07701894874</v>
      </c>
      <c r="G34" s="333">
        <f>SUM(G28:G33)</f>
        <v>1</v>
      </c>
      <c r="H34" s="333">
        <f>(E34-I34)/I34</f>
        <v>-6.2632026148515207E-2</v>
      </c>
      <c r="I34" s="334">
        <f>SUM(I28:I33)</f>
        <v>71684.449619891981</v>
      </c>
      <c r="J34" s="332">
        <f>SUM(J28:J33)</f>
        <v>763670.11776399997</v>
      </c>
      <c r="K34" s="333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16"/>
      <c r="C35" s="102"/>
      <c r="D35" s="88"/>
      <c r="E35" s="88"/>
      <c r="F35" s="88"/>
      <c r="G35" s="488" t="s">
        <v>275</v>
      </c>
      <c r="H35" s="488"/>
      <c r="I35" s="488"/>
      <c r="J35" s="488"/>
      <c r="K35" s="488"/>
    </row>
    <row r="36" spans="1:20" ht="15" customHeight="1">
      <c r="A36" s="480" t="s">
        <v>274</v>
      </c>
      <c r="B36" s="480"/>
      <c r="C36" s="480"/>
      <c r="D36" s="480"/>
      <c r="E36" s="480"/>
      <c r="F36" s="120"/>
      <c r="G36" s="488"/>
      <c r="H36" s="488"/>
      <c r="I36" s="488"/>
      <c r="J36" s="488"/>
      <c r="K36" s="488"/>
      <c r="M36" s="94"/>
      <c r="N36" s="94"/>
      <c r="O36" s="94"/>
      <c r="P36" s="94"/>
      <c r="Q36" s="94"/>
      <c r="R36" s="94"/>
      <c r="S36" s="94"/>
    </row>
    <row r="37" spans="1:20" ht="15" customHeight="1">
      <c r="A37" s="481" t="str">
        <f>A28</f>
        <v>III. čtvrtletí</v>
      </c>
      <c r="B37" s="482"/>
      <c r="C37" s="482"/>
      <c r="D37" s="482"/>
      <c r="E37" s="482"/>
      <c r="F37" s="126"/>
      <c r="G37" s="483" t="str">
        <f>A28</f>
        <v>III. čtvrtletí</v>
      </c>
      <c r="H37" s="483"/>
      <c r="I37" s="483"/>
      <c r="J37" s="483"/>
      <c r="K37" s="483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Červenec</v>
      </c>
      <c r="C42" s="78">
        <f>E13</f>
        <v>18843.73768136169</v>
      </c>
      <c r="D42" s="78">
        <f>I13</f>
        <v>21451.486135251151</v>
      </c>
      <c r="E42" s="76"/>
      <c r="F42" s="76"/>
      <c r="G42" s="76"/>
      <c r="H42" s="95" t="str">
        <f>A7</f>
        <v>Červenec</v>
      </c>
      <c r="I42" s="96">
        <f>E13/E34</f>
        <v>0.28043485029427462</v>
      </c>
      <c r="J42" s="96">
        <f>I13/I34</f>
        <v>0.2992488084793567</v>
      </c>
      <c r="K42" s="95"/>
    </row>
    <row r="43" spans="1:20" ht="15" customHeight="1">
      <c r="A43" s="95"/>
      <c r="B43" s="95" t="str">
        <f>A14</f>
        <v>Srpen</v>
      </c>
      <c r="C43" s="78">
        <f>E20</f>
        <v>18444.496195747073</v>
      </c>
      <c r="D43" s="78">
        <f>I20</f>
        <v>21871.742012823921</v>
      </c>
      <c r="E43" s="76"/>
      <c r="F43" s="76"/>
      <c r="G43" s="76"/>
      <c r="H43" s="95" t="str">
        <f>A14</f>
        <v>Srpen</v>
      </c>
      <c r="I43" s="96">
        <f>E20/E34</f>
        <v>0.27449328879820584</v>
      </c>
      <c r="J43" s="96">
        <f>I20/I34</f>
        <v>0.30511138927339482</v>
      </c>
      <c r="K43" s="95"/>
    </row>
    <row r="44" spans="1:20" ht="15" customHeight="1">
      <c r="A44" s="95"/>
      <c r="B44" s="95" t="str">
        <f>A21</f>
        <v>Září</v>
      </c>
      <c r="C44" s="78">
        <f>E27</f>
        <v>29906.473419748214</v>
      </c>
      <c r="D44" s="78">
        <f>I27</f>
        <v>28361.221471816913</v>
      </c>
      <c r="E44" s="76"/>
      <c r="F44" s="76"/>
      <c r="G44" s="76"/>
      <c r="H44" s="95" t="str">
        <f>A21</f>
        <v>Září</v>
      </c>
      <c r="I44" s="96">
        <f>E27/E34</f>
        <v>0.44507186090751943</v>
      </c>
      <c r="J44" s="96">
        <f>I27/I34</f>
        <v>0.39563980224724854</v>
      </c>
      <c r="K44" s="95"/>
    </row>
    <row r="45" spans="1:20" ht="15" customHeight="1">
      <c r="A45" s="95"/>
      <c r="B45" s="95"/>
      <c r="C45" s="78">
        <f>SUM(C42:C44)</f>
        <v>67194.707296856985</v>
      </c>
      <c r="D45" s="78">
        <f>SUM(D42:D44)</f>
        <v>71684.449619891981</v>
      </c>
      <c r="E45" s="95"/>
      <c r="F45" s="95"/>
      <c r="G45" s="95"/>
      <c r="H45" s="95"/>
      <c r="I45" s="97">
        <f>SUM(I42:I44)</f>
        <v>1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302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68"/>
      <c r="B2" s="468"/>
      <c r="C2" s="468"/>
      <c r="D2" s="328"/>
      <c r="E2" s="328"/>
      <c r="F2" s="329"/>
      <c r="G2" s="330"/>
      <c r="H2" s="330"/>
      <c r="I2" s="330"/>
      <c r="J2" s="292"/>
      <c r="K2" s="292"/>
    </row>
    <row r="3" spans="1:21" ht="15" customHeight="1">
      <c r="A3" s="478" t="s">
        <v>88</v>
      </c>
      <c r="B3" s="478"/>
      <c r="C3" s="478"/>
      <c r="D3" s="360">
        <f>'3.1'!A4</f>
        <v>2022</v>
      </c>
      <c r="E3" s="473"/>
      <c r="F3" s="473"/>
      <c r="G3" s="473"/>
      <c r="H3" s="359"/>
      <c r="I3" s="472">
        <f>D3-1</f>
        <v>2021</v>
      </c>
      <c r="J3" s="473"/>
      <c r="K3" s="473"/>
    </row>
    <row r="4" spans="1:21" ht="50.1" customHeight="1">
      <c r="A4" s="479"/>
      <c r="B4" s="479"/>
      <c r="C4" s="479"/>
      <c r="D4" s="362"/>
      <c r="E4" s="475"/>
      <c r="F4" s="475"/>
      <c r="G4" s="475"/>
      <c r="H4" s="175"/>
      <c r="I4" s="474"/>
      <c r="J4" s="475"/>
      <c r="K4" s="475"/>
    </row>
    <row r="5" spans="1:21" ht="24.95" customHeight="1">
      <c r="A5" s="478" t="s">
        <v>159</v>
      </c>
      <c r="B5" s="478"/>
      <c r="C5" s="489" t="s">
        <v>185</v>
      </c>
      <c r="D5" s="476" t="s">
        <v>160</v>
      </c>
      <c r="E5" s="470" t="s">
        <v>60</v>
      </c>
      <c r="F5" s="470"/>
      <c r="G5" s="471" t="s">
        <v>33</v>
      </c>
      <c r="H5" s="471" t="s">
        <v>273</v>
      </c>
      <c r="I5" s="469" t="s">
        <v>60</v>
      </c>
      <c r="J5" s="470"/>
      <c r="K5" s="471" t="s">
        <v>33</v>
      </c>
    </row>
    <row r="6" spans="1:21" ht="22.5" customHeight="1">
      <c r="A6" s="479"/>
      <c r="B6" s="479"/>
      <c r="C6" s="490"/>
      <c r="D6" s="477"/>
      <c r="E6" s="222" t="s">
        <v>264</v>
      </c>
      <c r="F6" s="222" t="s">
        <v>265</v>
      </c>
      <c r="G6" s="467"/>
      <c r="H6" s="467"/>
      <c r="I6" s="224" t="s">
        <v>264</v>
      </c>
      <c r="J6" s="222" t="s">
        <v>265</v>
      </c>
      <c r="K6" s="467"/>
    </row>
    <row r="7" spans="1:21" ht="12.95" customHeight="1">
      <c r="A7" s="434" t="str">
        <f>'3.1'!D5</f>
        <v>Červenec</v>
      </c>
      <c r="B7" s="434"/>
      <c r="C7" s="165" t="s">
        <v>4</v>
      </c>
      <c r="D7" s="325">
        <v>1244</v>
      </c>
      <c r="E7" s="321">
        <v>174850.58499999996</v>
      </c>
      <c r="F7" s="321">
        <v>1900590.9626999998</v>
      </c>
      <c r="G7" s="322">
        <f t="shared" ref="G7:G12" si="0">E7/$E$13</f>
        <v>0.74311239401111173</v>
      </c>
      <c r="H7" s="322">
        <f>(E7-I7)/I7</f>
        <v>-0.25351394805695499</v>
      </c>
      <c r="I7" s="325">
        <v>234231.55000000002</v>
      </c>
      <c r="J7" s="321">
        <v>2501475.5356800002</v>
      </c>
      <c r="K7" s="322">
        <f>I7/$I$13</f>
        <v>0.77464891254769097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8"/>
      <c r="B8" s="428"/>
      <c r="C8" s="155" t="s">
        <v>5</v>
      </c>
      <c r="D8" s="326">
        <v>4334</v>
      </c>
      <c r="E8" s="130">
        <v>17410.677999999996</v>
      </c>
      <c r="F8" s="130">
        <v>189251.28524000006</v>
      </c>
      <c r="G8" s="320">
        <f t="shared" si="0"/>
        <v>7.3995123378835667E-2</v>
      </c>
      <c r="H8" s="320">
        <f t="shared" ref="H8:H11" si="1">(E8-I8)/I8</f>
        <v>-0.2073994235409686</v>
      </c>
      <c r="I8" s="326">
        <v>21966.522000000001</v>
      </c>
      <c r="J8" s="130">
        <v>234590.91184000004</v>
      </c>
      <c r="K8" s="320">
        <f t="shared" ref="K8:K12" si="2">I8/$I$13</f>
        <v>7.2647524980110192E-2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8"/>
      <c r="B9" s="428"/>
      <c r="C9" s="155" t="s">
        <v>6</v>
      </c>
      <c r="D9" s="326">
        <v>155669</v>
      </c>
      <c r="E9" s="130">
        <v>14749.044999999998</v>
      </c>
      <c r="F9" s="130">
        <v>160318.36799999999</v>
      </c>
      <c r="G9" s="320">
        <f t="shared" si="0"/>
        <v>6.2683222588746951E-2</v>
      </c>
      <c r="H9" s="320">
        <f t="shared" si="1"/>
        <v>0.146213818389584</v>
      </c>
      <c r="I9" s="326">
        <v>12867.621000000001</v>
      </c>
      <c r="J9" s="130">
        <v>137420.809221</v>
      </c>
      <c r="K9" s="320">
        <f t="shared" si="2"/>
        <v>4.2555704450258011E-2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8"/>
      <c r="B10" s="428"/>
      <c r="C10" s="155" t="s">
        <v>7</v>
      </c>
      <c r="D10" s="326">
        <v>2103946</v>
      </c>
      <c r="E10" s="130">
        <v>23311.920999999998</v>
      </c>
      <c r="F10" s="130">
        <v>253398.492</v>
      </c>
      <c r="G10" s="320">
        <f t="shared" si="0"/>
        <v>9.9075318640243104E-2</v>
      </c>
      <c r="H10" s="320">
        <f t="shared" si="1"/>
        <v>-0.24414525092569178</v>
      </c>
      <c r="I10" s="326">
        <v>30841.8</v>
      </c>
      <c r="J10" s="130">
        <v>329374.59999999998</v>
      </c>
      <c r="K10" s="320">
        <f t="shared" si="2"/>
        <v>0.10199978111835649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8"/>
      <c r="B11" s="428"/>
      <c r="C11" s="155" t="s">
        <v>93</v>
      </c>
      <c r="D11" s="326">
        <v>207</v>
      </c>
      <c r="E11" s="130">
        <v>5833.4919999999993</v>
      </c>
      <c r="F11" s="130">
        <v>63408.976989999988</v>
      </c>
      <c r="G11" s="320">
        <f t="shared" si="0"/>
        <v>2.4792254515846591E-2</v>
      </c>
      <c r="H11" s="320">
        <f t="shared" si="1"/>
        <v>-8.9363198077786615E-2</v>
      </c>
      <c r="I11" s="326">
        <v>6405.9480000000003</v>
      </c>
      <c r="J11" s="130">
        <v>68412.295949000007</v>
      </c>
      <c r="K11" s="320">
        <f t="shared" si="2"/>
        <v>2.1185705563734072E-2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8"/>
      <c r="B12" s="428"/>
      <c r="C12" s="155" t="s">
        <v>94</v>
      </c>
      <c r="D12" s="326"/>
      <c r="E12" s="130">
        <v>-860.78256382924224</v>
      </c>
      <c r="F12" s="130">
        <v>-9356.5439100000604</v>
      </c>
      <c r="G12" s="320">
        <f t="shared" si="0"/>
        <v>-3.6583131347840267E-3</v>
      </c>
      <c r="H12" s="320">
        <f>(E12-I12)/I12</f>
        <v>-0.78164940622191448</v>
      </c>
      <c r="I12" s="326">
        <v>-3942.2039067320979</v>
      </c>
      <c r="J12" s="130">
        <v>-42100.763570282899</v>
      </c>
      <c r="K12" s="320">
        <f t="shared" si="2"/>
        <v>-1.3037628660149661E-2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3"/>
      <c r="B13" s="433"/>
      <c r="C13" s="331" t="s">
        <v>0</v>
      </c>
      <c r="D13" s="334">
        <v>2265400</v>
      </c>
      <c r="E13" s="332">
        <v>235294.93843617072</v>
      </c>
      <c r="F13" s="332">
        <v>2557611.5410199999</v>
      </c>
      <c r="G13" s="333">
        <f>SUM(G7:G12)</f>
        <v>1</v>
      </c>
      <c r="H13" s="333">
        <f>(E13-I13)/I13</f>
        <v>-0.22183425679608265</v>
      </c>
      <c r="I13" s="334">
        <v>302371.2370932679</v>
      </c>
      <c r="J13" s="332">
        <v>3229173.3891197173</v>
      </c>
      <c r="K13" s="333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4" t="str">
        <f>'3.1'!E5</f>
        <v>Srpen</v>
      </c>
      <c r="B14" s="434"/>
      <c r="C14" s="165" t="s">
        <v>4</v>
      </c>
      <c r="D14" s="325">
        <v>1243</v>
      </c>
      <c r="E14" s="321">
        <v>175935.639</v>
      </c>
      <c r="F14" s="321">
        <v>1908996.3302000002</v>
      </c>
      <c r="G14" s="322">
        <f>E14/$E$20</f>
        <v>0.74136515375674539</v>
      </c>
      <c r="H14" s="322">
        <f>(E14-I14)/I14</f>
        <v>-0.26723027803906602</v>
      </c>
      <c r="I14" s="325">
        <v>240096.76400000002</v>
      </c>
      <c r="J14" s="321">
        <v>2559303.0822900003</v>
      </c>
      <c r="K14" s="322">
        <f>I14/$I$20</f>
        <v>0.74511271988986094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8"/>
      <c r="B15" s="428"/>
      <c r="C15" s="155" t="s">
        <v>5</v>
      </c>
      <c r="D15" s="326">
        <v>4345</v>
      </c>
      <c r="E15" s="130">
        <v>19075.303</v>
      </c>
      <c r="F15" s="130">
        <v>206976.99931999997</v>
      </c>
      <c r="G15" s="320">
        <f t="shared" ref="G15:G19" si="3">E15/$E$20</f>
        <v>8.0380331250290371E-2</v>
      </c>
      <c r="H15" s="320">
        <f t="shared" ref="H15:H17" si="4">(E15-I15)/I15</f>
        <v>-0.25299789797143302</v>
      </c>
      <c r="I15" s="326">
        <v>25535.809000000001</v>
      </c>
      <c r="J15" s="130">
        <v>272198.56916000001</v>
      </c>
      <c r="K15" s="320">
        <f t="shared" ref="K15:K19" si="5">I15/$I$20</f>
        <v>7.9247449160031111E-2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8"/>
      <c r="B16" s="428"/>
      <c r="C16" s="155" t="s">
        <v>6</v>
      </c>
      <c r="D16" s="326">
        <v>155482</v>
      </c>
      <c r="E16" s="130">
        <v>14470.86</v>
      </c>
      <c r="F16" s="130">
        <v>157021.97571999999</v>
      </c>
      <c r="G16" s="320">
        <f t="shared" si="3"/>
        <v>6.0977931531497928E-2</v>
      </c>
      <c r="H16" s="320">
        <f t="shared" si="4"/>
        <v>-8.0827493197765402E-2</v>
      </c>
      <c r="I16" s="326">
        <v>15743.356</v>
      </c>
      <c r="J16" s="130">
        <v>167816.89613199997</v>
      </c>
      <c r="K16" s="320">
        <f>I16/$I$20</f>
        <v>4.8857696430070839E-2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8"/>
      <c r="B17" s="428"/>
      <c r="C17" s="155" t="s">
        <v>7</v>
      </c>
      <c r="D17" s="326">
        <v>2100863</v>
      </c>
      <c r="E17" s="130">
        <v>22497.3</v>
      </c>
      <c r="F17" s="130">
        <v>244105.8</v>
      </c>
      <c r="G17" s="320">
        <f t="shared" si="3"/>
        <v>9.4800089216782443E-2</v>
      </c>
      <c r="H17" s="320">
        <f t="shared" si="4"/>
        <v>-0.41592003634711505</v>
      </c>
      <c r="I17" s="326">
        <v>38517.500000000007</v>
      </c>
      <c r="J17" s="130">
        <v>410575.89999999991</v>
      </c>
      <c r="K17" s="320">
        <f>I17/$I$20</f>
        <v>0.11953463557866911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8"/>
      <c r="B18" s="428"/>
      <c r="C18" s="155" t="s">
        <v>93</v>
      </c>
      <c r="D18" s="326">
        <v>208</v>
      </c>
      <c r="E18" s="130">
        <v>5907.8410000000003</v>
      </c>
      <c r="F18" s="130">
        <v>64103.33423</v>
      </c>
      <c r="G18" s="320">
        <f t="shared" si="3"/>
        <v>2.4894714204751912E-2</v>
      </c>
      <c r="H18" s="320">
        <f>(E18-I18)/I18</f>
        <v>-9.6251637973260681E-2</v>
      </c>
      <c r="I18" s="326">
        <v>6537.0420000000004</v>
      </c>
      <c r="J18" s="130">
        <v>69681.386848000009</v>
      </c>
      <c r="K18" s="320">
        <f>I18/$I$20</f>
        <v>2.0286958739078452E-2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8"/>
      <c r="B19" s="428"/>
      <c r="C19" s="155" t="s">
        <v>94</v>
      </c>
      <c r="D19" s="326"/>
      <c r="E19" s="130">
        <v>-573.87519734534726</v>
      </c>
      <c r="F19" s="130">
        <v>-6226.8621700000867</v>
      </c>
      <c r="G19" s="320">
        <f t="shared" si="3"/>
        <v>-2.4182199600679883E-3</v>
      </c>
      <c r="H19" s="320">
        <f t="shared" ref="H19" si="6">(E19-I19)/I19</f>
        <v>-0.8634179817130021</v>
      </c>
      <c r="I19" s="326">
        <v>-4201.6892453549144</v>
      </c>
      <c r="J19" s="130">
        <v>-44787.780777981279</v>
      </c>
      <c r="K19" s="320">
        <f t="shared" si="5"/>
        <v>-1.3039459797710465E-2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3"/>
      <c r="B20" s="433"/>
      <c r="C20" s="331" t="s">
        <v>0</v>
      </c>
      <c r="D20" s="334">
        <v>2262141</v>
      </c>
      <c r="E20" s="332">
        <v>237313.06780265464</v>
      </c>
      <c r="F20" s="332">
        <v>2574977.5773</v>
      </c>
      <c r="G20" s="333">
        <f>SUM(G14:G19)</f>
        <v>1</v>
      </c>
      <c r="H20" s="333">
        <f>(E20-I20)/I20</f>
        <v>-0.26352616141114266</v>
      </c>
      <c r="I20" s="334">
        <v>322228.78175464511</v>
      </c>
      <c r="J20" s="332">
        <v>3434788.0536520183</v>
      </c>
      <c r="K20" s="333">
        <f>SUM(K14:K19)</f>
        <v>0.99999999999999989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4" t="str">
        <f>'3.1'!F5</f>
        <v>Září</v>
      </c>
      <c r="B21" s="434"/>
      <c r="C21" s="165" t="s">
        <v>4</v>
      </c>
      <c r="D21" s="325">
        <v>1243</v>
      </c>
      <c r="E21" s="321">
        <v>192098.78399999999</v>
      </c>
      <c r="F21" s="321">
        <v>2100894.0633999999</v>
      </c>
      <c r="G21" s="322">
        <f>E21/$E$27</f>
        <v>0.63279733537719729</v>
      </c>
      <c r="H21" s="322">
        <f>(E21-I21)/I21</f>
        <v>-0.21273769135354242</v>
      </c>
      <c r="I21" s="325">
        <v>244008.61299999995</v>
      </c>
      <c r="J21" s="321">
        <v>2601521.3258199999</v>
      </c>
      <c r="K21" s="322">
        <f>I21/$I$27</f>
        <v>0.68748611700843143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8"/>
      <c r="B22" s="428"/>
      <c r="C22" s="155" t="s">
        <v>5</v>
      </c>
      <c r="D22" s="326">
        <v>4344</v>
      </c>
      <c r="E22" s="130">
        <v>25195.912</v>
      </c>
      <c r="F22" s="130">
        <v>275554.45793999993</v>
      </c>
      <c r="G22" s="320">
        <f t="shared" ref="G22:G26" si="7">E22/$E$27</f>
        <v>8.2998474243326542E-2</v>
      </c>
      <c r="H22" s="320">
        <f t="shared" ref="H22:H26" si="8">(E22-I22)/I22</f>
        <v>-0.13453794741128372</v>
      </c>
      <c r="I22" s="326">
        <v>29112.671000000006</v>
      </c>
      <c r="J22" s="130">
        <v>310387.38942999998</v>
      </c>
      <c r="K22" s="320">
        <f t="shared" ref="K22:K26" si="9">I22/$I$27</f>
        <v>8.2023978151680957E-2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8"/>
      <c r="B23" s="428"/>
      <c r="C23" s="155" t="s">
        <v>6</v>
      </c>
      <c r="D23" s="326">
        <v>155063</v>
      </c>
      <c r="E23" s="130">
        <v>29929.543000000001</v>
      </c>
      <c r="F23" s="130">
        <v>327326.19208999997</v>
      </c>
      <c r="G23" s="320">
        <f t="shared" si="7"/>
        <v>9.8591644700141617E-2</v>
      </c>
      <c r="H23" s="320">
        <f t="shared" si="8"/>
        <v>0.28551909564047329</v>
      </c>
      <c r="I23" s="326">
        <v>23282.067999999999</v>
      </c>
      <c r="J23" s="130">
        <v>248223.42228200001</v>
      </c>
      <c r="K23" s="320">
        <f t="shared" si="9"/>
        <v>6.5596448946850322E-2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8"/>
      <c r="B24" s="428"/>
      <c r="C24" s="155" t="s">
        <v>7</v>
      </c>
      <c r="D24" s="326">
        <v>2098237</v>
      </c>
      <c r="E24" s="130">
        <v>50110.80000000001</v>
      </c>
      <c r="F24" s="130">
        <v>548038.9</v>
      </c>
      <c r="G24" s="320">
        <f t="shared" si="7"/>
        <v>0.1650712204072029</v>
      </c>
      <c r="H24" s="320">
        <f t="shared" si="8"/>
        <v>-7.3991773127577667E-2</v>
      </c>
      <c r="I24" s="326">
        <v>54114.853999999999</v>
      </c>
      <c r="J24" s="130">
        <v>576951.34100000001</v>
      </c>
      <c r="K24" s="320">
        <f t="shared" si="9"/>
        <v>0.15246679365755908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8"/>
      <c r="B25" s="428"/>
      <c r="C25" s="155" t="s">
        <v>93</v>
      </c>
      <c r="D25" s="326">
        <v>209</v>
      </c>
      <c r="E25" s="130">
        <v>5481.2269999999999</v>
      </c>
      <c r="F25" s="130">
        <v>59945.62934</v>
      </c>
      <c r="G25" s="320">
        <f t="shared" si="7"/>
        <v>1.8055844852185785E-2</v>
      </c>
      <c r="H25" s="320">
        <f t="shared" si="8"/>
        <v>-0.17767796436242</v>
      </c>
      <c r="I25" s="326">
        <v>6665.5479999999998</v>
      </c>
      <c r="J25" s="130">
        <v>71065.386167999997</v>
      </c>
      <c r="K25" s="320">
        <f t="shared" si="9"/>
        <v>1.8779958854375833E-2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8"/>
      <c r="B26" s="428"/>
      <c r="C26" s="155" t="s">
        <v>94</v>
      </c>
      <c r="D26" s="326"/>
      <c r="E26" s="130">
        <v>754.51924278857109</v>
      </c>
      <c r="F26" s="130">
        <v>8251.8225000000311</v>
      </c>
      <c r="G26" s="320">
        <f t="shared" si="7"/>
        <v>2.4854804199459604E-3</v>
      </c>
      <c r="H26" s="320">
        <f t="shared" si="8"/>
        <v>-1.3346031033047301</v>
      </c>
      <c r="I26" s="326">
        <v>-2254.9678569520456</v>
      </c>
      <c r="J26" s="130">
        <v>-24041.556187222403</v>
      </c>
      <c r="K26" s="320">
        <f t="shared" si="9"/>
        <v>-6.3532966188975717E-3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3"/>
      <c r="B27" s="433"/>
      <c r="C27" s="331" t="s">
        <v>0</v>
      </c>
      <c r="D27" s="334">
        <v>2259096</v>
      </c>
      <c r="E27" s="332">
        <v>303570.78524278855</v>
      </c>
      <c r="F27" s="332">
        <v>3320011.0652700001</v>
      </c>
      <c r="G27" s="333">
        <f>SUM(G21:G26)</f>
        <v>1</v>
      </c>
      <c r="H27" s="333">
        <f>(E27-I27)/I27</f>
        <v>-0.14469945213054769</v>
      </c>
      <c r="I27" s="334">
        <v>354928.78614304791</v>
      </c>
      <c r="J27" s="332">
        <v>3784107.3085127776</v>
      </c>
      <c r="K27" s="333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91" t="str">
        <f>'3.1'!G5</f>
        <v>III. čtvrtletí</v>
      </c>
      <c r="B28" s="434"/>
      <c r="C28" s="165" t="s">
        <v>4</v>
      </c>
      <c r="D28" s="325">
        <f>D21</f>
        <v>1243</v>
      </c>
      <c r="E28" s="321">
        <f>E7+E14+E21</f>
        <v>542885.00799999991</v>
      </c>
      <c r="F28" s="321">
        <f>F7+F14+F21</f>
        <v>5910481.3563000001</v>
      </c>
      <c r="G28" s="322">
        <f>E28/$E$34</f>
        <v>0.69943293215176672</v>
      </c>
      <c r="H28" s="322">
        <f>(E28-I28)/I28</f>
        <v>-0.24424738921990574</v>
      </c>
      <c r="I28" s="325">
        <f>I7+I14+I21</f>
        <v>718336.92699999991</v>
      </c>
      <c r="J28" s="321">
        <f>J7+J14+J21</f>
        <v>7662299.9437900009</v>
      </c>
      <c r="K28" s="322">
        <f>I28/$I$34</f>
        <v>0.73334946694766034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8"/>
      <c r="B29" s="428"/>
      <c r="C29" s="155" t="s">
        <v>5</v>
      </c>
      <c r="D29" s="326">
        <f t="shared" ref="D29:D32" si="10">D22</f>
        <v>4344</v>
      </c>
      <c r="E29" s="130">
        <f>E8+E15+E22</f>
        <v>61681.892999999996</v>
      </c>
      <c r="F29" s="130">
        <f t="shared" ref="F29" si="11">F8+F15+F22</f>
        <v>671782.74249999993</v>
      </c>
      <c r="G29" s="320">
        <f t="shared" ref="G29:G33" si="12">E29/$E$34</f>
        <v>7.9468665824092052E-2</v>
      </c>
      <c r="H29" s="320">
        <f t="shared" ref="H29:H31" si="13">(E29-I29)/I29</f>
        <v>-0.194911030609906</v>
      </c>
      <c r="I29" s="326">
        <f>I8+I15+I22</f>
        <v>76615.002000000008</v>
      </c>
      <c r="J29" s="130">
        <f t="shared" ref="J29" si="14">J8+J15+J22</f>
        <v>817176.87043000001</v>
      </c>
      <c r="K29" s="320">
        <f t="shared" ref="K29:K33" si="15">I29/$I$34</f>
        <v>7.8216180687720571E-2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8"/>
      <c r="B30" s="428"/>
      <c r="C30" s="155" t="s">
        <v>6</v>
      </c>
      <c r="D30" s="326">
        <f t="shared" si="10"/>
        <v>155063</v>
      </c>
      <c r="E30" s="130">
        <f t="shared" ref="E30:F33" si="16">E9+E16+E23</f>
        <v>59149.448000000004</v>
      </c>
      <c r="F30" s="130">
        <f t="shared" si="16"/>
        <v>644666.53581000003</v>
      </c>
      <c r="G30" s="320">
        <f t="shared" si="12"/>
        <v>7.620595750509003E-2</v>
      </c>
      <c r="H30" s="320">
        <f t="shared" si="13"/>
        <v>0.13983382551553886</v>
      </c>
      <c r="I30" s="326">
        <f t="shared" ref="I30:J32" si="17">I9+I16+I23</f>
        <v>51893.044999999998</v>
      </c>
      <c r="J30" s="130">
        <f t="shared" si="17"/>
        <v>553461.12763500004</v>
      </c>
      <c r="K30" s="320">
        <f t="shared" si="15"/>
        <v>5.2977558940167022E-2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8"/>
      <c r="B31" s="428"/>
      <c r="C31" s="155" t="s">
        <v>7</v>
      </c>
      <c r="D31" s="326">
        <f t="shared" si="10"/>
        <v>2098237</v>
      </c>
      <c r="E31" s="130">
        <f>E10+E17+E24</f>
        <v>95920.021000000008</v>
      </c>
      <c r="F31" s="130">
        <f t="shared" si="16"/>
        <v>1045543.192</v>
      </c>
      <c r="G31" s="320">
        <f t="shared" si="12"/>
        <v>0.12357980152601497</v>
      </c>
      <c r="H31" s="320">
        <f t="shared" si="13"/>
        <v>-0.22315709083538243</v>
      </c>
      <c r="I31" s="326">
        <f>I10+I17+I24</f>
        <v>123474.15400000001</v>
      </c>
      <c r="J31" s="130">
        <f t="shared" si="17"/>
        <v>1316901.841</v>
      </c>
      <c r="K31" s="320">
        <f t="shared" si="15"/>
        <v>0.12605464318238138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8"/>
      <c r="B32" s="428"/>
      <c r="C32" s="155" t="s">
        <v>93</v>
      </c>
      <c r="D32" s="326">
        <f t="shared" si="10"/>
        <v>209</v>
      </c>
      <c r="E32" s="130">
        <f>E11+E18+E25</f>
        <v>17222.559999999998</v>
      </c>
      <c r="F32" s="130">
        <f t="shared" si="16"/>
        <v>187457.94055999999</v>
      </c>
      <c r="G32" s="320">
        <f t="shared" si="12"/>
        <v>2.2188908263165247E-2</v>
      </c>
      <c r="H32" s="320">
        <f>(E32-I32)/I32</f>
        <v>-0.12168056588410633</v>
      </c>
      <c r="I32" s="326">
        <f>I11+I18+I25</f>
        <v>19608.538</v>
      </c>
      <c r="J32" s="130">
        <f t="shared" si="17"/>
        <v>209159.06896500001</v>
      </c>
      <c r="K32" s="320">
        <f t="shared" si="15"/>
        <v>2.00183372863455E-2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8"/>
      <c r="B33" s="428"/>
      <c r="C33" s="155" t="s">
        <v>94</v>
      </c>
      <c r="D33" s="326"/>
      <c r="E33" s="130">
        <f t="shared" si="16"/>
        <v>-680.1385183860184</v>
      </c>
      <c r="F33" s="130">
        <f t="shared" si="16"/>
        <v>-7331.583580000115</v>
      </c>
      <c r="G33" s="320">
        <f t="shared" si="12"/>
        <v>-8.7626527012897582E-4</v>
      </c>
      <c r="H33" s="320">
        <f t="shared" ref="H33" si="18">(E33-I33)/I33</f>
        <v>-0.93459490248068344</v>
      </c>
      <c r="I33" s="326">
        <f t="shared" ref="I33:J33" si="19">I12+I19+I26</f>
        <v>-10398.861009039058</v>
      </c>
      <c r="J33" s="130">
        <f t="shared" si="19"/>
        <v>-110930.10053548658</v>
      </c>
      <c r="K33" s="320">
        <f t="shared" si="15"/>
        <v>-1.0616187044274843E-2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3"/>
      <c r="B34" s="433"/>
      <c r="C34" s="331" t="s">
        <v>0</v>
      </c>
      <c r="D34" s="334">
        <f>SUM(D28:D33)</f>
        <v>2259096</v>
      </c>
      <c r="E34" s="332">
        <f>SUM(E28:E33)</f>
        <v>776178.79148161388</v>
      </c>
      <c r="F34" s="332">
        <f>SUM(F28:F33)</f>
        <v>8452600.1835899986</v>
      </c>
      <c r="G34" s="333">
        <f>SUM(G28:G33)</f>
        <v>1</v>
      </c>
      <c r="H34" s="333">
        <f>(E34-I34)/I34</f>
        <v>-0.20759983011548447</v>
      </c>
      <c r="I34" s="334">
        <f>SUM(I28:I33)</f>
        <v>979528.80499096087</v>
      </c>
      <c r="J34" s="332">
        <f>SUM(J28:J33)</f>
        <v>10448068.751284514</v>
      </c>
      <c r="K34" s="333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16"/>
      <c r="C35" s="102"/>
      <c r="D35" s="88"/>
      <c r="E35" s="88"/>
      <c r="F35" s="88"/>
      <c r="G35" s="488" t="s">
        <v>275</v>
      </c>
      <c r="H35" s="488"/>
      <c r="I35" s="488"/>
      <c r="J35" s="488"/>
      <c r="K35" s="488"/>
    </row>
    <row r="36" spans="1:20" ht="15" customHeight="1">
      <c r="A36" s="480" t="s">
        <v>274</v>
      </c>
      <c r="B36" s="480"/>
      <c r="C36" s="480"/>
      <c r="D36" s="480"/>
      <c r="E36" s="480"/>
      <c r="F36" s="120"/>
      <c r="G36" s="488"/>
      <c r="H36" s="488"/>
      <c r="I36" s="488"/>
      <c r="J36" s="488"/>
      <c r="K36" s="488"/>
      <c r="M36" s="94"/>
      <c r="N36" s="94"/>
      <c r="O36" s="94"/>
      <c r="P36" s="94"/>
      <c r="Q36" s="94"/>
      <c r="R36" s="94"/>
      <c r="S36" s="94"/>
    </row>
    <row r="37" spans="1:20" ht="15" customHeight="1">
      <c r="A37" s="481" t="str">
        <f>A28</f>
        <v>III. čtvrtletí</v>
      </c>
      <c r="B37" s="482"/>
      <c r="C37" s="482"/>
      <c r="D37" s="482"/>
      <c r="E37" s="482"/>
      <c r="F37" s="126"/>
      <c r="G37" s="483" t="str">
        <f>A28</f>
        <v>III. čtvrtletí</v>
      </c>
      <c r="H37" s="483"/>
      <c r="I37" s="483"/>
      <c r="J37" s="483"/>
      <c r="K37" s="483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Červenec</v>
      </c>
      <c r="C42" s="78">
        <f>E13</f>
        <v>235294.93843617072</v>
      </c>
      <c r="D42" s="78">
        <f>I13</f>
        <v>302371.2370932679</v>
      </c>
      <c r="E42" s="76"/>
      <c r="F42" s="76"/>
      <c r="G42" s="76"/>
      <c r="H42" s="95" t="str">
        <f>A7</f>
        <v>Červenec</v>
      </c>
      <c r="I42" s="96">
        <f>E13/E34</f>
        <v>0.30314528175528538</v>
      </c>
      <c r="J42" s="96">
        <f>I13/I34</f>
        <v>0.30869050052699387</v>
      </c>
      <c r="K42" s="95"/>
    </row>
    <row r="43" spans="1:20" ht="15" customHeight="1">
      <c r="A43" s="95"/>
      <c r="B43" s="95" t="str">
        <f>A14</f>
        <v>Srpen</v>
      </c>
      <c r="C43" s="78">
        <f>E20</f>
        <v>237313.06780265464</v>
      </c>
      <c r="D43" s="78">
        <f>I20</f>
        <v>322228.78175464511</v>
      </c>
      <c r="E43" s="76"/>
      <c r="F43" s="76"/>
      <c r="G43" s="76"/>
      <c r="H43" s="95" t="str">
        <f>A14</f>
        <v>Srpen</v>
      </c>
      <c r="I43" s="96">
        <f>E20/E34</f>
        <v>0.3057453648658166</v>
      </c>
      <c r="J43" s="96">
        <f>I20/I34</f>
        <v>0.32896304847065588</v>
      </c>
      <c r="K43" s="95"/>
    </row>
    <row r="44" spans="1:20" ht="15" customHeight="1">
      <c r="A44" s="95"/>
      <c r="B44" s="95" t="str">
        <f>A21</f>
        <v>Září</v>
      </c>
      <c r="C44" s="78">
        <f>E27</f>
        <v>303570.78524278855</v>
      </c>
      <c r="D44" s="78">
        <f>I27</f>
        <v>354928.78614304791</v>
      </c>
      <c r="E44" s="76"/>
      <c r="F44" s="76"/>
      <c r="G44" s="76"/>
      <c r="H44" s="95" t="str">
        <f>A21</f>
        <v>Září</v>
      </c>
      <c r="I44" s="96">
        <f>E27/E34</f>
        <v>0.39110935337889807</v>
      </c>
      <c r="J44" s="96">
        <f>I27/I34</f>
        <v>0.36234645100235024</v>
      </c>
      <c r="K44" s="95"/>
    </row>
    <row r="45" spans="1:20" ht="15" customHeight="1">
      <c r="A45" s="95"/>
      <c r="B45" s="95"/>
      <c r="C45" s="78">
        <f>SUM(C42:C44)</f>
        <v>776178.79148161388</v>
      </c>
      <c r="D45" s="78">
        <f>SUM(D42:D44)</f>
        <v>979528.80499096098</v>
      </c>
      <c r="E45" s="95"/>
      <c r="F45" s="95"/>
      <c r="G45" s="95"/>
      <c r="H45" s="95"/>
      <c r="I45" s="97">
        <f>SUM(I42:I44)</f>
        <v>1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303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68"/>
      <c r="B2" s="468"/>
      <c r="C2" s="468"/>
      <c r="D2" s="328"/>
      <c r="E2" s="328"/>
      <c r="F2" s="329"/>
      <c r="G2" s="330"/>
      <c r="H2" s="330"/>
      <c r="I2" s="330"/>
      <c r="J2" s="292"/>
      <c r="K2" s="292"/>
    </row>
    <row r="3" spans="1:21" ht="15" customHeight="1">
      <c r="A3" s="478" t="s">
        <v>212</v>
      </c>
      <c r="B3" s="478"/>
      <c r="C3" s="478"/>
      <c r="D3" s="360">
        <f>'3.1'!A4</f>
        <v>2022</v>
      </c>
      <c r="E3" s="473"/>
      <c r="F3" s="473"/>
      <c r="G3" s="473"/>
      <c r="H3" s="359"/>
      <c r="I3" s="472">
        <f>D3-1</f>
        <v>2021</v>
      </c>
      <c r="J3" s="473"/>
      <c r="K3" s="473"/>
    </row>
    <row r="4" spans="1:21" ht="50.1" customHeight="1">
      <c r="A4" s="479"/>
      <c r="B4" s="479"/>
      <c r="C4" s="479"/>
      <c r="D4" s="362"/>
      <c r="E4" s="475"/>
      <c r="F4" s="475"/>
      <c r="G4" s="475"/>
      <c r="H4" s="175"/>
      <c r="I4" s="474"/>
      <c r="J4" s="475"/>
      <c r="K4" s="475"/>
    </row>
    <row r="5" spans="1:21" ht="24.95" customHeight="1">
      <c r="A5" s="478" t="s">
        <v>159</v>
      </c>
      <c r="B5" s="478"/>
      <c r="C5" s="489" t="s">
        <v>185</v>
      </c>
      <c r="D5" s="476" t="s">
        <v>160</v>
      </c>
      <c r="E5" s="470" t="s">
        <v>60</v>
      </c>
      <c r="F5" s="470"/>
      <c r="G5" s="471" t="s">
        <v>33</v>
      </c>
      <c r="H5" s="471" t="s">
        <v>273</v>
      </c>
      <c r="I5" s="469" t="s">
        <v>60</v>
      </c>
      <c r="J5" s="470"/>
      <c r="K5" s="471" t="s">
        <v>33</v>
      </c>
    </row>
    <row r="6" spans="1:21" ht="22.5" customHeight="1">
      <c r="A6" s="479"/>
      <c r="B6" s="479"/>
      <c r="C6" s="490"/>
      <c r="D6" s="477"/>
      <c r="E6" s="222" t="s">
        <v>264</v>
      </c>
      <c r="F6" s="222" t="s">
        <v>265</v>
      </c>
      <c r="G6" s="467"/>
      <c r="H6" s="467"/>
      <c r="I6" s="224" t="s">
        <v>264</v>
      </c>
      <c r="J6" s="222" t="s">
        <v>265</v>
      </c>
      <c r="K6" s="467"/>
    </row>
    <row r="7" spans="1:21" ht="12.95" customHeight="1">
      <c r="A7" s="434" t="str">
        <f>'3.1'!D5</f>
        <v>Červenec</v>
      </c>
      <c r="B7" s="434"/>
      <c r="C7" s="165" t="s">
        <v>4</v>
      </c>
      <c r="D7" s="325">
        <v>101</v>
      </c>
      <c r="E7" s="321">
        <v>6540.8746499999997</v>
      </c>
      <c r="F7" s="321">
        <v>70757.878189999989</v>
      </c>
      <c r="G7" s="322">
        <f t="shared" ref="G7:G12" si="0">E7/$E$13</f>
        <v>0.64469255445636631</v>
      </c>
      <c r="H7" s="322">
        <f>(E7-I7)/I7</f>
        <v>-5.8534755065695832E-2</v>
      </c>
      <c r="I7" s="325">
        <v>6947.5476500000004</v>
      </c>
      <c r="J7" s="321">
        <v>74241.494189999998</v>
      </c>
      <c r="K7" s="322">
        <f>I7/$I$13</f>
        <v>0.61693079589076738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8"/>
      <c r="B8" s="428"/>
      <c r="C8" s="155" t="s">
        <v>5</v>
      </c>
      <c r="D8" s="326">
        <v>345</v>
      </c>
      <c r="E8" s="130">
        <v>1428.0727900000002</v>
      </c>
      <c r="F8" s="130">
        <v>15448.60584</v>
      </c>
      <c r="G8" s="320">
        <f t="shared" si="0"/>
        <v>0.14075608297045258</v>
      </c>
      <c r="H8" s="320">
        <f t="shared" ref="H8:H11" si="1">(E8-I8)/I8</f>
        <v>-0.2201710933862826</v>
      </c>
      <c r="I8" s="326">
        <v>1831.26424</v>
      </c>
      <c r="J8" s="130">
        <v>19568.889629999998</v>
      </c>
      <c r="K8" s="320">
        <f t="shared" ref="K8:K12" si="2">I8/$I$13</f>
        <v>0.1626132503127922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8"/>
      <c r="B9" s="428"/>
      <c r="C9" s="155" t="s">
        <v>6</v>
      </c>
      <c r="D9" s="326">
        <v>10678</v>
      </c>
      <c r="E9" s="130">
        <v>657.1384599999999</v>
      </c>
      <c r="F9" s="130">
        <v>7108.7924299999995</v>
      </c>
      <c r="G9" s="320">
        <f t="shared" si="0"/>
        <v>6.4769972683840174E-2</v>
      </c>
      <c r="H9" s="320">
        <f t="shared" si="1"/>
        <v>-0.11106610713598054</v>
      </c>
      <c r="I9" s="326">
        <v>739.24333999999999</v>
      </c>
      <c r="J9" s="130">
        <v>7899.5543400000006</v>
      </c>
      <c r="K9" s="320">
        <f t="shared" si="2"/>
        <v>6.5643591822381969E-2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8"/>
      <c r="B10" s="428"/>
      <c r="C10" s="155" t="s">
        <v>7</v>
      </c>
      <c r="D10" s="326">
        <v>102770</v>
      </c>
      <c r="E10" s="130">
        <v>1002.30209</v>
      </c>
      <c r="F10" s="130">
        <v>10844.239609999999</v>
      </c>
      <c r="G10" s="320">
        <f t="shared" si="0"/>
        <v>9.8790563848988419E-2</v>
      </c>
      <c r="H10" s="320">
        <f t="shared" si="1"/>
        <v>-0.11106611118717197</v>
      </c>
      <c r="I10" s="326">
        <v>1127.53277</v>
      </c>
      <c r="J10" s="130">
        <v>12049.1152</v>
      </c>
      <c r="K10" s="320">
        <f t="shared" si="2"/>
        <v>0.10012305409506929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8"/>
      <c r="B11" s="428"/>
      <c r="C11" s="155" t="s">
        <v>93</v>
      </c>
      <c r="D11" s="326">
        <v>17</v>
      </c>
      <c r="E11" s="130">
        <v>386.79700000000003</v>
      </c>
      <c r="F11" s="130">
        <v>4183.8059999999996</v>
      </c>
      <c r="G11" s="320">
        <f t="shared" si="0"/>
        <v>3.8124128550003501E-2</v>
      </c>
      <c r="H11" s="320">
        <f t="shared" si="1"/>
        <v>-5.5011555920393619E-2</v>
      </c>
      <c r="I11" s="326">
        <v>409.31400000000002</v>
      </c>
      <c r="J11" s="130">
        <v>4373.8679999999995</v>
      </c>
      <c r="K11" s="320">
        <f t="shared" si="2"/>
        <v>3.6346409482953819E-2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8"/>
      <c r="B12" s="428"/>
      <c r="C12" s="155" t="s">
        <v>94</v>
      </c>
      <c r="D12" s="326"/>
      <c r="E12" s="130">
        <v>130.542</v>
      </c>
      <c r="F12" s="130">
        <v>1410.681</v>
      </c>
      <c r="G12" s="320">
        <f t="shared" si="0"/>
        <v>1.2866697490349089E-2</v>
      </c>
      <c r="H12" s="320">
        <f>(E12-I12)/I12</f>
        <v>-0.36804345300336938</v>
      </c>
      <c r="I12" s="326">
        <v>206.56800000000001</v>
      </c>
      <c r="J12" s="130">
        <v>2207.3879999999999</v>
      </c>
      <c r="K12" s="320">
        <f t="shared" si="2"/>
        <v>1.8342898396035329E-2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3"/>
      <c r="B13" s="433"/>
      <c r="C13" s="331" t="s">
        <v>0</v>
      </c>
      <c r="D13" s="334">
        <v>113911</v>
      </c>
      <c r="E13" s="332">
        <v>10145.726989999999</v>
      </c>
      <c r="F13" s="332">
        <v>109754.00306999999</v>
      </c>
      <c r="G13" s="333">
        <f>SUM(G7:G12)</f>
        <v>1.0000000000000002</v>
      </c>
      <c r="H13" s="333">
        <f>(E13-I13)/I13</f>
        <v>-9.9076142812616994E-2</v>
      </c>
      <c r="I13" s="334">
        <v>11261.470000000001</v>
      </c>
      <c r="J13" s="332">
        <v>120340.30936</v>
      </c>
      <c r="K13" s="333">
        <f>SUM(K7:K12)</f>
        <v>1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4" t="str">
        <f>'3.1'!E5</f>
        <v>Srpen</v>
      </c>
      <c r="B14" s="434"/>
      <c r="C14" s="165" t="s">
        <v>4</v>
      </c>
      <c r="D14" s="325">
        <v>101</v>
      </c>
      <c r="E14" s="321">
        <v>6923.7413300000007</v>
      </c>
      <c r="F14" s="321">
        <v>75246.526889999994</v>
      </c>
      <c r="G14" s="322">
        <f>E14/$E$20</f>
        <v>0.64954873533089863</v>
      </c>
      <c r="H14" s="322">
        <f>(E14-I14)/I14</f>
        <v>-6.8451224797826948E-2</v>
      </c>
      <c r="I14" s="325">
        <v>7432.5054300000002</v>
      </c>
      <c r="J14" s="321">
        <v>79246.860310000004</v>
      </c>
      <c r="K14" s="322">
        <f>I14/$I$20</f>
        <v>0.58004791436543934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8"/>
      <c r="B15" s="428"/>
      <c r="C15" s="155" t="s">
        <v>5</v>
      </c>
      <c r="D15" s="326">
        <v>344</v>
      </c>
      <c r="E15" s="130">
        <v>1632.39706</v>
      </c>
      <c r="F15" s="130">
        <v>17740.727910000001</v>
      </c>
      <c r="G15" s="320">
        <f t="shared" ref="G15:G19" si="3">E15/$E$20</f>
        <v>0.15314284508096679</v>
      </c>
      <c r="H15" s="320">
        <f t="shared" ref="H15:H17" si="4">(E15-I15)/I15</f>
        <v>-0.26371815657607361</v>
      </c>
      <c r="I15" s="326">
        <v>2217.08178</v>
      </c>
      <c r="J15" s="130">
        <v>23638.969369999999</v>
      </c>
      <c r="K15" s="320">
        <f t="shared" ref="K15:K19" si="5">I15/$I$20</f>
        <v>0.17302559339894297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8"/>
      <c r="B16" s="428"/>
      <c r="C16" s="155" t="s">
        <v>6</v>
      </c>
      <c r="D16" s="326">
        <v>10638</v>
      </c>
      <c r="E16" s="130">
        <v>607.32762000000002</v>
      </c>
      <c r="F16" s="130">
        <v>6600.3758699999998</v>
      </c>
      <c r="G16" s="320">
        <f t="shared" si="3"/>
        <v>5.6976260189449415E-2</v>
      </c>
      <c r="H16" s="320">
        <f t="shared" si="4"/>
        <v>-0.38694501805048359</v>
      </c>
      <c r="I16" s="326">
        <v>990.65767000000005</v>
      </c>
      <c r="J16" s="130">
        <v>10562.590230000002</v>
      </c>
      <c r="K16" s="320">
        <f>I16/$I$20</f>
        <v>7.7312949280095675E-2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8"/>
      <c r="B17" s="428"/>
      <c r="C17" s="155" t="s">
        <v>7</v>
      </c>
      <c r="D17" s="326">
        <v>102608</v>
      </c>
      <c r="E17" s="130">
        <v>926.32799</v>
      </c>
      <c r="F17" s="130">
        <v>10068.614969999999</v>
      </c>
      <c r="G17" s="320">
        <f t="shared" si="3"/>
        <v>8.6903185102975719E-2</v>
      </c>
      <c r="H17" s="320">
        <f t="shared" si="4"/>
        <v>-0.38694501429583417</v>
      </c>
      <c r="I17" s="326">
        <v>1511.0031099999999</v>
      </c>
      <c r="J17" s="130">
        <v>16110.191419999999</v>
      </c>
      <c r="K17" s="320">
        <f>I17/$I$20</f>
        <v>0.11792177090346133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8"/>
      <c r="B18" s="428"/>
      <c r="C18" s="155" t="s">
        <v>93</v>
      </c>
      <c r="D18" s="326">
        <v>17</v>
      </c>
      <c r="E18" s="130">
        <v>374.529</v>
      </c>
      <c r="F18" s="130">
        <v>4069.0679999999998</v>
      </c>
      <c r="G18" s="320">
        <f t="shared" si="3"/>
        <v>3.5136326835414303E-2</v>
      </c>
      <c r="H18" s="320">
        <f>(E18-I18)/I18</f>
        <v>-0.12208311553147949</v>
      </c>
      <c r="I18" s="326">
        <v>426.61099999999999</v>
      </c>
      <c r="J18" s="130">
        <v>4548.9949999999999</v>
      </c>
      <c r="K18" s="320">
        <f>I18/$I$20</f>
        <v>3.3293594350640714E-2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8"/>
      <c r="B19" s="428"/>
      <c r="C19" s="155" t="s">
        <v>94</v>
      </c>
      <c r="D19" s="326"/>
      <c r="E19" s="130">
        <v>194.98700000000002</v>
      </c>
      <c r="F19" s="130">
        <v>2119.0910000000003</v>
      </c>
      <c r="G19" s="320">
        <f t="shared" si="3"/>
        <v>1.8292647460295276E-2</v>
      </c>
      <c r="H19" s="320">
        <f t="shared" ref="H19" si="6">(E19-I19)/I19</f>
        <v>-0.17289721608334344</v>
      </c>
      <c r="I19" s="326">
        <v>235.74699999999999</v>
      </c>
      <c r="J19" s="130">
        <v>2513.5819999999999</v>
      </c>
      <c r="K19" s="320">
        <f t="shared" si="5"/>
        <v>1.8398177701420017E-2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3"/>
      <c r="B20" s="433"/>
      <c r="C20" s="331" t="s">
        <v>0</v>
      </c>
      <c r="D20" s="334">
        <v>113708</v>
      </c>
      <c r="E20" s="332">
        <v>10659.31</v>
      </c>
      <c r="F20" s="332">
        <v>115844.40463999999</v>
      </c>
      <c r="G20" s="333">
        <f>SUM(G14:G19)</f>
        <v>1.0000000000000002</v>
      </c>
      <c r="H20" s="333">
        <f>(E20-I20)/I20</f>
        <v>-0.16812566202529228</v>
      </c>
      <c r="I20" s="334">
        <v>12813.60599</v>
      </c>
      <c r="J20" s="332">
        <v>136621.18833</v>
      </c>
      <c r="K20" s="333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4" t="str">
        <f>'3.1'!F5</f>
        <v>Září</v>
      </c>
      <c r="B21" s="434"/>
      <c r="C21" s="165" t="s">
        <v>4</v>
      </c>
      <c r="D21" s="325">
        <v>100</v>
      </c>
      <c r="E21" s="321">
        <v>8091.4710599999999</v>
      </c>
      <c r="F21" s="321">
        <v>88009.312780000007</v>
      </c>
      <c r="G21" s="322">
        <f>E21/$E$27</f>
        <v>0.53125154719810941</v>
      </c>
      <c r="H21" s="322">
        <f>(E21-I21)/I21</f>
        <v>1.8547021484259015E-2</v>
      </c>
      <c r="I21" s="325">
        <v>7944.1310899999999</v>
      </c>
      <c r="J21" s="321">
        <v>84811.543860000005</v>
      </c>
      <c r="K21" s="322">
        <f>I21/$I$27</f>
        <v>0.51710170417942103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8"/>
      <c r="B22" s="428"/>
      <c r="C22" s="155" t="s">
        <v>5</v>
      </c>
      <c r="D22" s="326">
        <v>344</v>
      </c>
      <c r="E22" s="130">
        <v>2023.77817</v>
      </c>
      <c r="F22" s="130">
        <v>22012.230500000001</v>
      </c>
      <c r="G22" s="320">
        <f t="shared" ref="G22:G26" si="7">E22/$E$27</f>
        <v>0.13287266011654728</v>
      </c>
      <c r="H22" s="320">
        <f t="shared" ref="H22:H26" si="8">(E22-I22)/I22</f>
        <v>-0.19071824106970561</v>
      </c>
      <c r="I22" s="326">
        <v>2500.7089900000001</v>
      </c>
      <c r="J22" s="130">
        <v>26697.569240000001</v>
      </c>
      <c r="K22" s="320">
        <f t="shared" ref="K22:K26" si="9">I22/$I$27</f>
        <v>0.16277688091194359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8"/>
      <c r="B23" s="428"/>
      <c r="C23" s="155" t="s">
        <v>6</v>
      </c>
      <c r="D23" s="326">
        <v>10646</v>
      </c>
      <c r="E23" s="130">
        <v>1756.9192500000001</v>
      </c>
      <c r="F23" s="130">
        <v>19109.659240000001</v>
      </c>
      <c r="G23" s="320">
        <f t="shared" si="7"/>
        <v>0.11535183935572797</v>
      </c>
      <c r="H23" s="320">
        <f t="shared" si="8"/>
        <v>5.8952542201725765E-2</v>
      </c>
      <c r="I23" s="326">
        <v>1659.1104700000001</v>
      </c>
      <c r="J23" s="130">
        <v>17712.663430000001</v>
      </c>
      <c r="K23" s="320">
        <f t="shared" si="9"/>
        <v>0.10799530392176851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8"/>
      <c r="B24" s="428"/>
      <c r="C24" s="155" t="s">
        <v>7</v>
      </c>
      <c r="D24" s="326">
        <v>102424</v>
      </c>
      <c r="E24" s="130">
        <v>2679.7455099999997</v>
      </c>
      <c r="F24" s="130">
        <v>29145.780009999999</v>
      </c>
      <c r="G24" s="320">
        <f t="shared" si="7"/>
        <v>0.17594068343422914</v>
      </c>
      <c r="H24" s="320">
        <f t="shared" si="8"/>
        <v>5.8952534678417018E-2</v>
      </c>
      <c r="I24" s="326">
        <v>2530.5624400000002</v>
      </c>
      <c r="J24" s="130">
        <v>27016.888619999998</v>
      </c>
      <c r="K24" s="320">
        <f t="shared" si="9"/>
        <v>0.16472011041001514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8"/>
      <c r="B25" s="428"/>
      <c r="C25" s="155" t="s">
        <v>93</v>
      </c>
      <c r="D25" s="326">
        <v>17</v>
      </c>
      <c r="E25" s="130">
        <v>343.09500000000003</v>
      </c>
      <c r="F25" s="130">
        <v>3726.616</v>
      </c>
      <c r="G25" s="320">
        <f t="shared" si="7"/>
        <v>2.2526157262921155E-2</v>
      </c>
      <c r="H25" s="320">
        <f t="shared" si="8"/>
        <v>-0.22624403775244406</v>
      </c>
      <c r="I25" s="326">
        <v>443.41500000000002</v>
      </c>
      <c r="J25" s="130">
        <v>4733.9059999999999</v>
      </c>
      <c r="K25" s="320">
        <f t="shared" si="9"/>
        <v>2.8862898857163491E-2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8"/>
      <c r="B26" s="428"/>
      <c r="C26" s="155" t="s">
        <v>94</v>
      </c>
      <c r="D26" s="326"/>
      <c r="E26" s="130">
        <v>335.95099999999996</v>
      </c>
      <c r="F26" s="130">
        <v>3660.6553999999996</v>
      </c>
      <c r="G26" s="320">
        <f t="shared" si="7"/>
        <v>2.2057112632465129E-2</v>
      </c>
      <c r="H26" s="320">
        <f t="shared" si="8"/>
        <v>0.17929681192386787</v>
      </c>
      <c r="I26" s="326">
        <v>284.87400000000002</v>
      </c>
      <c r="J26" s="130">
        <v>3041.3269999999998</v>
      </c>
      <c r="K26" s="320">
        <f t="shared" si="9"/>
        <v>1.8543101719688312E-2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3"/>
      <c r="B27" s="433"/>
      <c r="C27" s="331" t="s">
        <v>0</v>
      </c>
      <c r="D27" s="334">
        <v>113531</v>
      </c>
      <c r="E27" s="332">
        <v>15230.959989999999</v>
      </c>
      <c r="F27" s="332">
        <v>165664.25393000001</v>
      </c>
      <c r="G27" s="333">
        <f>SUM(G21:G26)</f>
        <v>1.0000000000000002</v>
      </c>
      <c r="H27" s="333">
        <f>(E27-I27)/I27</f>
        <v>-8.5818980213257668E-3</v>
      </c>
      <c r="I27" s="334">
        <v>15362.80199</v>
      </c>
      <c r="J27" s="332">
        <v>164013.89814999999</v>
      </c>
      <c r="K27" s="333">
        <f>SUM(K21:K26)</f>
        <v>1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91" t="str">
        <f>'3.1'!G5</f>
        <v>III. čtvrtletí</v>
      </c>
      <c r="B28" s="434"/>
      <c r="C28" s="165" t="s">
        <v>4</v>
      </c>
      <c r="D28" s="325">
        <f>D21</f>
        <v>100</v>
      </c>
      <c r="E28" s="321">
        <f>E7+E14+E21</f>
        <v>21556.087039999999</v>
      </c>
      <c r="F28" s="321">
        <f>F7+F14+F21</f>
        <v>234013.71786</v>
      </c>
      <c r="G28" s="322">
        <f>E28/$E$34</f>
        <v>0.59818206367271143</v>
      </c>
      <c r="H28" s="322">
        <f>(E28-I28)/I28</f>
        <v>-3.4406503913016313E-2</v>
      </c>
      <c r="I28" s="325">
        <f>I7+I14+I21</f>
        <v>22324.18417</v>
      </c>
      <c r="J28" s="321">
        <f>J7+J14+J21</f>
        <v>238299.89836000002</v>
      </c>
      <c r="K28" s="322">
        <f>I28/$I$34</f>
        <v>0.56605946651899453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8"/>
      <c r="B29" s="428"/>
      <c r="C29" s="155" t="s">
        <v>5</v>
      </c>
      <c r="D29" s="326">
        <f t="shared" ref="D29:D32" si="10">D22</f>
        <v>344</v>
      </c>
      <c r="E29" s="130">
        <f>E8+E15+E22</f>
        <v>5084.2480200000009</v>
      </c>
      <c r="F29" s="130">
        <f t="shared" ref="F29" si="11">F8+F15+F22</f>
        <v>55201.56425000001</v>
      </c>
      <c r="G29" s="320">
        <f t="shared" ref="G29:G33" si="12">E29/$E$34</f>
        <v>0.14108803546691828</v>
      </c>
      <c r="H29" s="320">
        <f t="shared" ref="H29:H31" si="13">(E29-I29)/I29</f>
        <v>-0.22366692412314904</v>
      </c>
      <c r="I29" s="326">
        <f>I8+I15+I22</f>
        <v>6549.05501</v>
      </c>
      <c r="J29" s="130">
        <f t="shared" ref="J29" si="14">J8+J15+J22</f>
        <v>69905.428239999994</v>
      </c>
      <c r="K29" s="320">
        <f t="shared" ref="K29:K33" si="15">I29/$I$34</f>
        <v>0.16606002516974167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8"/>
      <c r="B30" s="428"/>
      <c r="C30" s="155" t="s">
        <v>6</v>
      </c>
      <c r="D30" s="326">
        <f t="shared" si="10"/>
        <v>10646</v>
      </c>
      <c r="E30" s="130">
        <f t="shared" ref="E30:F33" si="16">E9+E16+E23</f>
        <v>3021.3853300000001</v>
      </c>
      <c r="F30" s="130">
        <f t="shared" si="16"/>
        <v>32818.827539999998</v>
      </c>
      <c r="G30" s="320">
        <f t="shared" si="12"/>
        <v>8.3843533777541113E-2</v>
      </c>
      <c r="H30" s="320">
        <f t="shared" si="13"/>
        <v>-0.10847592348669177</v>
      </c>
      <c r="I30" s="326">
        <f t="shared" ref="I30:J32" si="17">I9+I16+I23</f>
        <v>3389.0114800000001</v>
      </c>
      <c r="J30" s="130">
        <f t="shared" si="17"/>
        <v>36174.808000000005</v>
      </c>
      <c r="K30" s="320">
        <f t="shared" si="15"/>
        <v>8.5932906474295051E-2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8"/>
      <c r="B31" s="428"/>
      <c r="C31" s="155" t="s">
        <v>7</v>
      </c>
      <c r="D31" s="326">
        <f t="shared" si="10"/>
        <v>102424</v>
      </c>
      <c r="E31" s="130">
        <f>E10+E17+E24</f>
        <v>4608.3755899999996</v>
      </c>
      <c r="F31" s="130">
        <f t="shared" si="16"/>
        <v>50058.634590000001</v>
      </c>
      <c r="G31" s="320">
        <f t="shared" si="12"/>
        <v>0.12788256122225924</v>
      </c>
      <c r="H31" s="320">
        <f t="shared" si="13"/>
        <v>-0.10847592660996248</v>
      </c>
      <c r="I31" s="326">
        <f>I10+I17+I24</f>
        <v>5169.0983200000001</v>
      </c>
      <c r="J31" s="130">
        <f t="shared" si="17"/>
        <v>55176.195240000001</v>
      </c>
      <c r="K31" s="320">
        <f t="shared" si="15"/>
        <v>0.13106938265343251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8"/>
      <c r="B32" s="428"/>
      <c r="C32" s="155" t="s">
        <v>93</v>
      </c>
      <c r="D32" s="326">
        <f t="shared" si="10"/>
        <v>17</v>
      </c>
      <c r="E32" s="130">
        <f>E11+E18+E25</f>
        <v>1104.421</v>
      </c>
      <c r="F32" s="130">
        <f t="shared" si="16"/>
        <v>11979.49</v>
      </c>
      <c r="G32" s="320">
        <f t="shared" si="12"/>
        <v>3.06477159661478E-2</v>
      </c>
      <c r="H32" s="320">
        <f>(E32-I32)/I32</f>
        <v>-0.13672596807728976</v>
      </c>
      <c r="I32" s="326">
        <f>I11+I18+I25</f>
        <v>1279.3399999999999</v>
      </c>
      <c r="J32" s="130">
        <f t="shared" si="17"/>
        <v>13656.769</v>
      </c>
      <c r="K32" s="320">
        <f t="shared" si="15"/>
        <v>3.2439372134798618E-2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8"/>
      <c r="B33" s="428"/>
      <c r="C33" s="155" t="s">
        <v>94</v>
      </c>
      <c r="D33" s="326"/>
      <c r="E33" s="130">
        <f t="shared" si="16"/>
        <v>661.48</v>
      </c>
      <c r="F33" s="130">
        <f t="shared" si="16"/>
        <v>7190.4274000000005</v>
      </c>
      <c r="G33" s="320">
        <f t="shared" si="12"/>
        <v>1.8356089894422008E-2</v>
      </c>
      <c r="H33" s="320">
        <f t="shared" ref="H33" si="18">(E33-I33)/I33</f>
        <v>-9.0360277726973387E-2</v>
      </c>
      <c r="I33" s="326">
        <f t="shared" ref="I33:J33" si="19">I12+I19+I26</f>
        <v>727.18900000000008</v>
      </c>
      <c r="J33" s="130">
        <f t="shared" si="19"/>
        <v>7762.2969999999987</v>
      </c>
      <c r="K33" s="320">
        <f t="shared" si="15"/>
        <v>1.8438847048737689E-2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3"/>
      <c r="B34" s="433"/>
      <c r="C34" s="331" t="s">
        <v>0</v>
      </c>
      <c r="D34" s="334">
        <f>SUM(D28:D33)</f>
        <v>113531</v>
      </c>
      <c r="E34" s="332">
        <f>SUM(E28:E33)</f>
        <v>36035.996980000004</v>
      </c>
      <c r="F34" s="332">
        <f>SUM(F28:F33)</f>
        <v>391262.66164000001</v>
      </c>
      <c r="G34" s="333">
        <f>SUM(G28:G33)</f>
        <v>1</v>
      </c>
      <c r="H34" s="333">
        <f>(E34-I34)/I34</f>
        <v>-8.6259230319774782E-2</v>
      </c>
      <c r="I34" s="334">
        <f>SUM(I28:I33)</f>
        <v>39437.877979999997</v>
      </c>
      <c r="J34" s="332">
        <f>SUM(J28:J33)</f>
        <v>420975.39584000001</v>
      </c>
      <c r="K34" s="333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16"/>
      <c r="C35" s="102"/>
      <c r="D35" s="88"/>
      <c r="E35" s="88"/>
      <c r="F35" s="88"/>
      <c r="G35" s="488" t="s">
        <v>275</v>
      </c>
      <c r="H35" s="488"/>
      <c r="I35" s="488"/>
      <c r="J35" s="488"/>
      <c r="K35" s="488"/>
    </row>
    <row r="36" spans="1:20" ht="15" customHeight="1">
      <c r="A36" s="480" t="s">
        <v>274</v>
      </c>
      <c r="B36" s="480"/>
      <c r="C36" s="480"/>
      <c r="D36" s="480"/>
      <c r="E36" s="480"/>
      <c r="F36" s="120"/>
      <c r="G36" s="488"/>
      <c r="H36" s="488"/>
      <c r="I36" s="488"/>
      <c r="J36" s="488"/>
      <c r="K36" s="488"/>
      <c r="M36" s="94"/>
      <c r="N36" s="94"/>
      <c r="O36" s="94"/>
      <c r="P36" s="94"/>
      <c r="Q36" s="94"/>
      <c r="R36" s="94"/>
      <c r="S36" s="94"/>
    </row>
    <row r="37" spans="1:20" ht="15" customHeight="1">
      <c r="A37" s="481" t="str">
        <f>A28</f>
        <v>III. čtvrtletí</v>
      </c>
      <c r="B37" s="482"/>
      <c r="C37" s="482"/>
      <c r="D37" s="482"/>
      <c r="E37" s="482"/>
      <c r="F37" s="126"/>
      <c r="G37" s="483" t="str">
        <f>A28</f>
        <v>III. čtvrtletí</v>
      </c>
      <c r="H37" s="483"/>
      <c r="I37" s="483"/>
      <c r="J37" s="483"/>
      <c r="K37" s="483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Červenec</v>
      </c>
      <c r="C42" s="78">
        <f>E13</f>
        <v>10145.726989999999</v>
      </c>
      <c r="D42" s="78">
        <f>I13</f>
        <v>11261.470000000001</v>
      </c>
      <c r="E42" s="76"/>
      <c r="F42" s="76"/>
      <c r="G42" s="76"/>
      <c r="H42" s="95" t="str">
        <f>A7</f>
        <v>Červenec</v>
      </c>
      <c r="I42" s="96">
        <f>E13/E34</f>
        <v>0.2815442291115432</v>
      </c>
      <c r="J42" s="96">
        <f>I13/I34</f>
        <v>0.28554959284855524</v>
      </c>
      <c r="K42" s="95"/>
    </row>
    <row r="43" spans="1:20" ht="15" customHeight="1">
      <c r="A43" s="95"/>
      <c r="B43" s="95" t="str">
        <f>A14</f>
        <v>Srpen</v>
      </c>
      <c r="C43" s="78">
        <f>E20</f>
        <v>10659.31</v>
      </c>
      <c r="D43" s="78">
        <f>I20</f>
        <v>12813.60599</v>
      </c>
      <c r="E43" s="76"/>
      <c r="F43" s="76"/>
      <c r="G43" s="76"/>
      <c r="H43" s="95" t="str">
        <f>A14</f>
        <v>Srpen</v>
      </c>
      <c r="I43" s="96">
        <f>E20/E34</f>
        <v>0.29579617308537132</v>
      </c>
      <c r="J43" s="96">
        <f>I20/I34</f>
        <v>0.32490607117599285</v>
      </c>
      <c r="K43" s="95"/>
    </row>
    <row r="44" spans="1:20" ht="15" customHeight="1">
      <c r="A44" s="95"/>
      <c r="B44" s="95" t="str">
        <f>A21</f>
        <v>Září</v>
      </c>
      <c r="C44" s="78">
        <f>E27</f>
        <v>15230.959989999999</v>
      </c>
      <c r="D44" s="78">
        <f>I27</f>
        <v>15362.80199</v>
      </c>
      <c r="E44" s="76"/>
      <c r="F44" s="76"/>
      <c r="G44" s="76"/>
      <c r="H44" s="95" t="str">
        <f>A21</f>
        <v>Září</v>
      </c>
      <c r="I44" s="96">
        <f>E27/E34</f>
        <v>0.42265959780308532</v>
      </c>
      <c r="J44" s="96">
        <f>I27/I34</f>
        <v>0.38954433597545202</v>
      </c>
      <c r="K44" s="95"/>
    </row>
    <row r="45" spans="1:20" ht="15" customHeight="1">
      <c r="A45" s="95"/>
      <c r="B45" s="95"/>
      <c r="C45" s="78">
        <f>SUM(C42:C44)</f>
        <v>36035.996979999996</v>
      </c>
      <c r="D45" s="78">
        <f>SUM(D42:D44)</f>
        <v>39437.877980000005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ht="1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</row>
    <row r="54" spans="1:11" ht="1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I3:K4"/>
    <mergeCell ref="E3:G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21" s="86" customFormat="1" ht="18">
      <c r="A1" s="462" t="s">
        <v>304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</row>
    <row r="2" spans="1:21" ht="6" customHeight="1">
      <c r="A2" s="468"/>
      <c r="B2" s="468"/>
      <c r="C2" s="468"/>
      <c r="D2" s="328"/>
      <c r="E2" s="328"/>
      <c r="F2" s="329"/>
      <c r="G2" s="330"/>
      <c r="H2" s="330"/>
      <c r="I2" s="330"/>
      <c r="J2" s="292"/>
      <c r="K2" s="292"/>
    </row>
    <row r="3" spans="1:21" ht="15" customHeight="1">
      <c r="A3" s="478" t="s">
        <v>34</v>
      </c>
      <c r="B3" s="478"/>
      <c r="C3" s="478"/>
      <c r="D3" s="360">
        <f>'3.1'!A4</f>
        <v>2022</v>
      </c>
      <c r="E3" s="473"/>
      <c r="F3" s="473"/>
      <c r="G3" s="473"/>
      <c r="H3" s="359"/>
      <c r="I3" s="472">
        <f>D3-1</f>
        <v>2021</v>
      </c>
      <c r="J3" s="473"/>
      <c r="K3" s="473"/>
    </row>
    <row r="4" spans="1:21" ht="50.1" customHeight="1">
      <c r="A4" s="479"/>
      <c r="B4" s="479"/>
      <c r="C4" s="479"/>
      <c r="D4" s="362"/>
      <c r="E4" s="475"/>
      <c r="F4" s="475"/>
      <c r="G4" s="475"/>
      <c r="H4" s="175"/>
      <c r="I4" s="474"/>
      <c r="J4" s="475"/>
      <c r="K4" s="475"/>
    </row>
    <row r="5" spans="1:21" ht="24.95" customHeight="1">
      <c r="A5" s="478" t="s">
        <v>159</v>
      </c>
      <c r="B5" s="478"/>
      <c r="C5" s="489" t="s">
        <v>185</v>
      </c>
      <c r="D5" s="476" t="s">
        <v>160</v>
      </c>
      <c r="E5" s="470" t="s">
        <v>60</v>
      </c>
      <c r="F5" s="470"/>
      <c r="G5" s="471" t="s">
        <v>33</v>
      </c>
      <c r="H5" s="471" t="s">
        <v>273</v>
      </c>
      <c r="I5" s="469" t="s">
        <v>60</v>
      </c>
      <c r="J5" s="470"/>
      <c r="K5" s="471" t="s">
        <v>33</v>
      </c>
    </row>
    <row r="6" spans="1:21" ht="22.5" customHeight="1">
      <c r="A6" s="479"/>
      <c r="B6" s="479"/>
      <c r="C6" s="490"/>
      <c r="D6" s="477"/>
      <c r="E6" s="222" t="s">
        <v>264</v>
      </c>
      <c r="F6" s="222" t="s">
        <v>265</v>
      </c>
      <c r="G6" s="467"/>
      <c r="H6" s="467"/>
      <c r="I6" s="224" t="s">
        <v>264</v>
      </c>
      <c r="J6" s="222" t="s">
        <v>265</v>
      </c>
      <c r="K6" s="467"/>
    </row>
    <row r="7" spans="1:21" ht="12.95" customHeight="1">
      <c r="A7" s="434" t="str">
        <f>'3.1'!D5</f>
        <v>Červenec</v>
      </c>
      <c r="B7" s="434"/>
      <c r="C7" s="165" t="s">
        <v>4</v>
      </c>
      <c r="D7" s="325">
        <v>94</v>
      </c>
      <c r="E7" s="321">
        <v>23634.605000000003</v>
      </c>
      <c r="F7" s="321">
        <v>258048.95730100005</v>
      </c>
      <c r="G7" s="322">
        <f t="shared" ref="G7:G12" si="0">E7/$E$13</f>
        <v>0.97322597221700813</v>
      </c>
      <c r="H7" s="322">
        <f>(E7-I7)/I7</f>
        <v>-0.47166111404178107</v>
      </c>
      <c r="I7" s="325">
        <v>44733.798000000003</v>
      </c>
      <c r="J7" s="321">
        <v>477217.02252499998</v>
      </c>
      <c r="K7" s="322">
        <f>I7/$I$13</f>
        <v>0.94808544328546085</v>
      </c>
      <c r="M7" s="90"/>
      <c r="N7" s="90"/>
      <c r="O7" s="90"/>
      <c r="P7" s="90"/>
      <c r="Q7" s="90"/>
      <c r="R7" s="90"/>
      <c r="S7" s="90"/>
      <c r="T7" s="90"/>
      <c r="U7" s="90"/>
    </row>
    <row r="8" spans="1:21" ht="12.95" customHeight="1">
      <c r="A8" s="428"/>
      <c r="B8" s="428"/>
      <c r="C8" s="155" t="s">
        <v>5</v>
      </c>
      <c r="D8" s="326">
        <v>127</v>
      </c>
      <c r="E8" s="130">
        <v>12.834</v>
      </c>
      <c r="F8" s="130">
        <v>134.762</v>
      </c>
      <c r="G8" s="320">
        <f t="shared" si="0"/>
        <v>5.2847856469076082E-4</v>
      </c>
      <c r="H8" s="320">
        <f t="shared" ref="H8:H11" si="1">(E8-I8)/I8</f>
        <v>-0.29998909130577073</v>
      </c>
      <c r="I8" s="326">
        <v>18.334</v>
      </c>
      <c r="J8" s="130">
        <v>193.02099999999999</v>
      </c>
      <c r="K8" s="320">
        <f t="shared" ref="K8:K12" si="2">I8/$I$13</f>
        <v>3.8856970108363343E-4</v>
      </c>
      <c r="L8" s="94"/>
      <c r="M8" s="90"/>
      <c r="N8" s="90"/>
      <c r="O8" s="90"/>
      <c r="P8" s="90"/>
      <c r="Q8" s="90"/>
      <c r="R8" s="90"/>
      <c r="S8" s="90"/>
    </row>
    <row r="9" spans="1:21" ht="12.95" customHeight="1">
      <c r="A9" s="428"/>
      <c r="B9" s="428"/>
      <c r="C9" s="155" t="s">
        <v>6</v>
      </c>
      <c r="D9" s="326">
        <v>1018</v>
      </c>
      <c r="E9" s="130">
        <v>73.688999999999993</v>
      </c>
      <c r="F9" s="130">
        <v>784.73700000000053</v>
      </c>
      <c r="G9" s="320">
        <f t="shared" si="0"/>
        <v>3.0343662890367365E-3</v>
      </c>
      <c r="H9" s="320">
        <f t="shared" si="1"/>
        <v>-0.25208574386456373</v>
      </c>
      <c r="I9" s="326">
        <v>98.525999999999996</v>
      </c>
      <c r="J9" s="130">
        <v>1034.722</v>
      </c>
      <c r="K9" s="320">
        <f t="shared" si="2"/>
        <v>2.0881541599741499E-3</v>
      </c>
      <c r="L9" s="94"/>
      <c r="M9" s="90"/>
      <c r="N9" s="90"/>
      <c r="O9" s="90"/>
      <c r="P9" s="90"/>
      <c r="Q9" s="90"/>
      <c r="R9" s="90"/>
      <c r="S9" s="90"/>
    </row>
    <row r="10" spans="1:21" ht="12.95" customHeight="1">
      <c r="A10" s="428"/>
      <c r="B10" s="428"/>
      <c r="C10" s="155" t="s">
        <v>7</v>
      </c>
      <c r="D10" s="326">
        <v>7524</v>
      </c>
      <c r="E10" s="130">
        <v>0</v>
      </c>
      <c r="F10" s="130">
        <v>0</v>
      </c>
      <c r="G10" s="320">
        <f t="shared" si="0"/>
        <v>0</v>
      </c>
      <c r="H10" s="363" t="e">
        <f t="shared" si="1"/>
        <v>#DIV/0!</v>
      </c>
      <c r="I10" s="326">
        <v>0</v>
      </c>
      <c r="J10" s="130">
        <v>0</v>
      </c>
      <c r="K10" s="320">
        <f t="shared" si="2"/>
        <v>0</v>
      </c>
      <c r="L10" s="94"/>
      <c r="M10" s="90"/>
      <c r="N10" s="90"/>
      <c r="O10" s="90"/>
      <c r="P10" s="90"/>
      <c r="Q10" s="90"/>
      <c r="R10" s="90"/>
      <c r="S10" s="90"/>
    </row>
    <row r="11" spans="1:21" ht="12.95" customHeight="1">
      <c r="A11" s="428"/>
      <c r="B11" s="428"/>
      <c r="C11" s="155" t="s">
        <v>93</v>
      </c>
      <c r="D11" s="326">
        <v>6</v>
      </c>
      <c r="E11" s="130">
        <v>43.521000000000001</v>
      </c>
      <c r="F11" s="130">
        <v>452.27</v>
      </c>
      <c r="G11" s="320">
        <f t="shared" si="0"/>
        <v>1.7921081201423255E-3</v>
      </c>
      <c r="H11" s="320">
        <f t="shared" si="1"/>
        <v>0.52469871076233188</v>
      </c>
      <c r="I11" s="326">
        <v>28.544</v>
      </c>
      <c r="J11" s="130">
        <v>296.14400000000001</v>
      </c>
      <c r="K11" s="320">
        <f t="shared" si="2"/>
        <v>6.0495983133692776E-4</v>
      </c>
      <c r="L11" s="94"/>
      <c r="M11" s="90"/>
      <c r="N11" s="90"/>
      <c r="O11" s="90"/>
      <c r="P11" s="90"/>
      <c r="Q11" s="90"/>
      <c r="R11" s="90"/>
      <c r="S11" s="90"/>
    </row>
    <row r="12" spans="1:21" ht="12.95" customHeight="1">
      <c r="A12" s="428"/>
      <c r="B12" s="428"/>
      <c r="C12" s="155" t="s">
        <v>96</v>
      </c>
      <c r="D12" s="326">
        <v>0</v>
      </c>
      <c r="E12" s="130">
        <v>520.15809999999942</v>
      </c>
      <c r="F12" s="130">
        <v>5876.6272920000001</v>
      </c>
      <c r="G12" s="320">
        <f t="shared" si="0"/>
        <v>2.1419074809122095E-2</v>
      </c>
      <c r="H12" s="320">
        <f>(E12-I12)/I12</f>
        <v>-0.77424634216629873</v>
      </c>
      <c r="I12" s="326">
        <v>2304.0959999999986</v>
      </c>
      <c r="J12" s="130">
        <v>24779.837831666653</v>
      </c>
      <c r="K12" s="320">
        <f t="shared" si="2"/>
        <v>4.8832873022144375E-2</v>
      </c>
      <c r="L12" s="94"/>
      <c r="M12" s="90"/>
      <c r="N12" s="90"/>
      <c r="O12" s="90"/>
      <c r="P12" s="90"/>
      <c r="Q12" s="90"/>
      <c r="R12" s="90"/>
      <c r="S12" s="90"/>
    </row>
    <row r="13" spans="1:21" ht="12.95" customHeight="1">
      <c r="A13" s="433"/>
      <c r="B13" s="433"/>
      <c r="C13" s="331" t="s">
        <v>0</v>
      </c>
      <c r="D13" s="334">
        <v>8769</v>
      </c>
      <c r="E13" s="332">
        <v>24284.807100000002</v>
      </c>
      <c r="F13" s="332">
        <v>265297.35359300004</v>
      </c>
      <c r="G13" s="333">
        <f>SUM(G7:G12)</f>
        <v>1</v>
      </c>
      <c r="H13" s="333">
        <f>(E13-I13)/I13</f>
        <v>-0.48530924862437552</v>
      </c>
      <c r="I13" s="334">
        <v>47183.298000000003</v>
      </c>
      <c r="J13" s="332">
        <v>503520.7473566666</v>
      </c>
      <c r="K13" s="333">
        <f>SUM(K7:K12)</f>
        <v>0.99999999999999978</v>
      </c>
      <c r="L13" s="94"/>
      <c r="M13" s="90"/>
      <c r="N13" s="90"/>
      <c r="O13" s="90"/>
      <c r="P13" s="90"/>
      <c r="Q13" s="90"/>
      <c r="R13" s="90"/>
      <c r="S13" s="90"/>
    </row>
    <row r="14" spans="1:21" ht="12.95" customHeight="1">
      <c r="A14" s="434" t="str">
        <f>'3.1'!E5</f>
        <v>Srpen</v>
      </c>
      <c r="B14" s="434"/>
      <c r="C14" s="165" t="s">
        <v>4</v>
      </c>
      <c r="D14" s="325">
        <v>94</v>
      </c>
      <c r="E14" s="321">
        <v>44363.644</v>
      </c>
      <c r="F14" s="321">
        <v>482169.09312100004</v>
      </c>
      <c r="G14" s="322">
        <f>E14/$E$20</f>
        <v>0.99274531731060356</v>
      </c>
      <c r="H14" s="322">
        <f>(E14-I14)/I14</f>
        <v>11.125623826588303</v>
      </c>
      <c r="I14" s="325">
        <v>3658.6689999999999</v>
      </c>
      <c r="J14" s="321">
        <v>38828.402812</v>
      </c>
      <c r="K14" s="322">
        <f>I14/$I$20</f>
        <v>0.56057920894593627</v>
      </c>
      <c r="L14" s="94"/>
      <c r="M14" s="90"/>
      <c r="N14" s="90"/>
      <c r="O14" s="90"/>
      <c r="P14" s="90"/>
      <c r="Q14" s="90"/>
      <c r="R14" s="90"/>
      <c r="S14" s="90"/>
    </row>
    <row r="15" spans="1:21" ht="12.95" customHeight="1">
      <c r="A15" s="428"/>
      <c r="B15" s="428"/>
      <c r="C15" s="155" t="s">
        <v>5</v>
      </c>
      <c r="D15" s="326">
        <v>132</v>
      </c>
      <c r="E15" s="130">
        <v>20.344000000000001</v>
      </c>
      <c r="F15" s="130">
        <v>215.00399999999999</v>
      </c>
      <c r="G15" s="320">
        <f t="shared" ref="G15:G19" si="3">E15/$E$20</f>
        <v>4.5524688493503646E-4</v>
      </c>
      <c r="H15" s="320">
        <f t="shared" ref="H15:H17" si="4">(E15-I15)/I15</f>
        <v>-0.10709269662921339</v>
      </c>
      <c r="I15" s="326">
        <v>22.783999999999999</v>
      </c>
      <c r="J15" s="130">
        <v>239.40600000000001</v>
      </c>
      <c r="K15" s="320">
        <f t="shared" ref="K15:K19" si="5">I15/$I$20</f>
        <v>3.4909516812327685E-3</v>
      </c>
      <c r="L15" s="98"/>
      <c r="M15" s="90"/>
      <c r="N15" s="90"/>
      <c r="O15" s="90"/>
      <c r="P15" s="90"/>
      <c r="Q15" s="90"/>
      <c r="R15" s="90"/>
      <c r="S15" s="90"/>
    </row>
    <row r="16" spans="1:21" ht="12.95" customHeight="1">
      <c r="A16" s="428"/>
      <c r="B16" s="428"/>
      <c r="C16" s="155" t="s">
        <v>6</v>
      </c>
      <c r="D16" s="326">
        <v>1066</v>
      </c>
      <c r="E16" s="130">
        <v>59.376000000000005</v>
      </c>
      <c r="F16" s="130">
        <v>632.40300000000002</v>
      </c>
      <c r="G16" s="320">
        <f t="shared" si="3"/>
        <v>1.3286835941753207E-3</v>
      </c>
      <c r="H16" s="320">
        <f t="shared" si="4"/>
        <v>-0.39126512200123026</v>
      </c>
      <c r="I16" s="326">
        <v>97.54</v>
      </c>
      <c r="J16" s="130">
        <v>1024.396</v>
      </c>
      <c r="K16" s="320">
        <f>I16/$I$20</f>
        <v>1.4945024007524767E-2</v>
      </c>
      <c r="L16" s="94"/>
      <c r="M16" s="90"/>
      <c r="N16" s="90"/>
      <c r="O16" s="90"/>
      <c r="P16" s="90"/>
      <c r="Q16" s="90"/>
      <c r="R16" s="90"/>
      <c r="S16" s="90"/>
    </row>
    <row r="17" spans="1:20" ht="12.95" customHeight="1">
      <c r="A17" s="428"/>
      <c r="B17" s="428"/>
      <c r="C17" s="155" t="s">
        <v>7</v>
      </c>
      <c r="D17" s="326">
        <v>7556</v>
      </c>
      <c r="E17" s="130">
        <v>1.1679999999999999</v>
      </c>
      <c r="F17" s="130">
        <v>12.113</v>
      </c>
      <c r="G17" s="320">
        <f t="shared" si="3"/>
        <v>2.6136864019077983E-5</v>
      </c>
      <c r="H17" s="363">
        <f t="shared" si="4"/>
        <v>-0.68509032084119714</v>
      </c>
      <c r="I17" s="326">
        <v>3.7090000000000001</v>
      </c>
      <c r="J17" s="130">
        <v>39.695999999999998</v>
      </c>
      <c r="K17" s="320">
        <f>I17/$I$20</f>
        <v>5.6829089649281688E-4</v>
      </c>
      <c r="L17" s="94"/>
      <c r="M17" s="90"/>
      <c r="N17" s="90"/>
      <c r="O17" s="90"/>
      <c r="P17" s="90"/>
      <c r="Q17" s="90"/>
      <c r="R17" s="90"/>
      <c r="S17" s="90"/>
    </row>
    <row r="18" spans="1:20" ht="12.95" customHeight="1">
      <c r="A18" s="428"/>
      <c r="B18" s="428"/>
      <c r="C18" s="155" t="s">
        <v>93</v>
      </c>
      <c r="D18" s="326">
        <v>6</v>
      </c>
      <c r="E18" s="130">
        <v>50.45</v>
      </c>
      <c r="F18" s="130">
        <v>523.06600000000003</v>
      </c>
      <c r="G18" s="320">
        <f t="shared" si="3"/>
        <v>1.1289424569884284E-3</v>
      </c>
      <c r="H18" s="320">
        <f>(E18-I18)/I18</f>
        <v>0.34097070862793055</v>
      </c>
      <c r="I18" s="326">
        <v>37.622</v>
      </c>
      <c r="J18" s="130">
        <v>387.35599999999999</v>
      </c>
      <c r="K18" s="320">
        <f>I18/$I$20</f>
        <v>5.7644217060805487E-3</v>
      </c>
      <c r="L18" s="94"/>
      <c r="M18" s="90"/>
      <c r="N18" s="90"/>
      <c r="O18" s="90"/>
      <c r="P18" s="90"/>
      <c r="Q18" s="90"/>
      <c r="R18" s="90"/>
      <c r="S18" s="90"/>
    </row>
    <row r="19" spans="1:20" ht="12.95" customHeight="1">
      <c r="A19" s="428"/>
      <c r="B19" s="428"/>
      <c r="C19" s="155" t="s">
        <v>96</v>
      </c>
      <c r="D19" s="326">
        <v>0</v>
      </c>
      <c r="E19" s="130">
        <v>192.85809999999839</v>
      </c>
      <c r="F19" s="130">
        <v>2143.3191210000318</v>
      </c>
      <c r="G19" s="320">
        <f t="shared" si="3"/>
        <v>4.3156728892788541E-3</v>
      </c>
      <c r="H19" s="320">
        <f t="shared" ref="H19" si="6">(E19-I19)/I19</f>
        <v>-0.92873638033352501</v>
      </c>
      <c r="I19" s="326">
        <v>2706.2630400000007</v>
      </c>
      <c r="J19" s="130">
        <v>29047.096738666689</v>
      </c>
      <c r="K19" s="320">
        <f t="shared" si="5"/>
        <v>0.4146521027627329</v>
      </c>
      <c r="L19" s="94"/>
      <c r="M19" s="90"/>
      <c r="N19" s="90"/>
      <c r="O19" s="90"/>
      <c r="P19" s="90"/>
      <c r="Q19" s="90"/>
      <c r="R19" s="90"/>
      <c r="S19" s="90"/>
    </row>
    <row r="20" spans="1:20" ht="12.95" customHeight="1">
      <c r="A20" s="433"/>
      <c r="B20" s="433"/>
      <c r="C20" s="331" t="s">
        <v>0</v>
      </c>
      <c r="D20" s="334">
        <v>8854</v>
      </c>
      <c r="E20" s="332">
        <v>44687.840099999987</v>
      </c>
      <c r="F20" s="332">
        <v>485694.99824200006</v>
      </c>
      <c r="G20" s="333">
        <f>SUM(G14:G19)</f>
        <v>1.0000000000000004</v>
      </c>
      <c r="H20" s="333">
        <f>(E20-I20)/I20</f>
        <v>5.8470457570117667</v>
      </c>
      <c r="I20" s="334">
        <v>6526.5870400000003</v>
      </c>
      <c r="J20" s="332">
        <v>69566.353550666696</v>
      </c>
      <c r="K20" s="333">
        <f>SUM(K14:K19)</f>
        <v>1</v>
      </c>
      <c r="L20" s="94"/>
      <c r="M20" s="90"/>
      <c r="N20" s="90"/>
      <c r="O20" s="90"/>
      <c r="P20" s="90"/>
      <c r="Q20" s="90"/>
      <c r="R20" s="90"/>
      <c r="S20" s="90"/>
    </row>
    <row r="21" spans="1:20" ht="12.95" customHeight="1">
      <c r="A21" s="434" t="str">
        <f>'3.1'!F5</f>
        <v>Září</v>
      </c>
      <c r="B21" s="434"/>
      <c r="C21" s="165" t="s">
        <v>4</v>
      </c>
      <c r="D21" s="325">
        <v>94</v>
      </c>
      <c r="E21" s="321">
        <v>33899.46</v>
      </c>
      <c r="F21" s="321">
        <v>372382.50122600002</v>
      </c>
      <c r="G21" s="322">
        <f>E21/$E$27</f>
        <v>0.97834667888099924</v>
      </c>
      <c r="H21" s="322">
        <f>(E21-I21)/I21</f>
        <v>0.27678379141223791</v>
      </c>
      <c r="I21" s="325">
        <v>26550.666000000001</v>
      </c>
      <c r="J21" s="321">
        <v>282629.61860800005</v>
      </c>
      <c r="K21" s="322">
        <f>I21/$I$27</f>
        <v>0.87019155434567186</v>
      </c>
      <c r="L21" s="88"/>
      <c r="M21" s="90"/>
      <c r="N21" s="90"/>
      <c r="O21" s="90"/>
      <c r="P21" s="90"/>
      <c r="Q21" s="90"/>
      <c r="R21" s="90"/>
      <c r="S21" s="90"/>
      <c r="T21" s="88"/>
    </row>
    <row r="22" spans="1:20" ht="12.95" customHeight="1">
      <c r="A22" s="428"/>
      <c r="B22" s="428"/>
      <c r="C22" s="155" t="s">
        <v>5</v>
      </c>
      <c r="D22" s="326">
        <v>132</v>
      </c>
      <c r="E22" s="130">
        <v>24.260999999999999</v>
      </c>
      <c r="F22" s="130">
        <v>255.22800000000001</v>
      </c>
      <c r="G22" s="320">
        <f t="shared" ref="G22:G26" si="7">E22/$E$27</f>
        <v>7.001783738245955E-4</v>
      </c>
      <c r="H22" s="320">
        <f t="shared" ref="H22:H26" si="8">(E22-I22)/I22</f>
        <v>-8.0326004548900681E-2</v>
      </c>
      <c r="I22" s="326">
        <v>26.38</v>
      </c>
      <c r="J22" s="130">
        <v>278.09100000000001</v>
      </c>
      <c r="K22" s="320">
        <f t="shared" ref="K22:K26" si="9">I22/$I$27</f>
        <v>8.6459801813027295E-4</v>
      </c>
      <c r="L22" s="88"/>
      <c r="M22" s="90"/>
      <c r="N22" s="90"/>
      <c r="O22" s="90"/>
      <c r="P22" s="90"/>
      <c r="Q22" s="90"/>
      <c r="R22" s="90"/>
      <c r="S22" s="90"/>
      <c r="T22" s="88"/>
    </row>
    <row r="23" spans="1:20" ht="12.95" customHeight="1">
      <c r="A23" s="428"/>
      <c r="B23" s="428"/>
      <c r="C23" s="155" t="s">
        <v>6</v>
      </c>
      <c r="D23" s="326">
        <v>1067</v>
      </c>
      <c r="E23" s="130">
        <v>50.729000000000006</v>
      </c>
      <c r="F23" s="130">
        <v>539.97104999999999</v>
      </c>
      <c r="G23" s="320">
        <f t="shared" si="7"/>
        <v>1.4640513056241667E-3</v>
      </c>
      <c r="H23" s="320">
        <f t="shared" si="8"/>
        <v>0.40570272666814466</v>
      </c>
      <c r="I23" s="326">
        <v>36.088000000000001</v>
      </c>
      <c r="J23" s="130">
        <v>379.22800000000001</v>
      </c>
      <c r="K23" s="320">
        <f t="shared" si="9"/>
        <v>1.1827753327628998E-3</v>
      </c>
      <c r="L23" s="88"/>
      <c r="M23" s="90"/>
      <c r="N23" s="90"/>
      <c r="O23" s="90"/>
      <c r="P23" s="90"/>
      <c r="Q23" s="90"/>
      <c r="R23" s="90"/>
      <c r="S23" s="90"/>
      <c r="T23" s="88"/>
    </row>
    <row r="24" spans="1:20" ht="12.95" customHeight="1">
      <c r="A24" s="428"/>
      <c r="B24" s="428"/>
      <c r="C24" s="155" t="s">
        <v>7</v>
      </c>
      <c r="D24" s="326">
        <v>7554</v>
      </c>
      <c r="E24" s="130">
        <v>0</v>
      </c>
      <c r="F24" s="130">
        <v>0</v>
      </c>
      <c r="G24" s="320">
        <f t="shared" si="7"/>
        <v>0</v>
      </c>
      <c r="H24" s="363" t="e">
        <f t="shared" si="8"/>
        <v>#DIV/0!</v>
      </c>
      <c r="I24" s="326">
        <v>0</v>
      </c>
      <c r="J24" s="130">
        <v>0</v>
      </c>
      <c r="K24" s="320">
        <f t="shared" si="9"/>
        <v>0</v>
      </c>
      <c r="L24" s="88"/>
      <c r="M24" s="90"/>
      <c r="N24" s="90"/>
      <c r="O24" s="90"/>
      <c r="P24" s="90"/>
      <c r="Q24" s="90"/>
      <c r="R24" s="90"/>
      <c r="S24" s="90"/>
      <c r="T24" s="88"/>
    </row>
    <row r="25" spans="1:20" ht="12.95" customHeight="1">
      <c r="A25" s="428"/>
      <c r="B25" s="428"/>
      <c r="C25" s="155" t="s">
        <v>93</v>
      </c>
      <c r="D25" s="326">
        <v>6</v>
      </c>
      <c r="E25" s="130">
        <v>46.613</v>
      </c>
      <c r="F25" s="130">
        <v>484.77499999999998</v>
      </c>
      <c r="G25" s="320">
        <f t="shared" si="7"/>
        <v>1.3452625423142439E-3</v>
      </c>
      <c r="H25" s="320">
        <f t="shared" si="8"/>
        <v>0.39476361460203463</v>
      </c>
      <c r="I25" s="326">
        <v>33.42</v>
      </c>
      <c r="J25" s="130">
        <v>347.50099999999998</v>
      </c>
      <c r="K25" s="320">
        <f t="shared" si="9"/>
        <v>1.0953322883212179E-3</v>
      </c>
      <c r="L25" s="88"/>
      <c r="M25" s="90"/>
      <c r="N25" s="90"/>
      <c r="O25" s="90"/>
      <c r="P25" s="90"/>
      <c r="Q25" s="90"/>
      <c r="R25" s="90"/>
      <c r="S25" s="90"/>
      <c r="T25" s="88"/>
    </row>
    <row r="26" spans="1:20" ht="12.95" customHeight="1">
      <c r="A26" s="428"/>
      <c r="B26" s="428"/>
      <c r="C26" s="155" t="s">
        <v>96</v>
      </c>
      <c r="D26" s="326">
        <v>0</v>
      </c>
      <c r="E26" s="130">
        <v>628.67898999999954</v>
      </c>
      <c r="F26" s="130">
        <v>6886.0240059999787</v>
      </c>
      <c r="G26" s="320">
        <f t="shared" si="7"/>
        <v>1.8143828897237906E-2</v>
      </c>
      <c r="H26" s="320">
        <f t="shared" si="8"/>
        <v>-0.83732934082155719</v>
      </c>
      <c r="I26" s="326">
        <v>3864.7350000000019</v>
      </c>
      <c r="J26" s="130">
        <v>41313.144887666676</v>
      </c>
      <c r="K26" s="320">
        <f t="shared" si="9"/>
        <v>0.1266657400151138</v>
      </c>
      <c r="L26" s="88"/>
      <c r="M26" s="90"/>
      <c r="N26" s="90"/>
      <c r="O26" s="90"/>
      <c r="P26" s="90"/>
      <c r="Q26" s="90"/>
      <c r="R26" s="90"/>
      <c r="S26" s="90"/>
      <c r="T26" s="88"/>
    </row>
    <row r="27" spans="1:20" ht="12.95" customHeight="1">
      <c r="A27" s="433"/>
      <c r="B27" s="433"/>
      <c r="C27" s="331" t="s">
        <v>0</v>
      </c>
      <c r="D27" s="334">
        <v>8853</v>
      </c>
      <c r="E27" s="332">
        <v>34649.741989999995</v>
      </c>
      <c r="F27" s="332">
        <v>380548.499282</v>
      </c>
      <c r="G27" s="333">
        <f>SUM(G21:G26)</f>
        <v>1.0000000000000002</v>
      </c>
      <c r="H27" s="333">
        <f>(E27-I27)/I27</f>
        <v>0.13563677988170195</v>
      </c>
      <c r="I27" s="334">
        <v>30511.289000000001</v>
      </c>
      <c r="J27" s="332">
        <v>324947.58349566674</v>
      </c>
      <c r="K27" s="333">
        <f>SUM(K21:K26)</f>
        <v>1.0000000000000002</v>
      </c>
      <c r="M27" s="90"/>
      <c r="N27" s="90"/>
      <c r="O27" s="90"/>
      <c r="P27" s="90"/>
      <c r="Q27" s="90"/>
      <c r="R27" s="90"/>
      <c r="S27" s="90"/>
    </row>
    <row r="28" spans="1:20" ht="12.95" customHeight="1">
      <c r="A28" s="491" t="str">
        <f>'3.1'!G5</f>
        <v>III. čtvrtletí</v>
      </c>
      <c r="B28" s="434"/>
      <c r="C28" s="165" t="s">
        <v>4</v>
      </c>
      <c r="D28" s="325">
        <f>D21</f>
        <v>94</v>
      </c>
      <c r="E28" s="321">
        <f>E7+E14+E21</f>
        <v>101897.709</v>
      </c>
      <c r="F28" s="321">
        <f>F7+F14+F21</f>
        <v>1112600.5516480003</v>
      </c>
      <c r="G28" s="322">
        <f>E28/$E$34</f>
        <v>0.98335610476189983</v>
      </c>
      <c r="H28" s="322">
        <f>(E28-I28)/I28</f>
        <v>0.35966705581951053</v>
      </c>
      <c r="I28" s="325">
        <f>I7+I14+I21</f>
        <v>74943.133000000002</v>
      </c>
      <c r="J28" s="321">
        <f>J7+J14+J21</f>
        <v>798675.04394500004</v>
      </c>
      <c r="K28" s="322">
        <f>I28/$I$34</f>
        <v>0.88983719182549648</v>
      </c>
      <c r="M28" s="90"/>
      <c r="N28" s="90"/>
      <c r="O28" s="90"/>
      <c r="P28" s="90"/>
      <c r="Q28" s="90"/>
      <c r="R28" s="90"/>
      <c r="S28" s="90"/>
    </row>
    <row r="29" spans="1:20" ht="12.95" customHeight="1">
      <c r="A29" s="428"/>
      <c r="B29" s="428"/>
      <c r="C29" s="155" t="s">
        <v>5</v>
      </c>
      <c r="D29" s="326">
        <f t="shared" ref="D29:D32" si="10">D22</f>
        <v>132</v>
      </c>
      <c r="E29" s="130">
        <f>E8+E15+E22</f>
        <v>57.438999999999993</v>
      </c>
      <c r="F29" s="130">
        <f t="shared" ref="F29" si="11">F8+F15+F22</f>
        <v>604.99399999999991</v>
      </c>
      <c r="G29" s="320">
        <f t="shared" ref="G29:G33" si="12">E29/$E$34</f>
        <v>5.5431070880522699E-4</v>
      </c>
      <c r="H29" s="320">
        <f t="shared" ref="H29:H31" si="13">(E29-I29)/I29</f>
        <v>-0.14902663782630596</v>
      </c>
      <c r="I29" s="326">
        <f>I8+I15+I22</f>
        <v>67.49799999999999</v>
      </c>
      <c r="J29" s="130">
        <f t="shared" ref="J29" si="14">J8+J15+J22</f>
        <v>710.51800000000003</v>
      </c>
      <c r="K29" s="320">
        <f t="shared" ref="K29:K33" si="15">I29/$I$34</f>
        <v>8.0143741487078411E-4</v>
      </c>
      <c r="M29" s="90"/>
      <c r="N29" s="90"/>
      <c r="O29" s="90"/>
      <c r="P29" s="90"/>
      <c r="Q29" s="90"/>
      <c r="R29" s="90"/>
      <c r="S29" s="90"/>
    </row>
    <row r="30" spans="1:20" ht="12.95" customHeight="1">
      <c r="A30" s="428"/>
      <c r="B30" s="428"/>
      <c r="C30" s="155" t="s">
        <v>6</v>
      </c>
      <c r="D30" s="326">
        <f t="shared" si="10"/>
        <v>1067</v>
      </c>
      <c r="E30" s="130">
        <f t="shared" ref="E30:F33" si="16">E9+E16+E23</f>
        <v>183.79400000000001</v>
      </c>
      <c r="F30" s="130">
        <f t="shared" si="16"/>
        <v>1957.1110500000004</v>
      </c>
      <c r="G30" s="320">
        <f t="shared" si="12"/>
        <v>1.7736900435966487E-3</v>
      </c>
      <c r="H30" s="320">
        <f t="shared" si="13"/>
        <v>-0.20831000111994619</v>
      </c>
      <c r="I30" s="326">
        <f t="shared" ref="I30:J32" si="17">I9+I16+I23</f>
        <v>232.154</v>
      </c>
      <c r="J30" s="130">
        <f t="shared" si="17"/>
        <v>2438.346</v>
      </c>
      <c r="K30" s="320">
        <f t="shared" si="15"/>
        <v>2.7564802158865751E-3</v>
      </c>
      <c r="M30" s="90"/>
      <c r="N30" s="90"/>
      <c r="O30" s="90"/>
      <c r="P30" s="90"/>
      <c r="Q30" s="90"/>
      <c r="R30" s="90"/>
      <c r="S30" s="90"/>
    </row>
    <row r="31" spans="1:20" ht="12.95" customHeight="1">
      <c r="A31" s="428"/>
      <c r="B31" s="428"/>
      <c r="C31" s="155" t="s">
        <v>7</v>
      </c>
      <c r="D31" s="326">
        <f t="shared" si="10"/>
        <v>7554</v>
      </c>
      <c r="E31" s="130">
        <f>E10+E17+E24</f>
        <v>1.1679999999999999</v>
      </c>
      <c r="F31" s="130">
        <f t="shared" si="16"/>
        <v>12.113</v>
      </c>
      <c r="G31" s="320">
        <f t="shared" si="12"/>
        <v>1.1271695326946937E-5</v>
      </c>
      <c r="H31" s="363">
        <f t="shared" si="13"/>
        <v>-0.68509032084119714</v>
      </c>
      <c r="I31" s="326">
        <f>I10+I17+I24</f>
        <v>3.7090000000000001</v>
      </c>
      <c r="J31" s="130">
        <f t="shared" si="17"/>
        <v>39.695999999999998</v>
      </c>
      <c r="K31" s="320">
        <f t="shared" si="15"/>
        <v>4.4038806657319311E-5</v>
      </c>
      <c r="M31" s="90"/>
      <c r="N31" s="90"/>
      <c r="O31" s="90"/>
      <c r="P31" s="90"/>
      <c r="Q31" s="90"/>
      <c r="R31" s="90"/>
      <c r="S31" s="90"/>
    </row>
    <row r="32" spans="1:20" ht="12.95" customHeight="1">
      <c r="A32" s="428"/>
      <c r="B32" s="428"/>
      <c r="C32" s="155" t="s">
        <v>93</v>
      </c>
      <c r="D32" s="326">
        <f t="shared" si="10"/>
        <v>6</v>
      </c>
      <c r="E32" s="130">
        <f>E11+E18+E25</f>
        <v>140.584</v>
      </c>
      <c r="F32" s="130">
        <f t="shared" si="16"/>
        <v>1460.1109999999999</v>
      </c>
      <c r="G32" s="320">
        <f t="shared" si="12"/>
        <v>1.3566952190440997E-3</v>
      </c>
      <c r="H32" s="320">
        <f>(E32-I32)/I32</f>
        <v>0.41168437330548474</v>
      </c>
      <c r="I32" s="326">
        <f>I11+I18+I25</f>
        <v>99.585999999999999</v>
      </c>
      <c r="J32" s="130">
        <f t="shared" si="17"/>
        <v>1031.001</v>
      </c>
      <c r="K32" s="320">
        <f t="shared" si="15"/>
        <v>1.182434240974872E-3</v>
      </c>
      <c r="M32" s="90"/>
      <c r="N32" s="90"/>
      <c r="O32" s="90"/>
      <c r="P32" s="90"/>
      <c r="Q32" s="90"/>
      <c r="R32" s="90"/>
      <c r="S32" s="90"/>
    </row>
    <row r="33" spans="1:20" ht="12.95" customHeight="1">
      <c r="A33" s="428"/>
      <c r="B33" s="428"/>
      <c r="C33" s="155" t="s">
        <v>96</v>
      </c>
      <c r="D33" s="326"/>
      <c r="E33" s="130">
        <f t="shared" si="16"/>
        <v>1341.6951899999972</v>
      </c>
      <c r="F33" s="130">
        <f t="shared" si="16"/>
        <v>14905.970419000012</v>
      </c>
      <c r="G33" s="320">
        <f t="shared" si="12"/>
        <v>1.2947927571327187E-2</v>
      </c>
      <c r="H33" s="320">
        <f t="shared" ref="H33" si="18">(E33-I33)/I33</f>
        <v>-0.84882467904531678</v>
      </c>
      <c r="I33" s="326">
        <f t="shared" ref="I33:J33" si="19">I12+I19+I26</f>
        <v>8875.0940400000018</v>
      </c>
      <c r="J33" s="130">
        <f t="shared" si="19"/>
        <v>95140.079458000022</v>
      </c>
      <c r="K33" s="320">
        <f t="shared" si="15"/>
        <v>0.10537841749611404</v>
      </c>
      <c r="M33" s="90"/>
      <c r="N33" s="90"/>
      <c r="O33" s="90"/>
      <c r="P33" s="90"/>
      <c r="Q33" s="90"/>
      <c r="R33" s="90"/>
      <c r="S33" s="90"/>
    </row>
    <row r="34" spans="1:20" ht="12.95" customHeight="1">
      <c r="A34" s="433"/>
      <c r="B34" s="433"/>
      <c r="C34" s="331" t="s">
        <v>0</v>
      </c>
      <c r="D34" s="334">
        <f>SUM(D28:D33)</f>
        <v>8853</v>
      </c>
      <c r="E34" s="332">
        <f>SUM(E28:E33)</f>
        <v>103622.38919</v>
      </c>
      <c r="F34" s="332">
        <f>SUM(F28:F33)</f>
        <v>1131540.851117</v>
      </c>
      <c r="G34" s="333">
        <f>SUM(G28:G33)</f>
        <v>1</v>
      </c>
      <c r="H34" s="333">
        <f>(E34-I34)/I34</f>
        <v>0.23036030275219854</v>
      </c>
      <c r="I34" s="334">
        <f>SUM(I28:I33)</f>
        <v>84221.174039999998</v>
      </c>
      <c r="J34" s="332">
        <f>SUM(J28:J33)</f>
        <v>898034.68440300017</v>
      </c>
      <c r="K34" s="333">
        <f>SUM(K28:K33)</f>
        <v>1</v>
      </c>
      <c r="M34" s="90"/>
      <c r="N34" s="90"/>
      <c r="O34" s="90"/>
      <c r="P34" s="90"/>
      <c r="Q34" s="90"/>
      <c r="R34" s="90"/>
      <c r="S34" s="90"/>
    </row>
    <row r="35" spans="1:20" ht="20.100000000000001" customHeight="1">
      <c r="A35" s="127"/>
      <c r="B35" s="316"/>
      <c r="C35" s="102"/>
      <c r="D35" s="88"/>
      <c r="E35" s="88"/>
      <c r="F35" s="88"/>
      <c r="G35" s="488" t="s">
        <v>275</v>
      </c>
      <c r="H35" s="488"/>
      <c r="I35" s="488"/>
      <c r="J35" s="488"/>
      <c r="K35" s="488"/>
    </row>
    <row r="36" spans="1:20" ht="15" customHeight="1">
      <c r="A36" s="480" t="s">
        <v>274</v>
      </c>
      <c r="B36" s="480"/>
      <c r="C36" s="480"/>
      <c r="D36" s="480"/>
      <c r="E36" s="480"/>
      <c r="F36" s="120"/>
      <c r="G36" s="488"/>
      <c r="H36" s="488"/>
      <c r="I36" s="488"/>
      <c r="J36" s="488"/>
      <c r="K36" s="488"/>
      <c r="M36" s="94"/>
      <c r="N36" s="94"/>
      <c r="O36" s="94"/>
      <c r="P36" s="94"/>
      <c r="Q36" s="94"/>
      <c r="R36" s="94"/>
      <c r="S36" s="94"/>
    </row>
    <row r="37" spans="1:20" ht="15" customHeight="1">
      <c r="A37" s="481" t="str">
        <f>A28</f>
        <v>III. čtvrtletí</v>
      </c>
      <c r="B37" s="481"/>
      <c r="C37" s="481"/>
      <c r="D37" s="481"/>
      <c r="E37" s="481"/>
      <c r="F37" s="126"/>
      <c r="G37" s="483" t="str">
        <f>A28</f>
        <v>III. čtvrtletí</v>
      </c>
      <c r="H37" s="483"/>
      <c r="I37" s="483"/>
      <c r="J37" s="483"/>
      <c r="K37" s="483"/>
      <c r="M37" s="94"/>
      <c r="N37" s="94"/>
      <c r="O37" s="94"/>
      <c r="P37" s="94"/>
      <c r="Q37" s="94"/>
      <c r="R37" s="94"/>
      <c r="S37" s="94"/>
    </row>
    <row r="38" spans="1:20" ht="15" customHeight="1">
      <c r="A38" s="95"/>
      <c r="B38" s="95"/>
      <c r="C38" s="95"/>
      <c r="D38" s="76"/>
      <c r="E38" s="76"/>
      <c r="F38" s="76"/>
      <c r="G38" s="95"/>
      <c r="H38" s="95"/>
      <c r="I38" s="95"/>
      <c r="J38" s="95"/>
      <c r="K38" s="95"/>
      <c r="M38" s="94"/>
      <c r="N38" s="94"/>
      <c r="O38" s="94"/>
      <c r="P38" s="94"/>
      <c r="Q38" s="94"/>
      <c r="R38" s="94"/>
      <c r="S38" s="94"/>
      <c r="T38" s="94"/>
    </row>
    <row r="39" spans="1:20" ht="15" customHeight="1">
      <c r="A39" s="95"/>
      <c r="B39" s="95"/>
      <c r="C39" s="95"/>
      <c r="D39" s="76"/>
      <c r="E39" s="76"/>
      <c r="F39" s="76"/>
      <c r="G39" s="95"/>
      <c r="H39" s="95"/>
      <c r="I39" s="95"/>
      <c r="J39" s="95"/>
      <c r="K39" s="95"/>
    </row>
    <row r="40" spans="1:20" ht="15" customHeight="1">
      <c r="A40" s="95"/>
      <c r="B40" s="95"/>
      <c r="C40" s="95"/>
      <c r="D40" s="76"/>
      <c r="E40" s="76"/>
      <c r="F40" s="76"/>
      <c r="G40" s="95"/>
      <c r="H40" s="95"/>
      <c r="I40" s="95"/>
      <c r="J40" s="95"/>
      <c r="K40" s="95"/>
    </row>
    <row r="41" spans="1:20" ht="15" customHeight="1">
      <c r="A41" s="95"/>
      <c r="B41" s="95"/>
      <c r="C41" s="95">
        <f>D3</f>
        <v>2022</v>
      </c>
      <c r="D41" s="95">
        <f>I3</f>
        <v>2021</v>
      </c>
      <c r="E41" s="76"/>
      <c r="F41" s="76"/>
      <c r="G41" s="76"/>
      <c r="H41" s="95"/>
      <c r="I41" s="95">
        <f>D3</f>
        <v>2022</v>
      </c>
      <c r="J41" s="95">
        <f>I3</f>
        <v>2021</v>
      </c>
      <c r="K41" s="95"/>
    </row>
    <row r="42" spans="1:20" ht="15" customHeight="1">
      <c r="A42" s="95"/>
      <c r="B42" s="95" t="str">
        <f>A7</f>
        <v>Červenec</v>
      </c>
      <c r="C42" s="78">
        <f>E13</f>
        <v>24284.807100000002</v>
      </c>
      <c r="D42" s="78">
        <f>I13</f>
        <v>47183.298000000003</v>
      </c>
      <c r="E42" s="76"/>
      <c r="F42" s="76"/>
      <c r="G42" s="76"/>
      <c r="H42" s="95" t="str">
        <f>A7</f>
        <v>Červenec</v>
      </c>
      <c r="I42" s="96">
        <f>E13/E34</f>
        <v>0.23435868724732695</v>
      </c>
      <c r="J42" s="96">
        <f>I13/I34</f>
        <v>0.56023082719781092</v>
      </c>
      <c r="K42" s="95"/>
    </row>
    <row r="43" spans="1:20" ht="15" customHeight="1">
      <c r="A43" s="95"/>
      <c r="B43" s="95" t="str">
        <f>A14</f>
        <v>Srpen</v>
      </c>
      <c r="C43" s="78">
        <f>E20</f>
        <v>44687.840099999987</v>
      </c>
      <c r="D43" s="78">
        <f>I20</f>
        <v>6526.5870400000003</v>
      </c>
      <c r="E43" s="76"/>
      <c r="F43" s="76"/>
      <c r="G43" s="76"/>
      <c r="H43" s="95" t="str">
        <f>A14</f>
        <v>Srpen</v>
      </c>
      <c r="I43" s="96">
        <f>E20/E34</f>
        <v>0.43125660824188516</v>
      </c>
      <c r="J43" s="96">
        <f>I20/I34</f>
        <v>7.749342269795792E-2</v>
      </c>
      <c r="K43" s="95"/>
    </row>
    <row r="44" spans="1:20" ht="15" customHeight="1">
      <c r="A44" s="95"/>
      <c r="B44" s="95" t="str">
        <f>A21</f>
        <v>Září</v>
      </c>
      <c r="C44" s="78">
        <f>E27</f>
        <v>34649.741989999995</v>
      </c>
      <c r="D44" s="78">
        <f>I27</f>
        <v>30511.289000000001</v>
      </c>
      <c r="E44" s="76"/>
      <c r="F44" s="76"/>
      <c r="G44" s="76"/>
      <c r="H44" s="95" t="str">
        <f>A21</f>
        <v>Září</v>
      </c>
      <c r="I44" s="96">
        <f>E27/E34</f>
        <v>0.33438470451078772</v>
      </c>
      <c r="J44" s="96">
        <f>I27/I34</f>
        <v>0.36227575010423119</v>
      </c>
      <c r="K44" s="95"/>
    </row>
    <row r="45" spans="1:20" ht="15" customHeight="1">
      <c r="A45" s="95"/>
      <c r="B45" s="95"/>
      <c r="C45" s="78">
        <f>SUM(C42:C44)</f>
        <v>103622.38918999999</v>
      </c>
      <c r="D45" s="78">
        <f>SUM(D42:D44)</f>
        <v>84221.174039999998</v>
      </c>
      <c r="E45" s="95"/>
      <c r="F45" s="95"/>
      <c r="G45" s="95"/>
      <c r="H45" s="95"/>
      <c r="I45" s="97">
        <f>SUM(I42:I44)</f>
        <v>0.99999999999999978</v>
      </c>
      <c r="J45" s="97">
        <f>SUM(J42:J44)</f>
        <v>1</v>
      </c>
      <c r="K45" s="95"/>
    </row>
    <row r="46" spans="1:20" ht="1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</row>
    <row r="47" spans="1:20" ht="1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</row>
    <row r="48" spans="1:20" ht="1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</row>
    <row r="49" spans="1:11" ht="1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1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1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</row>
    <row r="52" spans="1:11" ht="15" customHeight="1">
      <c r="A52" s="494" t="s">
        <v>205</v>
      </c>
      <c r="B52" s="494"/>
      <c r="C52" s="494"/>
      <c r="D52" s="494"/>
      <c r="E52" s="494"/>
      <c r="F52" s="494"/>
      <c r="G52" s="494"/>
      <c r="H52" s="494"/>
      <c r="I52" s="494"/>
      <c r="J52" s="494"/>
      <c r="K52" s="494"/>
    </row>
    <row r="53" spans="1:11" ht="15" customHeight="1">
      <c r="A53" s="494"/>
      <c r="B53" s="494"/>
      <c r="C53" s="494"/>
      <c r="D53" s="494"/>
      <c r="E53" s="494"/>
      <c r="F53" s="494"/>
      <c r="G53" s="494"/>
      <c r="H53" s="494"/>
      <c r="I53" s="494"/>
      <c r="J53" s="494"/>
      <c r="K53" s="494"/>
    </row>
    <row r="54" spans="1:11" ht="15" customHeight="1">
      <c r="A54" s="494"/>
      <c r="B54" s="494"/>
      <c r="C54" s="494"/>
      <c r="D54" s="494"/>
      <c r="E54" s="494"/>
      <c r="F54" s="494"/>
      <c r="G54" s="494"/>
      <c r="H54" s="494"/>
      <c r="I54" s="494"/>
      <c r="J54" s="494"/>
      <c r="K54" s="494"/>
    </row>
    <row r="55" spans="1:11" ht="1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ht="1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ht="1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ht="1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ht="1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1" ht="1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1" ht="1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A52:K54"/>
    <mergeCell ref="A7:B13"/>
    <mergeCell ref="A14:B20"/>
    <mergeCell ref="A21:B27"/>
    <mergeCell ref="A28:B34"/>
    <mergeCell ref="A36:E36"/>
    <mergeCell ref="G35:K36"/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0" t="str">
        <f>"5.6 Spotřeba zemního plynu a teplota ovzduší: "&amp;LOWER(A3)</f>
        <v>5.6 Spotřeba zemního plynu a teplota ovzduší: červenec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18.75" customHeight="1">
      <c r="A3" s="507" t="str">
        <f>'3.1'!D5</f>
        <v>Červenec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</row>
    <row r="4" spans="1:11" ht="24.95" customHeight="1">
      <c r="A4" s="129"/>
      <c r="B4" s="265">
        <f>'3.1'!A4</f>
        <v>2022</v>
      </c>
      <c r="C4" s="501" t="s">
        <v>60</v>
      </c>
      <c r="D4" s="502"/>
      <c r="E4" s="502"/>
      <c r="F4" s="503"/>
      <c r="G4" s="501" t="s">
        <v>187</v>
      </c>
      <c r="H4" s="502"/>
      <c r="I4" s="502"/>
      <c r="J4" s="502"/>
      <c r="K4" s="502"/>
    </row>
    <row r="5" spans="1:11" ht="22.5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66" t="s">
        <v>62</v>
      </c>
      <c r="H5" s="367" t="s">
        <v>174</v>
      </c>
      <c r="I5" s="367" t="s">
        <v>175</v>
      </c>
      <c r="J5" s="367" t="s">
        <v>283</v>
      </c>
      <c r="K5" s="367" t="s">
        <v>284</v>
      </c>
    </row>
    <row r="6" spans="1:11" ht="24.95" customHeight="1">
      <c r="A6" s="368" t="s">
        <v>286</v>
      </c>
      <c r="B6" s="467"/>
      <c r="C6" s="224" t="s">
        <v>264</v>
      </c>
      <c r="D6" s="222" t="s">
        <v>265</v>
      </c>
      <c r="E6" s="467"/>
      <c r="F6" s="506"/>
      <c r="G6" s="369" t="s">
        <v>233</v>
      </c>
      <c r="H6" s="370" t="s">
        <v>233</v>
      </c>
      <c r="I6" s="370" t="s">
        <v>233</v>
      </c>
      <c r="J6" s="370" t="s">
        <v>233</v>
      </c>
      <c r="K6" s="370" t="s">
        <v>233</v>
      </c>
    </row>
    <row r="7" spans="1:11" ht="15.95" customHeight="1">
      <c r="A7" s="155" t="s">
        <v>20</v>
      </c>
      <c r="B7" s="130">
        <f>'5.2'!D13</f>
        <v>410568</v>
      </c>
      <c r="C7" s="326">
        <f>'5.2'!E13</f>
        <v>18843.73768136169</v>
      </c>
      <c r="D7" s="130">
        <f>'5.2'!F13</f>
        <v>206302.80620599553</v>
      </c>
      <c r="E7" s="320">
        <f>C7/$C$11</f>
        <v>6.5300583065704423E-2</v>
      </c>
      <c r="F7" s="345">
        <f>'5.2'!H13</f>
        <v>-0.12156493202604536</v>
      </c>
      <c r="G7" s="343">
        <v>20.467741935483868</v>
      </c>
      <c r="H7" s="337">
        <v>27.2</v>
      </c>
      <c r="I7" s="337">
        <v>15.2</v>
      </c>
      <c r="J7" s="337">
        <v>18.7</v>
      </c>
      <c r="K7" s="337">
        <v>1.767741935483869</v>
      </c>
    </row>
    <row r="8" spans="1:11" ht="15.95" customHeight="1">
      <c r="A8" s="155" t="s">
        <v>87</v>
      </c>
      <c r="B8" s="130">
        <f>'5.3'!D13</f>
        <v>2265400</v>
      </c>
      <c r="C8" s="326">
        <f>'5.3'!E13</f>
        <v>235294.93843617072</v>
      </c>
      <c r="D8" s="130">
        <f>'5.3'!F13</f>
        <v>2557611.5410199999</v>
      </c>
      <c r="E8" s="320">
        <f t="shared" ref="E8:E10" si="0">C8/$C$11</f>
        <v>0.81538476771985469</v>
      </c>
      <c r="F8" s="345">
        <f>'5.3'!H13</f>
        <v>-0.22183425679608265</v>
      </c>
      <c r="G8" s="343">
        <v>18.857526881720432</v>
      </c>
      <c r="H8" s="338">
        <v>25.016666666666669</v>
      </c>
      <c r="I8" s="338">
        <v>13.333333333333334</v>
      </c>
      <c r="J8" s="338">
        <v>17.583333333333329</v>
      </c>
      <c r="K8" s="337">
        <v>1.2741935483871032</v>
      </c>
    </row>
    <row r="9" spans="1:11" ht="15.95" customHeight="1">
      <c r="A9" s="155" t="s">
        <v>214</v>
      </c>
      <c r="B9" s="130">
        <f>'5.4'!D13</f>
        <v>113911</v>
      </c>
      <c r="C9" s="326">
        <f>'5.4'!E13</f>
        <v>10145.726989999999</v>
      </c>
      <c r="D9" s="130">
        <f>'5.4'!F13</f>
        <v>109754.00306999999</v>
      </c>
      <c r="E9" s="320">
        <f t="shared" si="0"/>
        <v>3.5158730145546102E-2</v>
      </c>
      <c r="F9" s="345">
        <f>'5.4'!H13</f>
        <v>-9.9076142812616994E-2</v>
      </c>
      <c r="G9" s="343">
        <v>18.416129032258066</v>
      </c>
      <c r="H9" s="338">
        <v>24</v>
      </c>
      <c r="I9" s="338">
        <v>12.8</v>
      </c>
      <c r="J9" s="338">
        <v>17.100000000000009</v>
      </c>
      <c r="K9" s="337">
        <v>1.3161290322580577</v>
      </c>
    </row>
    <row r="10" spans="1:11" ht="15.95" customHeight="1">
      <c r="A10" s="155" t="s">
        <v>32</v>
      </c>
      <c r="B10" s="130">
        <f>'5.5'!D13</f>
        <v>8769</v>
      </c>
      <c r="C10" s="326">
        <f>'5.5'!E13</f>
        <v>24284.807100000002</v>
      </c>
      <c r="D10" s="130">
        <f>'5.5'!F13</f>
        <v>265297.35359300004</v>
      </c>
      <c r="E10" s="320">
        <f t="shared" si="0"/>
        <v>8.4155919068894844E-2</v>
      </c>
      <c r="F10" s="345">
        <f>'5.5'!H13</f>
        <v>-0.48530924862437552</v>
      </c>
      <c r="G10" s="343">
        <v>18.874193548387094</v>
      </c>
      <c r="H10" s="338">
        <v>24.9</v>
      </c>
      <c r="I10" s="338">
        <v>13.3</v>
      </c>
      <c r="J10" s="338">
        <v>18.522580645161291</v>
      </c>
      <c r="K10" s="337">
        <v>0.35161290322580285</v>
      </c>
    </row>
    <row r="11" spans="1:11" ht="15.95" customHeight="1">
      <c r="A11" s="160" t="s">
        <v>3</v>
      </c>
      <c r="B11" s="323">
        <f>SUM(B7:B10)</f>
        <v>2798648</v>
      </c>
      <c r="C11" s="327">
        <f>SUM(C7:C10)</f>
        <v>288569.21020753239</v>
      </c>
      <c r="D11" s="323">
        <f t="shared" ref="D11:E11" si="1">SUM(D7:D10)</f>
        <v>3138965.7038889956</v>
      </c>
      <c r="E11" s="324">
        <f t="shared" si="1"/>
        <v>1</v>
      </c>
      <c r="F11" s="346">
        <f>'5.1'!H14</f>
        <v>-0.24511182135802911</v>
      </c>
      <c r="G11" s="344">
        <v>18.874193548387094</v>
      </c>
      <c r="H11" s="342">
        <v>24.9</v>
      </c>
      <c r="I11" s="342">
        <v>13.3</v>
      </c>
      <c r="J11" s="342">
        <v>18.522580645161291</v>
      </c>
      <c r="K11" s="341">
        <v>0.35161290322580285</v>
      </c>
    </row>
    <row r="12" spans="1:11" ht="15" customHeight="1">
      <c r="A12" s="102"/>
      <c r="B12" s="95"/>
      <c r="C12" s="495" t="s">
        <v>244</v>
      </c>
      <c r="D12" s="495"/>
      <c r="E12" s="495"/>
      <c r="F12" s="495"/>
      <c r="G12" s="498" t="s">
        <v>245</v>
      </c>
      <c r="H12" s="498"/>
      <c r="I12" s="498"/>
      <c r="J12" s="498"/>
      <c r="K12" s="498"/>
    </row>
    <row r="13" spans="1:11" ht="15" customHeight="1">
      <c r="A13" s="95"/>
      <c r="B13" s="95"/>
      <c r="C13" s="495"/>
      <c r="D13" s="495"/>
      <c r="E13" s="495"/>
      <c r="F13" s="495"/>
      <c r="G13" s="498" t="s">
        <v>246</v>
      </c>
      <c r="H13" s="498"/>
      <c r="I13" s="498"/>
      <c r="J13" s="498"/>
      <c r="K13" s="498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499" t="s">
        <v>276</v>
      </c>
      <c r="B16" s="499"/>
      <c r="C16" s="499"/>
      <c r="D16" s="499"/>
      <c r="E16" s="499"/>
      <c r="F16" s="499" t="s">
        <v>277</v>
      </c>
      <c r="G16" s="499"/>
      <c r="H16" s="499"/>
      <c r="I16" s="499"/>
      <c r="J16" s="499"/>
      <c r="K16" s="499"/>
    </row>
    <row r="17" spans="1:11" ht="15" customHeight="1">
      <c r="A17" s="499"/>
      <c r="B17" s="499"/>
      <c r="C17" s="499"/>
      <c r="D17" s="499"/>
      <c r="E17" s="499"/>
      <c r="F17" s="499"/>
      <c r="G17" s="499"/>
      <c r="H17" s="499"/>
      <c r="I17" s="499"/>
      <c r="J17" s="499"/>
      <c r="K17" s="499"/>
    </row>
    <row r="18" spans="1:11" ht="15" customHeight="1">
      <c r="A18" s="125"/>
      <c r="B18" s="496"/>
      <c r="C18" s="496"/>
      <c r="D18" s="125"/>
      <c r="E18" s="125"/>
      <c r="F18" s="125"/>
      <c r="G18" s="125"/>
      <c r="H18" s="496"/>
      <c r="I18" s="496"/>
      <c r="J18" s="125"/>
      <c r="K18" s="125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499" t="s">
        <v>278</v>
      </c>
      <c r="B33" s="482"/>
      <c r="C33" s="482"/>
      <c r="D33" s="482"/>
      <c r="E33" s="482"/>
      <c r="F33" s="499" t="s">
        <v>66</v>
      </c>
      <c r="G33" s="499"/>
      <c r="H33" s="499"/>
      <c r="I33" s="499"/>
      <c r="J33" s="499"/>
      <c r="K33" s="499"/>
    </row>
    <row r="34" spans="1:11" ht="15" customHeight="1">
      <c r="A34" s="482"/>
      <c r="B34" s="482"/>
      <c r="C34" s="482"/>
      <c r="D34" s="482"/>
      <c r="E34" s="482"/>
      <c r="F34" s="499"/>
      <c r="G34" s="499"/>
      <c r="H34" s="499"/>
      <c r="I34" s="499"/>
      <c r="J34" s="499"/>
      <c r="K34" s="499"/>
    </row>
    <row r="35" spans="1:11" ht="15" customHeight="1">
      <c r="A35" s="125"/>
      <c r="B35" s="496"/>
      <c r="C35" s="496"/>
      <c r="D35" s="125"/>
      <c r="E35" s="122"/>
      <c r="F35" s="128"/>
      <c r="G35" s="128"/>
      <c r="H35" s="497"/>
      <c r="I35" s="497"/>
      <c r="J35" s="128"/>
      <c r="K35" s="128"/>
    </row>
    <row r="36" spans="1:11" ht="15" customHeight="1">
      <c r="A36" s="125"/>
      <c r="B36" s="125"/>
      <c r="C36" s="125"/>
      <c r="D36" s="125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A1:K1"/>
    <mergeCell ref="G4:K4"/>
    <mergeCell ref="B5:B6"/>
    <mergeCell ref="C4:F4"/>
    <mergeCell ref="A2:B2"/>
    <mergeCell ref="E5:E6"/>
    <mergeCell ref="F5:F6"/>
    <mergeCell ref="A3:K3"/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topLeftCell="A13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0" t="str">
        <f>"5.7 Spotřeba zemního plynu a teplota ovzduší: "&amp;LOWER(A3)</f>
        <v>5.7 Spotřeba zemního plynu a teplota ovzduší: srpen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18.75" customHeight="1">
      <c r="A3" s="507" t="str">
        <f>'3.1'!E5</f>
        <v>Srpen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</row>
    <row r="4" spans="1:11" ht="24.95" customHeight="1">
      <c r="A4" s="129"/>
      <c r="B4" s="265">
        <f>'3.1'!A4</f>
        <v>2022</v>
      </c>
      <c r="C4" s="501" t="s">
        <v>60</v>
      </c>
      <c r="D4" s="502"/>
      <c r="E4" s="502"/>
      <c r="F4" s="503"/>
      <c r="G4" s="501" t="s">
        <v>187</v>
      </c>
      <c r="H4" s="502"/>
      <c r="I4" s="502"/>
      <c r="J4" s="502"/>
      <c r="K4" s="502"/>
    </row>
    <row r="5" spans="1:11" ht="22.5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66" t="s">
        <v>62</v>
      </c>
      <c r="H5" s="367" t="s">
        <v>174</v>
      </c>
      <c r="I5" s="367" t="s">
        <v>175</v>
      </c>
      <c r="J5" s="367" t="s">
        <v>283</v>
      </c>
      <c r="K5" s="367" t="s">
        <v>284</v>
      </c>
    </row>
    <row r="6" spans="1:11" ht="24.95" customHeight="1">
      <c r="A6" s="368" t="s">
        <v>286</v>
      </c>
      <c r="B6" s="467"/>
      <c r="C6" s="224" t="s">
        <v>264</v>
      </c>
      <c r="D6" s="222" t="s">
        <v>265</v>
      </c>
      <c r="E6" s="467"/>
      <c r="F6" s="506"/>
      <c r="G6" s="369" t="s">
        <v>233</v>
      </c>
      <c r="H6" s="370" t="s">
        <v>233</v>
      </c>
      <c r="I6" s="370" t="s">
        <v>233</v>
      </c>
      <c r="J6" s="370" t="s">
        <v>233</v>
      </c>
      <c r="K6" s="370" t="s">
        <v>233</v>
      </c>
    </row>
    <row r="7" spans="1:11" ht="15.95" customHeight="1">
      <c r="A7" s="155" t="s">
        <v>20</v>
      </c>
      <c r="B7" s="130">
        <f>'5.2'!D20</f>
        <v>410060</v>
      </c>
      <c r="C7" s="326">
        <f>'5.2'!E20</f>
        <v>18444.496195747073</v>
      </c>
      <c r="D7" s="130">
        <f>'5.2'!F20</f>
        <v>201105.41613698474</v>
      </c>
      <c r="E7" s="320">
        <f>C7/$C$11</f>
        <v>5.9287099680248243E-2</v>
      </c>
      <c r="F7" s="345">
        <f>'5.2'!H20</f>
        <v>-0.15669743247096515</v>
      </c>
      <c r="G7" s="343">
        <v>20.93870967741935</v>
      </c>
      <c r="H7" s="337">
        <v>27.3</v>
      </c>
      <c r="I7" s="337">
        <v>15.7</v>
      </c>
      <c r="J7" s="337">
        <v>18.5</v>
      </c>
      <c r="K7" s="337">
        <v>2.4387096774193502</v>
      </c>
    </row>
    <row r="8" spans="1:11" ht="15.95" customHeight="1">
      <c r="A8" s="155" t="s">
        <v>87</v>
      </c>
      <c r="B8" s="130">
        <f>'5.3'!D20</f>
        <v>2262141</v>
      </c>
      <c r="C8" s="326">
        <f>'5.3'!E20</f>
        <v>237313.06780265464</v>
      </c>
      <c r="D8" s="130">
        <f>'5.3'!F20</f>
        <v>2574977.5773</v>
      </c>
      <c r="E8" s="320">
        <f t="shared" ref="E8:E10" si="0">C8/$C$11</f>
        <v>0.76280768837078128</v>
      </c>
      <c r="F8" s="345">
        <f>'5.3'!H20</f>
        <v>-0.26352616141114266</v>
      </c>
      <c r="G8" s="343">
        <v>19.419892473118281</v>
      </c>
      <c r="H8" s="338">
        <v>25.283333333333331</v>
      </c>
      <c r="I8" s="338">
        <v>15.15</v>
      </c>
      <c r="J8" s="338">
        <v>17.31666666666667</v>
      </c>
      <c r="K8" s="337">
        <v>2.1032258064516114</v>
      </c>
    </row>
    <row r="9" spans="1:11" ht="15.95" customHeight="1">
      <c r="A9" s="155" t="s">
        <v>214</v>
      </c>
      <c r="B9" s="130">
        <f>'5.4'!D20</f>
        <v>113708</v>
      </c>
      <c r="C9" s="326">
        <f>'5.4'!E20</f>
        <v>10659.31</v>
      </c>
      <c r="D9" s="130">
        <f>'5.4'!F20</f>
        <v>115844.40463999999</v>
      </c>
      <c r="E9" s="320">
        <f t="shared" si="0"/>
        <v>3.426277236232584E-2</v>
      </c>
      <c r="F9" s="345">
        <f>'5.4'!H20</f>
        <v>-0.16812566202529228</v>
      </c>
      <c r="G9" s="343">
        <v>18.464516129032262</v>
      </c>
      <c r="H9" s="338">
        <v>23.8</v>
      </c>
      <c r="I9" s="338">
        <v>13.6</v>
      </c>
      <c r="J9" s="338">
        <v>16.800000000000004</v>
      </c>
      <c r="K9" s="337">
        <v>1.6645161290322577</v>
      </c>
    </row>
    <row r="10" spans="1:11" ht="15.95" customHeight="1">
      <c r="A10" s="155" t="s">
        <v>32</v>
      </c>
      <c r="B10" s="130">
        <f>'5.5'!D20</f>
        <v>8854</v>
      </c>
      <c r="C10" s="326">
        <f>'5.5'!E20</f>
        <v>44687.840099999987</v>
      </c>
      <c r="D10" s="130">
        <f>'5.5'!F20</f>
        <v>485694.99824200006</v>
      </c>
      <c r="E10" s="320">
        <f t="shared" si="0"/>
        <v>0.14364243958664452</v>
      </c>
      <c r="F10" s="345">
        <f>'5.5'!H20</f>
        <v>5.8470457570117667</v>
      </c>
      <c r="G10" s="343">
        <v>19.361290322580643</v>
      </c>
      <c r="H10" s="338">
        <v>25.2</v>
      </c>
      <c r="I10" s="338">
        <v>15</v>
      </c>
      <c r="J10" s="338">
        <v>18.119354838709679</v>
      </c>
      <c r="K10" s="337">
        <v>1.2419354838709644</v>
      </c>
    </row>
    <row r="11" spans="1:11" ht="15.95" customHeight="1">
      <c r="A11" s="160" t="s">
        <v>3</v>
      </c>
      <c r="B11" s="323">
        <f>SUM(B7:B10)</f>
        <v>2794763</v>
      </c>
      <c r="C11" s="327">
        <f t="shared" ref="C11:E11" si="1">SUM(C7:C10)</f>
        <v>311104.71409840172</v>
      </c>
      <c r="D11" s="323">
        <f t="shared" si="1"/>
        <v>3377622.3963189847</v>
      </c>
      <c r="E11" s="324">
        <f t="shared" si="1"/>
        <v>1</v>
      </c>
      <c r="F11" s="346">
        <f>'5.1'!H21</f>
        <v>-0.14400148436927032</v>
      </c>
      <c r="G11" s="344">
        <v>19.361290322580643</v>
      </c>
      <c r="H11" s="342">
        <v>25.2</v>
      </c>
      <c r="I11" s="342">
        <v>15</v>
      </c>
      <c r="J11" s="342">
        <v>18.119354838709679</v>
      </c>
      <c r="K11" s="341">
        <v>1.2419354838709644</v>
      </c>
    </row>
    <row r="12" spans="1:11" ht="15" customHeight="1">
      <c r="A12" s="102"/>
      <c r="B12" s="95"/>
      <c r="C12" s="495" t="s">
        <v>244</v>
      </c>
      <c r="D12" s="495"/>
      <c r="E12" s="495"/>
      <c r="F12" s="495"/>
      <c r="G12" s="498" t="s">
        <v>245</v>
      </c>
      <c r="H12" s="498"/>
      <c r="I12" s="498"/>
      <c r="J12" s="498"/>
      <c r="K12" s="498"/>
    </row>
    <row r="13" spans="1:11" ht="15" customHeight="1">
      <c r="A13" s="95"/>
      <c r="B13" s="95"/>
      <c r="C13" s="495"/>
      <c r="D13" s="495"/>
      <c r="E13" s="495"/>
      <c r="F13" s="495"/>
      <c r="G13" s="498" t="s">
        <v>246</v>
      </c>
      <c r="H13" s="498"/>
      <c r="I13" s="498"/>
      <c r="J13" s="498"/>
      <c r="K13" s="498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499" t="s">
        <v>276</v>
      </c>
      <c r="B16" s="499"/>
      <c r="C16" s="499"/>
      <c r="D16" s="499"/>
      <c r="E16" s="499"/>
      <c r="F16" s="499" t="s">
        <v>277</v>
      </c>
      <c r="G16" s="499"/>
      <c r="H16" s="499"/>
      <c r="I16" s="499"/>
      <c r="J16" s="499"/>
      <c r="K16" s="499"/>
    </row>
    <row r="17" spans="1:11" ht="15" customHeight="1">
      <c r="A17" s="499"/>
      <c r="B17" s="499"/>
      <c r="C17" s="499"/>
      <c r="D17" s="499"/>
      <c r="E17" s="499"/>
      <c r="F17" s="499"/>
      <c r="G17" s="499"/>
      <c r="H17" s="499"/>
      <c r="I17" s="499"/>
      <c r="J17" s="499"/>
      <c r="K17" s="499"/>
    </row>
    <row r="18" spans="1:11" ht="15" customHeight="1">
      <c r="A18" s="121"/>
      <c r="B18" s="496"/>
      <c r="C18" s="496"/>
      <c r="D18" s="121"/>
      <c r="E18" s="121"/>
      <c r="F18" s="121"/>
      <c r="G18" s="124"/>
      <c r="H18" s="496"/>
      <c r="I18" s="496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499" t="s">
        <v>278</v>
      </c>
      <c r="B33" s="482"/>
      <c r="C33" s="482"/>
      <c r="D33" s="482"/>
      <c r="E33" s="482"/>
      <c r="F33" s="499" t="s">
        <v>66</v>
      </c>
      <c r="G33" s="499"/>
      <c r="H33" s="499"/>
      <c r="I33" s="499"/>
      <c r="J33" s="499"/>
      <c r="K33" s="499"/>
    </row>
    <row r="34" spans="1:11" ht="15" customHeight="1">
      <c r="A34" s="482"/>
      <c r="B34" s="482"/>
      <c r="C34" s="482"/>
      <c r="D34" s="482"/>
      <c r="E34" s="482"/>
      <c r="F34" s="499"/>
      <c r="G34" s="499"/>
      <c r="H34" s="499"/>
      <c r="I34" s="499"/>
      <c r="J34" s="499"/>
      <c r="K34" s="499"/>
    </row>
    <row r="35" spans="1:11" ht="15" customHeight="1">
      <c r="A35" s="121"/>
      <c r="B35" s="496"/>
      <c r="C35" s="496"/>
      <c r="D35" s="121"/>
      <c r="E35" s="122"/>
      <c r="F35" s="128"/>
      <c r="G35" s="128"/>
      <c r="H35" s="497"/>
      <c r="I35" s="497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B35:C35"/>
    <mergeCell ref="H35:I35"/>
    <mergeCell ref="H18:I18"/>
    <mergeCell ref="A33:E34"/>
    <mergeCell ref="F33:K34"/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0" t="str">
        <f>"5.8 Spotřeba zemního plynu a teplota ovzduší: "&amp;LOWER(A3)</f>
        <v>5.8 Spotřeba zemního plynu a teplota ovzduší: září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18.75" customHeight="1">
      <c r="A3" s="507" t="str">
        <f>'3.1'!F5</f>
        <v>Září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</row>
    <row r="4" spans="1:11" ht="24.95" customHeight="1">
      <c r="A4" s="129"/>
      <c r="B4" s="265">
        <f>'3.1'!A4</f>
        <v>2022</v>
      </c>
      <c r="C4" s="501" t="s">
        <v>60</v>
      </c>
      <c r="D4" s="502"/>
      <c r="E4" s="502"/>
      <c r="F4" s="503"/>
      <c r="G4" s="501" t="s">
        <v>187</v>
      </c>
      <c r="H4" s="502"/>
      <c r="I4" s="502"/>
      <c r="J4" s="502"/>
      <c r="K4" s="502"/>
    </row>
    <row r="5" spans="1:11" ht="22.5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66" t="s">
        <v>62</v>
      </c>
      <c r="H5" s="367" t="s">
        <v>174</v>
      </c>
      <c r="I5" s="367" t="s">
        <v>175</v>
      </c>
      <c r="J5" s="367" t="s">
        <v>283</v>
      </c>
      <c r="K5" s="367" t="s">
        <v>284</v>
      </c>
    </row>
    <row r="6" spans="1:11" ht="24.95" customHeight="1">
      <c r="A6" s="368" t="s">
        <v>286</v>
      </c>
      <c r="B6" s="467"/>
      <c r="C6" s="224" t="s">
        <v>264</v>
      </c>
      <c r="D6" s="222" t="s">
        <v>265</v>
      </c>
      <c r="E6" s="467"/>
      <c r="F6" s="506"/>
      <c r="G6" s="369" t="s">
        <v>233</v>
      </c>
      <c r="H6" s="370" t="s">
        <v>233</v>
      </c>
      <c r="I6" s="370" t="s">
        <v>233</v>
      </c>
      <c r="J6" s="370" t="s">
        <v>233</v>
      </c>
      <c r="K6" s="370" t="s">
        <v>233</v>
      </c>
    </row>
    <row r="7" spans="1:11" ht="15.95" customHeight="1">
      <c r="A7" s="155" t="s">
        <v>20</v>
      </c>
      <c r="B7" s="130">
        <f>'5.2'!D27</f>
        <v>409416</v>
      </c>
      <c r="C7" s="326">
        <f>'5.2'!E27</f>
        <v>29906.473419748214</v>
      </c>
      <c r="D7" s="130">
        <f>'5.2'!F27</f>
        <v>329065.85467596835</v>
      </c>
      <c r="E7" s="320">
        <f>C7/$C$11</f>
        <v>7.8011875296974967E-2</v>
      </c>
      <c r="F7" s="345">
        <f>'5.2'!H27</f>
        <v>5.4484675473757287E-2</v>
      </c>
      <c r="G7" s="343">
        <v>13.73666666666667</v>
      </c>
      <c r="H7" s="337">
        <v>19.8</v>
      </c>
      <c r="I7" s="337">
        <v>8.4</v>
      </c>
      <c r="J7" s="337">
        <v>14.100000000000005</v>
      </c>
      <c r="K7" s="337">
        <v>-0.36333333333333506</v>
      </c>
    </row>
    <row r="8" spans="1:11" ht="15.95" customHeight="1">
      <c r="A8" s="155" t="s">
        <v>87</v>
      </c>
      <c r="B8" s="130">
        <f>'5.3'!D27</f>
        <v>2259096</v>
      </c>
      <c r="C8" s="326">
        <f>'5.3'!E27</f>
        <v>303570.78524278855</v>
      </c>
      <c r="D8" s="130">
        <f>'5.3'!F27</f>
        <v>3320011.0652700001</v>
      </c>
      <c r="E8" s="320">
        <f t="shared" ref="E8:E10" si="0">C8/$C$11</f>
        <v>0.79187291359224965</v>
      </c>
      <c r="F8" s="345">
        <f>'5.3'!H27</f>
        <v>-0.14469945213054769</v>
      </c>
      <c r="G8" s="343">
        <v>12.180555555555555</v>
      </c>
      <c r="H8" s="338">
        <v>18.266666666666666</v>
      </c>
      <c r="I8" s="338">
        <v>7.6999999999999993</v>
      </c>
      <c r="J8" s="338">
        <v>13.033333333333342</v>
      </c>
      <c r="K8" s="337">
        <v>-0.85277777777778674</v>
      </c>
    </row>
    <row r="9" spans="1:11" ht="15.95" customHeight="1">
      <c r="A9" s="155" t="s">
        <v>214</v>
      </c>
      <c r="B9" s="130">
        <f>'5.4'!D27</f>
        <v>113531</v>
      </c>
      <c r="C9" s="326">
        <f>'5.4'!E27</f>
        <v>15230.959989999999</v>
      </c>
      <c r="D9" s="130">
        <f>'5.4'!F27</f>
        <v>165664.25393000001</v>
      </c>
      <c r="E9" s="320">
        <f t="shared" si="0"/>
        <v>3.9730386619523342E-2</v>
      </c>
      <c r="F9" s="345">
        <f>'5.4'!H27</f>
        <v>-8.5818980213257668E-3</v>
      </c>
      <c r="G9" s="343">
        <v>11.75</v>
      </c>
      <c r="H9" s="338">
        <v>17.399999999999999</v>
      </c>
      <c r="I9" s="338">
        <v>6.8</v>
      </c>
      <c r="J9" s="338">
        <v>12.5</v>
      </c>
      <c r="K9" s="337">
        <v>-0.75</v>
      </c>
    </row>
    <row r="10" spans="1:11" ht="15.95" customHeight="1">
      <c r="A10" s="155" t="s">
        <v>32</v>
      </c>
      <c r="B10" s="130">
        <f>'5.5'!D27</f>
        <v>8853</v>
      </c>
      <c r="C10" s="326">
        <f>'5.5'!E27</f>
        <v>34649.741989999995</v>
      </c>
      <c r="D10" s="130">
        <f>'5.5'!F27</f>
        <v>380548.499282</v>
      </c>
      <c r="E10" s="320">
        <f t="shared" si="0"/>
        <v>9.0384824491252055E-2</v>
      </c>
      <c r="F10" s="345">
        <f>'5.5'!H27</f>
        <v>0.13563677988170195</v>
      </c>
      <c r="G10" s="343">
        <v>12.16</v>
      </c>
      <c r="H10" s="338">
        <v>18.100000000000001</v>
      </c>
      <c r="I10" s="338">
        <v>7.7</v>
      </c>
      <c r="J10" s="338">
        <v>13.223333333333333</v>
      </c>
      <c r="K10" s="337">
        <v>-1.0633333333333326</v>
      </c>
    </row>
    <row r="11" spans="1:11" ht="15.95" customHeight="1">
      <c r="A11" s="160" t="s">
        <v>3</v>
      </c>
      <c r="B11" s="323">
        <f>SUM(B7:B10)</f>
        <v>2790896</v>
      </c>
      <c r="C11" s="327">
        <f t="shared" ref="C11:E11" si="1">SUM(C7:C10)</f>
        <v>383357.96064253675</v>
      </c>
      <c r="D11" s="323">
        <f t="shared" si="1"/>
        <v>4195289.6731579686</v>
      </c>
      <c r="E11" s="324">
        <f t="shared" si="1"/>
        <v>1</v>
      </c>
      <c r="F11" s="346">
        <f>'5.1'!H28</f>
        <v>-0.10673338732488466</v>
      </c>
      <c r="G11" s="344">
        <v>12.16</v>
      </c>
      <c r="H11" s="342">
        <v>18.100000000000001</v>
      </c>
      <c r="I11" s="342">
        <v>7.7</v>
      </c>
      <c r="J11" s="342">
        <v>13.223333333333333</v>
      </c>
      <c r="K11" s="341">
        <v>-1.0633333333333326</v>
      </c>
    </row>
    <row r="12" spans="1:11" ht="15" customHeight="1">
      <c r="A12" s="102"/>
      <c r="B12" s="95"/>
      <c r="C12" s="495" t="s">
        <v>244</v>
      </c>
      <c r="D12" s="495"/>
      <c r="E12" s="495"/>
      <c r="F12" s="495"/>
      <c r="G12" s="498" t="s">
        <v>245</v>
      </c>
      <c r="H12" s="498"/>
      <c r="I12" s="498"/>
      <c r="J12" s="498"/>
      <c r="K12" s="498"/>
    </row>
    <row r="13" spans="1:11" ht="15" customHeight="1">
      <c r="A13" s="95"/>
      <c r="B13" s="95"/>
      <c r="C13" s="495"/>
      <c r="D13" s="495"/>
      <c r="E13" s="495"/>
      <c r="F13" s="495"/>
      <c r="G13" s="498" t="s">
        <v>246</v>
      </c>
      <c r="H13" s="498"/>
      <c r="I13" s="498"/>
      <c r="J13" s="498"/>
      <c r="K13" s="498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499" t="s">
        <v>276</v>
      </c>
      <c r="B16" s="499"/>
      <c r="C16" s="499"/>
      <c r="D16" s="499"/>
      <c r="E16" s="499"/>
      <c r="F16" s="499" t="s">
        <v>277</v>
      </c>
      <c r="G16" s="499"/>
      <c r="H16" s="499"/>
      <c r="I16" s="499"/>
      <c r="J16" s="499"/>
      <c r="K16" s="499"/>
    </row>
    <row r="17" spans="1:11" ht="15" customHeight="1">
      <c r="A17" s="499"/>
      <c r="B17" s="499"/>
      <c r="C17" s="499"/>
      <c r="D17" s="499"/>
      <c r="E17" s="499"/>
      <c r="F17" s="499"/>
      <c r="G17" s="499"/>
      <c r="H17" s="499"/>
      <c r="I17" s="499"/>
      <c r="J17" s="499"/>
      <c r="K17" s="499"/>
    </row>
    <row r="18" spans="1:11" ht="15" customHeight="1">
      <c r="A18" s="121"/>
      <c r="B18" s="496"/>
      <c r="C18" s="496"/>
      <c r="D18" s="121"/>
      <c r="E18" s="121"/>
      <c r="F18" s="121"/>
      <c r="G18" s="121"/>
      <c r="H18" s="496"/>
      <c r="I18" s="496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499" t="s">
        <v>278</v>
      </c>
      <c r="B33" s="482"/>
      <c r="C33" s="482"/>
      <c r="D33" s="482"/>
      <c r="E33" s="482"/>
      <c r="F33" s="499" t="s">
        <v>66</v>
      </c>
      <c r="G33" s="499"/>
      <c r="H33" s="499"/>
      <c r="I33" s="499"/>
      <c r="J33" s="499"/>
      <c r="K33" s="499"/>
    </row>
    <row r="34" spans="1:11" ht="15" customHeight="1">
      <c r="A34" s="482"/>
      <c r="B34" s="482"/>
      <c r="C34" s="482"/>
      <c r="D34" s="482"/>
      <c r="E34" s="482"/>
      <c r="F34" s="499"/>
      <c r="G34" s="499"/>
      <c r="H34" s="499"/>
      <c r="I34" s="499"/>
      <c r="J34" s="499"/>
      <c r="K34" s="499"/>
    </row>
    <row r="35" spans="1:11" ht="15" customHeight="1">
      <c r="A35" s="121"/>
      <c r="B35" s="496"/>
      <c r="C35" s="496"/>
      <c r="D35" s="121"/>
      <c r="E35" s="122"/>
      <c r="F35" s="128"/>
      <c r="G35" s="128"/>
      <c r="H35" s="497"/>
      <c r="I35" s="497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A1:K1"/>
    <mergeCell ref="G4:K4"/>
    <mergeCell ref="A2:B2"/>
    <mergeCell ref="C4:F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84" customWidth="1"/>
    <col min="2" max="3" width="8.7109375" style="84" customWidth="1"/>
    <col min="4" max="4" width="9.7109375" style="84" customWidth="1"/>
    <col min="5" max="9" width="6.7109375" style="84" customWidth="1"/>
    <col min="10" max="10" width="7.7109375" style="84" customWidth="1"/>
    <col min="11" max="11" width="8.7109375" style="84" customWidth="1"/>
    <col min="12" max="13" width="9.140625" style="84"/>
    <col min="14" max="14" width="11.140625" style="84" customWidth="1"/>
    <col min="15" max="16384" width="9.140625" style="84"/>
  </cols>
  <sheetData>
    <row r="1" spans="1:11" ht="18">
      <c r="A1" s="500" t="str">
        <f>"5.9 Spotřeba zemního plynu a teplota ovzduší: "&amp;(A3)</f>
        <v>5.9 Spotřeba zemního plynu a teplota ovzduší: III. čtvrtletí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18.75" customHeight="1">
      <c r="A3" s="507" t="str">
        <f>'3.1'!G5</f>
        <v>III. čtvrtletí</v>
      </c>
      <c r="B3" s="507"/>
      <c r="C3" s="507"/>
      <c r="D3" s="507"/>
      <c r="E3" s="507"/>
      <c r="F3" s="507"/>
      <c r="G3" s="507"/>
      <c r="H3" s="507"/>
      <c r="I3" s="507"/>
      <c r="J3" s="507"/>
      <c r="K3" s="507"/>
    </row>
    <row r="4" spans="1:11" ht="24.95" customHeight="1">
      <c r="A4" s="129"/>
      <c r="B4" s="265">
        <f>'3.1'!A4</f>
        <v>2022</v>
      </c>
      <c r="C4" s="501" t="s">
        <v>60</v>
      </c>
      <c r="D4" s="502"/>
      <c r="E4" s="502"/>
      <c r="F4" s="503"/>
      <c r="G4" s="501" t="s">
        <v>187</v>
      </c>
      <c r="H4" s="502"/>
      <c r="I4" s="502"/>
      <c r="J4" s="502"/>
      <c r="K4" s="502"/>
    </row>
    <row r="5" spans="1:11" ht="22.5" customHeight="1">
      <c r="A5" s="285"/>
      <c r="B5" s="505" t="s">
        <v>186</v>
      </c>
      <c r="C5" s="364"/>
      <c r="D5" s="365"/>
      <c r="E5" s="510" t="s">
        <v>282</v>
      </c>
      <c r="F5" s="511" t="s">
        <v>285</v>
      </c>
      <c r="G5" s="366" t="s">
        <v>62</v>
      </c>
      <c r="H5" s="367" t="s">
        <v>174</v>
      </c>
      <c r="I5" s="367" t="s">
        <v>175</v>
      </c>
      <c r="J5" s="367" t="s">
        <v>283</v>
      </c>
      <c r="K5" s="367" t="s">
        <v>284</v>
      </c>
    </row>
    <row r="6" spans="1:11" ht="24.95" customHeight="1">
      <c r="A6" s="368" t="s">
        <v>286</v>
      </c>
      <c r="B6" s="506"/>
      <c r="C6" s="224" t="s">
        <v>264</v>
      </c>
      <c r="D6" s="222" t="s">
        <v>265</v>
      </c>
      <c r="E6" s="467"/>
      <c r="F6" s="506"/>
      <c r="G6" s="369" t="s">
        <v>233</v>
      </c>
      <c r="H6" s="370" t="s">
        <v>233</v>
      </c>
      <c r="I6" s="370" t="s">
        <v>233</v>
      </c>
      <c r="J6" s="370" t="s">
        <v>233</v>
      </c>
      <c r="K6" s="370" t="s">
        <v>233</v>
      </c>
    </row>
    <row r="7" spans="1:11" ht="15.95" customHeight="1">
      <c r="A7" s="155" t="s">
        <v>20</v>
      </c>
      <c r="B7" s="130">
        <f>'5.2'!D34</f>
        <v>409416</v>
      </c>
      <c r="C7" s="326">
        <f>'5.2'!E34</f>
        <v>67194.707296856985</v>
      </c>
      <c r="D7" s="130">
        <f>'5.2'!F34</f>
        <v>736474.07701894874</v>
      </c>
      <c r="E7" s="320">
        <f>C7/$C$11</f>
        <v>6.8354555254715094E-2</v>
      </c>
      <c r="F7" s="345">
        <f>'5.2'!H34</f>
        <v>-6.2632026148515207E-2</v>
      </c>
      <c r="G7" s="343">
        <f>AVERAGE('5.6'!G7,'5.7'!G7,'5.8'!G7)</f>
        <v>18.381039426523298</v>
      </c>
      <c r="H7" s="337">
        <f>MAX('5.6'!H7,'5.7'!H7,'5.8'!H7)</f>
        <v>27.3</v>
      </c>
      <c r="I7" s="337">
        <f>MIN('5.6'!I7,'5.7'!I7,'5.8'!I7)</f>
        <v>8.4</v>
      </c>
      <c r="J7" s="337">
        <f>AVERAGE('5.6'!J7,'5.7'!J7,'5.8'!J7)</f>
        <v>17.100000000000005</v>
      </c>
      <c r="K7" s="337">
        <f>G7-J7</f>
        <v>1.2810394265232929</v>
      </c>
    </row>
    <row r="8" spans="1:11" ht="15.95" customHeight="1">
      <c r="A8" s="155" t="s">
        <v>87</v>
      </c>
      <c r="B8" s="130">
        <f>'5.3'!D34</f>
        <v>2259096</v>
      </c>
      <c r="C8" s="326">
        <f>'5.3'!E34</f>
        <v>776178.79148161388</v>
      </c>
      <c r="D8" s="130">
        <f>'5.3'!F34</f>
        <v>8452600.1835899986</v>
      </c>
      <c r="E8" s="320">
        <f t="shared" ref="E8:E10" si="0">C8/$C$11</f>
        <v>0.78957641493215658</v>
      </c>
      <c r="F8" s="345">
        <f>'5.3'!H34</f>
        <v>-0.20759983011548447</v>
      </c>
      <c r="G8" s="343">
        <f>AVERAGE('5.6'!G8,'5.7'!G8,'5.8'!G8)</f>
        <v>16.819324970131422</v>
      </c>
      <c r="H8" s="338">
        <f>MAX('5.6'!H8,'5.7'!H8,'5.8'!H8)</f>
        <v>25.283333333333331</v>
      </c>
      <c r="I8" s="338">
        <f>MIN('5.6'!I8,'5.7'!I8,'5.8'!I8)</f>
        <v>7.6999999999999993</v>
      </c>
      <c r="J8" s="338">
        <f>AVERAGE('5.6'!J8,'5.7'!J8,'5.8'!J8)</f>
        <v>15.97777777777778</v>
      </c>
      <c r="K8" s="337">
        <f t="shared" ref="K8:K11" si="1">G8-J8</f>
        <v>0.84154719235364261</v>
      </c>
    </row>
    <row r="9" spans="1:11" ht="15.95" customHeight="1">
      <c r="A9" s="155" t="s">
        <v>214</v>
      </c>
      <c r="B9" s="130">
        <f>'5.4'!D34</f>
        <v>113531</v>
      </c>
      <c r="C9" s="326">
        <f>'5.4'!E34</f>
        <v>36035.996980000004</v>
      </c>
      <c r="D9" s="130">
        <f>'5.4'!F34</f>
        <v>391262.66164000001</v>
      </c>
      <c r="E9" s="320">
        <f t="shared" si="0"/>
        <v>3.6658014385656426E-2</v>
      </c>
      <c r="F9" s="345">
        <f>'5.4'!H34</f>
        <v>-8.6259230319774782E-2</v>
      </c>
      <c r="G9" s="343">
        <f>AVERAGE('5.6'!G9,'5.7'!G9,'5.8'!G9)</f>
        <v>16.210215053763445</v>
      </c>
      <c r="H9" s="338">
        <f>MAX('5.6'!H9,'5.7'!H9,'5.8'!H9)</f>
        <v>24</v>
      </c>
      <c r="I9" s="338">
        <f>MIN('5.6'!I9,'5.7'!I9,'5.8'!I9)</f>
        <v>6.8</v>
      </c>
      <c r="J9" s="338">
        <f>AVERAGE('5.6'!J9,'5.7'!J9,'5.8'!J9)</f>
        <v>15.46666666666667</v>
      </c>
      <c r="K9" s="337">
        <f t="shared" si="1"/>
        <v>0.74354838709677473</v>
      </c>
    </row>
    <row r="10" spans="1:11" ht="15.95" customHeight="1">
      <c r="A10" s="155" t="s">
        <v>32</v>
      </c>
      <c r="B10" s="130">
        <f>'5.5'!D34</f>
        <v>8853</v>
      </c>
      <c r="C10" s="326">
        <f>'5.5'!E34</f>
        <v>103622.38919</v>
      </c>
      <c r="D10" s="130">
        <f>'5.5'!F34</f>
        <v>1131540.851117</v>
      </c>
      <c r="E10" s="320">
        <f t="shared" si="0"/>
        <v>0.10541101542747185</v>
      </c>
      <c r="F10" s="345">
        <f>'5.5'!H34</f>
        <v>0.23036030275219854</v>
      </c>
      <c r="G10" s="343">
        <f>AVERAGE('5.6'!G10,'5.7'!G10,'5.8'!G10)</f>
        <v>16.798494623655913</v>
      </c>
      <c r="H10" s="338">
        <f>MAX('5.6'!H10,'5.7'!H10,'5.8'!H10)</f>
        <v>25.2</v>
      </c>
      <c r="I10" s="338">
        <f>MIN('5.6'!I10,'5.7'!I10,'5.8'!I10)</f>
        <v>7.7</v>
      </c>
      <c r="J10" s="338">
        <f>AVERAGE('5.6'!J10,'5.7'!J10,'5.8'!J10)</f>
        <v>16.621756272401431</v>
      </c>
      <c r="K10" s="337">
        <f t="shared" si="1"/>
        <v>0.17673835125448178</v>
      </c>
    </row>
    <row r="11" spans="1:11" ht="15.95" customHeight="1">
      <c r="A11" s="160" t="s">
        <v>3</v>
      </c>
      <c r="B11" s="323">
        <f>'5.1'!D35</f>
        <v>2790896</v>
      </c>
      <c r="C11" s="327">
        <f>'5.1'!E35</f>
        <v>983031.88494847098</v>
      </c>
      <c r="D11" s="323">
        <f>'5.1'!F35</f>
        <v>10711877.77336595</v>
      </c>
      <c r="E11" s="324">
        <f t="shared" ref="E11" si="2">SUM(E7:E10)</f>
        <v>1</v>
      </c>
      <c r="F11" s="346">
        <f>'5.1'!H35</f>
        <v>-0.16328618914553963</v>
      </c>
      <c r="G11" s="344">
        <f>AVERAGE('5.6'!G11,'5.7'!G11,'5.8'!G11)</f>
        <v>16.798494623655913</v>
      </c>
      <c r="H11" s="342">
        <f>MAX('5.6'!H11,'5.7'!H11,'5.8'!H11)</f>
        <v>25.2</v>
      </c>
      <c r="I11" s="342">
        <f>MIN('5.6'!I11,'5.7'!I11,'5.8'!I11)</f>
        <v>7.7</v>
      </c>
      <c r="J11" s="342">
        <f>AVERAGE('5.6'!J11,'5.7'!J11,'5.8'!J11)</f>
        <v>16.621756272401431</v>
      </c>
      <c r="K11" s="341">
        <f t="shared" si="1"/>
        <v>0.17673835125448178</v>
      </c>
    </row>
    <row r="12" spans="1:11" ht="15" customHeight="1">
      <c r="A12" s="102"/>
      <c r="B12" s="95"/>
      <c r="C12" s="495" t="s">
        <v>244</v>
      </c>
      <c r="D12" s="495"/>
      <c r="E12" s="495"/>
      <c r="F12" s="495"/>
      <c r="G12" s="498" t="s">
        <v>245</v>
      </c>
      <c r="H12" s="498"/>
      <c r="I12" s="498"/>
      <c r="J12" s="498"/>
      <c r="K12" s="498"/>
    </row>
    <row r="13" spans="1:11" ht="15" customHeight="1">
      <c r="A13" s="95"/>
      <c r="B13" s="95"/>
      <c r="C13" s="495"/>
      <c r="D13" s="495"/>
      <c r="E13" s="495"/>
      <c r="F13" s="495"/>
      <c r="G13" s="498" t="s">
        <v>246</v>
      </c>
      <c r="H13" s="498"/>
      <c r="I13" s="498"/>
      <c r="J13" s="498"/>
      <c r="K13" s="498"/>
    </row>
    <row r="14" spans="1:11" ht="15" customHeight="1">
      <c r="A14" s="95"/>
      <c r="B14" s="95"/>
      <c r="C14" s="99"/>
      <c r="D14" s="99"/>
      <c r="E14" s="99"/>
      <c r="F14" s="99"/>
      <c r="G14" s="87"/>
      <c r="H14" s="87"/>
      <c r="I14" s="87"/>
      <c r="J14" s="87"/>
      <c r="K14" s="87"/>
    </row>
    <row r="15" spans="1:11" ht="15" customHeight="1">
      <c r="A15" s="95"/>
      <c r="B15" s="95"/>
      <c r="C15" s="95"/>
      <c r="D15" s="100"/>
      <c r="E15" s="101"/>
      <c r="F15" s="101"/>
      <c r="G15" s="95"/>
      <c r="H15" s="102"/>
      <c r="I15" s="87"/>
      <c r="J15" s="95"/>
      <c r="K15" s="95"/>
    </row>
    <row r="16" spans="1:11" ht="18" customHeight="1">
      <c r="A16" s="499" t="s">
        <v>276</v>
      </c>
      <c r="B16" s="499"/>
      <c r="C16" s="499"/>
      <c r="D16" s="499"/>
      <c r="E16" s="499"/>
      <c r="F16" s="499" t="s">
        <v>277</v>
      </c>
      <c r="G16" s="499"/>
      <c r="H16" s="499"/>
      <c r="I16" s="499"/>
      <c r="J16" s="499"/>
      <c r="K16" s="499"/>
    </row>
    <row r="17" spans="1:11" ht="15" customHeight="1">
      <c r="A17" s="499"/>
      <c r="B17" s="499"/>
      <c r="C17" s="499"/>
      <c r="D17" s="499"/>
      <c r="E17" s="499"/>
      <c r="F17" s="499"/>
      <c r="G17" s="499"/>
      <c r="H17" s="499"/>
      <c r="I17" s="499"/>
      <c r="J17" s="499"/>
      <c r="K17" s="499"/>
    </row>
    <row r="18" spans="1:11" ht="15" customHeight="1">
      <c r="A18" s="121"/>
      <c r="B18" s="509"/>
      <c r="C18" s="509"/>
      <c r="D18" s="121"/>
      <c r="E18" s="121"/>
      <c r="F18" s="121"/>
      <c r="G18" s="121"/>
      <c r="H18" s="509"/>
      <c r="I18" s="509"/>
      <c r="J18" s="121"/>
      <c r="K18" s="121"/>
    </row>
    <row r="19" spans="1:11" ht="15" customHeight="1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</row>
    <row r="20" spans="1:11" ht="1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11" ht="1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11" ht="1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</row>
    <row r="23" spans="1:11" ht="1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</row>
    <row r="24" spans="1:11" ht="1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</row>
    <row r="25" spans="1:11" ht="1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ht="1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ht="1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ht="1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ht="1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0" spans="1:11" ht="1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ht="1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ht="15" customHeight="1">
      <c r="A33" s="499" t="s">
        <v>278</v>
      </c>
      <c r="B33" s="482"/>
      <c r="C33" s="482"/>
      <c r="D33" s="482"/>
      <c r="E33" s="482"/>
      <c r="F33" s="499" t="s">
        <v>66</v>
      </c>
      <c r="G33" s="499"/>
      <c r="H33" s="499"/>
      <c r="I33" s="499"/>
      <c r="J33" s="499"/>
      <c r="K33" s="499"/>
    </row>
    <row r="34" spans="1:11" ht="15" customHeight="1">
      <c r="A34" s="482"/>
      <c r="B34" s="482"/>
      <c r="C34" s="482"/>
      <c r="D34" s="482"/>
      <c r="E34" s="482"/>
      <c r="F34" s="499"/>
      <c r="G34" s="499"/>
      <c r="H34" s="499"/>
      <c r="I34" s="499"/>
      <c r="J34" s="499"/>
      <c r="K34" s="499"/>
    </row>
    <row r="35" spans="1:11" ht="15" customHeight="1">
      <c r="A35" s="121"/>
      <c r="B35" s="509"/>
      <c r="C35" s="509"/>
      <c r="D35" s="121"/>
      <c r="E35" s="122"/>
      <c r="F35" s="128"/>
      <c r="G35" s="128"/>
      <c r="H35" s="508"/>
      <c r="I35" s="508"/>
      <c r="J35" s="128"/>
      <c r="K35" s="128"/>
    </row>
    <row r="36" spans="1:11" ht="15" customHeight="1">
      <c r="A36" s="121"/>
      <c r="B36" s="121"/>
      <c r="C36" s="121"/>
      <c r="D36" s="121"/>
      <c r="E36" s="123"/>
      <c r="F36" s="123"/>
      <c r="G36" s="123"/>
      <c r="J36" s="123"/>
      <c r="K36" s="123"/>
    </row>
    <row r="37" spans="1:11" ht="1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  <row r="38" spans="1:11" ht="1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</row>
    <row r="39" spans="1:11" ht="1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</row>
    <row r="40" spans="1:11" ht="1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ht="1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C4:F4"/>
    <mergeCell ref="A2:B2"/>
    <mergeCell ref="A1:K1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7" customWidth="1"/>
    <col min="2" max="2" width="90.28515625" style="46" customWidth="1"/>
    <col min="3" max="3" width="3.28515625" style="47" bestFit="1" customWidth="1"/>
    <col min="4" max="4" width="9.140625" style="47" customWidth="1"/>
    <col min="5" max="5" width="9.140625" style="47" hidden="1" customWidth="1"/>
    <col min="6" max="16384" width="9.140625" style="47"/>
  </cols>
  <sheetData>
    <row r="1" spans="1:5" ht="20.25">
      <c r="A1" s="69" t="s">
        <v>248</v>
      </c>
    </row>
    <row r="2" spans="1:5" ht="6" customHeight="1"/>
    <row r="3" spans="1:5" ht="15">
      <c r="A3" s="396" t="str">
        <f>MID(E3,1,1+IF(MID(E3,2,1)&lt;&gt;" ",IF(MID(E3,3,1)&lt;&gt;" ",IF(MID(E3,4,1)&lt;&gt;" ",3,2),1),0))</f>
        <v>1</v>
      </c>
      <c r="B3" s="397" t="str">
        <f>MID(E3,3+IF(MID(E3,2,1)&lt;&gt;" ",IF(MID(E3,3,1)&lt;&gt;" ",IF(MID(E3,4,1)&lt;&gt;" ",3,2),1),0),100)</f>
        <v>ZKRATKY A POJMY</v>
      </c>
      <c r="C3" s="48">
        <v>4</v>
      </c>
      <c r="E3" s="49" t="str">
        <f>'1'!A1</f>
        <v>1 ZKRATKY A POJMY</v>
      </c>
    </row>
    <row r="4" spans="1:5" ht="15">
      <c r="A4" s="396" t="str">
        <f t="shared" ref="A4:A36" si="0">MID(E4,1,1+IF(MID(E4,2,1)&lt;&gt;" ",IF(MID(E4,3,1)&lt;&gt;" ",IF(MID(E4,4,1)&lt;&gt;" ",3,2),1),0))</f>
        <v>2</v>
      </c>
      <c r="B4" s="397" t="str">
        <f t="shared" ref="B4:B36" si="1">MID(E4,3+IF(MID(E4,2,1)&lt;&gt;" ",IF(MID(E4,3,1)&lt;&gt;" ",IF(MID(E4,4,1)&lt;&gt;" ",3,2),1),0),100)</f>
        <v>STRUČNÝ PŘEHLED ZA III. ČTVRTLETÍ 2022</v>
      </c>
      <c r="C4" s="48">
        <v>6</v>
      </c>
      <c r="E4" s="49" t="str">
        <f>'2'!A1</f>
        <v>2 STRUČNÝ PŘEHLED ZA III. ČTVRTLETÍ 2022</v>
      </c>
    </row>
    <row r="5" spans="1:5" ht="15">
      <c r="A5" s="396" t="str">
        <f t="shared" si="0"/>
        <v>3</v>
      </c>
      <c r="B5" s="397" t="str">
        <f t="shared" si="1"/>
        <v>PLYNÁRENSKÁ SOUSTAVA</v>
      </c>
      <c r="C5" s="48">
        <v>7</v>
      </c>
      <c r="E5" s="49" t="str">
        <f>'3.1'!A1</f>
        <v>3 PLYNÁRENSKÁ SOUSTAVA</v>
      </c>
    </row>
    <row r="6" spans="1:5" ht="15">
      <c r="A6" s="396" t="str">
        <f t="shared" si="0"/>
        <v>3.1</v>
      </c>
      <c r="B6" s="397" t="str">
        <f t="shared" si="1"/>
        <v>Čtvrtletní bilance plynárenské soustavy ČR</v>
      </c>
      <c r="C6" s="48">
        <v>7</v>
      </c>
      <c r="E6" s="50" t="str">
        <f>'3.1'!A2</f>
        <v>3.1 Čtvrtletní bilance plynárenské soustavy ČR</v>
      </c>
    </row>
    <row r="7" spans="1:5" ht="15">
      <c r="A7" s="396" t="str">
        <f t="shared" si="0"/>
        <v>3.2</v>
      </c>
      <c r="B7" s="397" t="str">
        <f t="shared" si="1"/>
        <v>Bilance plynárenské soustavy ČR v průběhu roku</v>
      </c>
      <c r="C7" s="48">
        <v>8</v>
      </c>
      <c r="E7" s="50" t="str">
        <f>'3.2'!A1</f>
        <v>3.2 Bilance plynárenské soustavy ČR v průběhu roku</v>
      </c>
    </row>
    <row r="8" spans="1:5" ht="15">
      <c r="A8" s="396" t="str">
        <f t="shared" si="0"/>
        <v>4</v>
      </c>
      <c r="B8" s="397" t="str">
        <f t="shared" si="1"/>
        <v>SPOTŘEBA ZEMNÍHO PLYNU</v>
      </c>
      <c r="C8" s="48">
        <v>9</v>
      </c>
      <c r="E8" s="49" t="str">
        <f>'4.1'!A1</f>
        <v>4 SPOTŘEBA ZEMNÍHO PLYNU</v>
      </c>
    </row>
    <row r="9" spans="1:5" ht="15">
      <c r="A9" s="396" t="str">
        <f t="shared" si="0"/>
        <v>4.1</v>
      </c>
      <c r="B9" s="397" t="str">
        <f t="shared" si="1"/>
        <v>Spotřeba zemního plynu v ČR v průběhu roku</v>
      </c>
      <c r="C9" s="48">
        <v>9</v>
      </c>
      <c r="E9" s="49" t="str">
        <f>'4.1'!A2</f>
        <v>4.1 Spotřeba zemního plynu v ČR v průběhu roku</v>
      </c>
    </row>
    <row r="10" spans="1:5" ht="15">
      <c r="A10" s="396" t="str">
        <f t="shared" si="0"/>
        <v>4.2</v>
      </c>
      <c r="B10" s="397" t="str">
        <f t="shared" si="1"/>
        <v>Spotřeba zemního plynu v ČR podle kategorií zákazníků v průběhu roku</v>
      </c>
      <c r="C10" s="48">
        <v>10</v>
      </c>
      <c r="E10" s="50" t="str">
        <f>'4.2'!A1</f>
        <v>4.2 Spotřeba zemního plynu v ČR podle kategorií zákazníků v průběhu roku</v>
      </c>
    </row>
    <row r="11" spans="1:5" ht="15">
      <c r="A11" s="396" t="str">
        <f t="shared" si="0"/>
        <v>4.3</v>
      </c>
      <c r="B11" s="397" t="str">
        <f t="shared" si="1"/>
        <v>Denní průběh spotřeb zemního plynu v ČR</v>
      </c>
      <c r="C11" s="48">
        <v>11</v>
      </c>
      <c r="E11" s="50" t="str">
        <f>'4.3'!A1</f>
        <v>4.3 Denní průběh spotřeb zemního plynu v ČR</v>
      </c>
    </row>
    <row r="12" spans="1:5" ht="15">
      <c r="A12" s="396" t="str">
        <f t="shared" si="0"/>
        <v>5</v>
      </c>
      <c r="B12" s="397" t="str">
        <f t="shared" si="1"/>
        <v>SPOTŘEBA ZEMNÍHO PLYNU PODLE DISTRIBUČNÍCH SOUSTAV</v>
      </c>
      <c r="C12" s="48">
        <v>12</v>
      </c>
      <c r="E12" s="49" t="str">
        <f>'5.1'!A1</f>
        <v>5 SPOTŘEBA ZEMNÍHO PLYNU PODLE DISTRIBUČNÍCH SOUSTAV</v>
      </c>
    </row>
    <row r="13" spans="1:5" ht="15">
      <c r="A13" s="396" t="str">
        <f t="shared" si="0"/>
        <v>5.1</v>
      </c>
      <c r="B13" s="397" t="str">
        <f t="shared" si="1"/>
        <v>Spotřeba zemního plynu podle kategorií zákazníků v ČR</v>
      </c>
      <c r="C13" s="48">
        <v>12</v>
      </c>
      <c r="E13" s="50" t="str">
        <f>'5.1'!A2</f>
        <v>5.1 Spotřeba zemního plynu podle kategorií zákazníků v ČR</v>
      </c>
    </row>
    <row r="14" spans="1:5" ht="15">
      <c r="A14" s="396" t="str">
        <f t="shared" si="0"/>
        <v>5.2</v>
      </c>
      <c r="B14" s="397" t="str">
        <f t="shared" si="1"/>
        <v>Spotřeba zemního plynu u společnosti PP Distribuce</v>
      </c>
      <c r="C14" s="48">
        <v>13</v>
      </c>
      <c r="E14" s="51" t="str">
        <f>'5.2'!A1</f>
        <v>5.2 Spotřeba zemního plynu u společnosti PP Distribuce</v>
      </c>
    </row>
    <row r="15" spans="1:5" ht="15">
      <c r="A15" s="396" t="str">
        <f t="shared" si="0"/>
        <v>5.3</v>
      </c>
      <c r="B15" s="397" t="str">
        <f t="shared" si="1"/>
        <v>Spotřeba zemního plynu u společnosti GasNet</v>
      </c>
      <c r="C15" s="48">
        <v>14</v>
      </c>
      <c r="E15" s="52" t="str">
        <f>'5.3'!A1</f>
        <v>5.3 Spotřeba zemního plynu u společnosti GasNet</v>
      </c>
    </row>
    <row r="16" spans="1:5" ht="15">
      <c r="A16" s="396" t="str">
        <f t="shared" si="0"/>
        <v>5.4</v>
      </c>
      <c r="B16" s="397" t="str">
        <f t="shared" si="1"/>
        <v>Spotřeba zemního plynu u společnosti EG.D</v>
      </c>
      <c r="C16" s="48">
        <v>15</v>
      </c>
      <c r="E16" s="52" t="str">
        <f>'5.4'!A1</f>
        <v>5.4 Spotřeba zemního plynu u společnosti EG.D</v>
      </c>
    </row>
    <row r="17" spans="1:5" ht="15">
      <c r="A17" s="396" t="str">
        <f t="shared" si="0"/>
        <v>5.5</v>
      </c>
      <c r="B17" s="397" t="str">
        <f t="shared" si="1"/>
        <v>Spotřeba zemního plynu u ostatních společností</v>
      </c>
      <c r="C17" s="48">
        <v>16</v>
      </c>
      <c r="E17" s="52" t="str">
        <f>'5.5'!A1</f>
        <v>5.5 Spotřeba zemního plynu u ostatních společností</v>
      </c>
    </row>
    <row r="18" spans="1:5" ht="15">
      <c r="A18" s="396" t="str">
        <f t="shared" si="0"/>
        <v>5.6</v>
      </c>
      <c r="B18" s="397" t="str">
        <f t="shared" si="1"/>
        <v>Spotřeba zemního plynu a teplota ovzduší: červenec</v>
      </c>
      <c r="C18" s="48">
        <v>17</v>
      </c>
      <c r="E18" s="50" t="str">
        <f>'5.6'!A1</f>
        <v>5.6 Spotřeba zemního plynu a teplota ovzduší: červenec</v>
      </c>
    </row>
    <row r="19" spans="1:5" ht="15">
      <c r="A19" s="396" t="str">
        <f t="shared" si="0"/>
        <v>5.7</v>
      </c>
      <c r="B19" s="397" t="str">
        <f t="shared" si="1"/>
        <v>Spotřeba zemního plynu a teplota ovzduší: srpen</v>
      </c>
      <c r="C19" s="48">
        <v>18</v>
      </c>
      <c r="E19" s="50" t="str">
        <f>'5.7'!A1</f>
        <v>5.7 Spotřeba zemního plynu a teplota ovzduší: srpen</v>
      </c>
    </row>
    <row r="20" spans="1:5" ht="15">
      <c r="A20" s="396" t="str">
        <f t="shared" si="0"/>
        <v>5.8</v>
      </c>
      <c r="B20" s="397" t="str">
        <f t="shared" si="1"/>
        <v>Spotřeba zemního plynu a teplota ovzduší: září</v>
      </c>
      <c r="C20" s="48">
        <v>19</v>
      </c>
      <c r="E20" s="50" t="str">
        <f>'5.8'!A1</f>
        <v>5.8 Spotřeba zemního plynu a teplota ovzduší: září</v>
      </c>
    </row>
    <row r="21" spans="1:5" ht="15">
      <c r="A21" s="396" t="str">
        <f t="shared" si="0"/>
        <v>5.9</v>
      </c>
      <c r="B21" s="397" t="str">
        <f t="shared" si="1"/>
        <v>Spotřeba zemního plynu a teplota ovzduší: III. čtvrtletí</v>
      </c>
      <c r="C21" s="48">
        <v>20</v>
      </c>
      <c r="E21" s="50" t="str">
        <f>'5.9'!A1</f>
        <v>5.9 Spotřeba zemního plynu a teplota ovzduší: III. čtvrtletí</v>
      </c>
    </row>
    <row r="22" spans="1:5" ht="15">
      <c r="A22" s="396" t="str">
        <f t="shared" si="0"/>
        <v>5.10</v>
      </c>
      <c r="B22" s="397" t="str">
        <f t="shared" si="1"/>
        <v>Spotřeba zemního plynu podle plynárenských soustav v průběhu roku</v>
      </c>
      <c r="C22" s="48">
        <v>21</v>
      </c>
      <c r="E22" s="50" t="str">
        <f>'5.10'!A1</f>
        <v>5.10 Spotřeba zemního plynu podle plynárenských soustav v průběhu roku</v>
      </c>
    </row>
    <row r="23" spans="1:5" ht="15">
      <c r="A23" s="396" t="str">
        <f t="shared" si="0"/>
        <v>6</v>
      </c>
      <c r="B23" s="397" t="str">
        <f t="shared" si="1"/>
        <v>SPOTŘEBA ZEMNÍHO PLYNU PODLE KRAJŮ</v>
      </c>
      <c r="C23" s="48">
        <v>22</v>
      </c>
      <c r="E23" s="49" t="str">
        <f>'6.1'!A1</f>
        <v>6 SPOTŘEBA ZEMNÍHO PLYNU PODLE KRAJŮ</v>
      </c>
    </row>
    <row r="24" spans="1:5" ht="15">
      <c r="A24" s="396" t="str">
        <f t="shared" si="0"/>
        <v>6.1</v>
      </c>
      <c r="B24" s="397" t="str">
        <f t="shared" si="1"/>
        <v>Spotřeba zemního plynu: Jihočeský a Jihomoravský kraj</v>
      </c>
      <c r="C24" s="48">
        <v>22</v>
      </c>
      <c r="E24" s="50" t="str">
        <f>'6.1'!A2</f>
        <v>6.1 Spotřeba zemního plynu: Jihočeský a Jihomoravský kraj</v>
      </c>
    </row>
    <row r="25" spans="1:5" ht="15">
      <c r="A25" s="396" t="str">
        <f t="shared" si="0"/>
        <v>6.2</v>
      </c>
      <c r="B25" s="397" t="str">
        <f t="shared" si="1"/>
        <v>Spotřeba zemního plynu: Karlovarský a Královéhradecký kraj</v>
      </c>
      <c r="C25" s="48">
        <v>23</v>
      </c>
      <c r="E25" s="50" t="str">
        <f>'6.2'!A1</f>
        <v>6.2 Spotřeba zemního plynu: Karlovarský a Královéhradecký kraj</v>
      </c>
    </row>
    <row r="26" spans="1:5" ht="15">
      <c r="A26" s="396" t="str">
        <f t="shared" si="0"/>
        <v>6.3</v>
      </c>
      <c r="B26" s="397" t="str">
        <f t="shared" si="1"/>
        <v>Spotřeba zemního plynu: Liberecký a Moravskoslezský kraj</v>
      </c>
      <c r="C26" s="48">
        <v>24</v>
      </c>
      <c r="E26" s="50" t="str">
        <f>'6.3'!A1</f>
        <v>6.3 Spotřeba zemního plynu: Liberecký a Moravskoslezský kraj</v>
      </c>
    </row>
    <row r="27" spans="1:5" ht="15">
      <c r="A27" s="396" t="str">
        <f t="shared" si="0"/>
        <v>6.4</v>
      </c>
      <c r="B27" s="397" t="str">
        <f t="shared" si="1"/>
        <v>Spotřeba zemního plynu: Olomoucký a Pardubický kraj</v>
      </c>
      <c r="C27" s="48">
        <v>25</v>
      </c>
      <c r="E27" s="50" t="str">
        <f>'6.4'!A1</f>
        <v>6.4 Spotřeba zemního plynu: Olomoucký a Pardubický kraj</v>
      </c>
    </row>
    <row r="28" spans="1:5" ht="15">
      <c r="A28" s="396" t="str">
        <f t="shared" si="0"/>
        <v>6.5</v>
      </c>
      <c r="B28" s="397" t="str">
        <f t="shared" si="1"/>
        <v>Spotřeba zemního plynu: Plzeňský kraj a Hlavní město Praha</v>
      </c>
      <c r="C28" s="48">
        <v>26</v>
      </c>
      <c r="E28" s="50" t="str">
        <f>'6.5'!A1</f>
        <v>6.5 Spotřeba zemního plynu: Plzeňský kraj a Hlavní město Praha</v>
      </c>
    </row>
    <row r="29" spans="1:5" ht="15">
      <c r="A29" s="396" t="str">
        <f t="shared" si="0"/>
        <v>6.6</v>
      </c>
      <c r="B29" s="397" t="str">
        <f t="shared" si="1"/>
        <v>Spotřeba zemního plynu: Středočeský a Ústecký kraj</v>
      </c>
      <c r="C29" s="48">
        <v>27</v>
      </c>
      <c r="E29" s="50" t="str">
        <f>'6.6'!A1</f>
        <v>6.6 Spotřeba zemního plynu: Středočeský a Ústecký kraj</v>
      </c>
    </row>
    <row r="30" spans="1:5" ht="15">
      <c r="A30" s="396" t="str">
        <f t="shared" si="0"/>
        <v>6.7</v>
      </c>
      <c r="B30" s="397" t="str">
        <f t="shared" si="1"/>
        <v>Spotřeba zemního plynu: Kraj Vysočina a Zlínský kraj</v>
      </c>
      <c r="C30" s="48">
        <v>28</v>
      </c>
      <c r="E30" s="50" t="str">
        <f>'6.7'!A1</f>
        <v>6.7 Spotřeba zemního plynu: Kraj Vysočina a Zlínský kraj</v>
      </c>
    </row>
    <row r="31" spans="1:5" ht="15">
      <c r="A31" s="396" t="str">
        <f t="shared" si="0"/>
        <v>6.8</v>
      </c>
      <c r="B31" s="397" t="str">
        <f t="shared" si="1"/>
        <v>Spotřeba zemního plynu a teplota ovzduší podle krajů: červenec</v>
      </c>
      <c r="C31" s="48">
        <v>29</v>
      </c>
      <c r="E31" s="50" t="str">
        <f>'6.8'!A1</f>
        <v>6.8 Spotřeba zemního plynu a teplota ovzduší podle krajů: červenec</v>
      </c>
    </row>
    <row r="32" spans="1:5" ht="15">
      <c r="A32" s="396" t="str">
        <f t="shared" si="0"/>
        <v>6.9</v>
      </c>
      <c r="B32" s="397" t="str">
        <f t="shared" si="1"/>
        <v>Spotřeba zemního plynu a teplota ovzduší podle krajů: srpen</v>
      </c>
      <c r="C32" s="48">
        <v>30</v>
      </c>
      <c r="E32" s="50" t="str">
        <f>'6.9'!A1</f>
        <v>6.9 Spotřeba zemního plynu a teplota ovzduší podle krajů: srpen</v>
      </c>
    </row>
    <row r="33" spans="1:5" ht="15">
      <c r="A33" s="396" t="str">
        <f t="shared" si="0"/>
        <v>6.10</v>
      </c>
      <c r="B33" s="397" t="str">
        <f t="shared" si="1"/>
        <v>Spotřeba zemního plynu a teplota ovzduší podle krajů: září</v>
      </c>
      <c r="C33" s="48">
        <v>31</v>
      </c>
      <c r="E33" s="50" t="str">
        <f>'6.10'!A1</f>
        <v>6.10 Spotřeba zemního plynu a teplota ovzduší podle krajů: září</v>
      </c>
    </row>
    <row r="34" spans="1:5" ht="15">
      <c r="A34" s="396" t="str">
        <f t="shared" si="0"/>
        <v>6.11</v>
      </c>
      <c r="B34" s="397" t="str">
        <f t="shared" si="1"/>
        <v>Spotřeba zemního plynu a teplota ovzduší podle krajů: III. čtvrtletí</v>
      </c>
      <c r="C34" s="48">
        <v>32</v>
      </c>
      <c r="E34" s="50" t="str">
        <f>'6.11'!A1</f>
        <v>6.11 Spotřeba zemního plynu a teplota ovzduší podle krajů: III. čtvrtletí</v>
      </c>
    </row>
    <row r="35" spans="1:5" ht="15">
      <c r="A35" s="396" t="str">
        <f t="shared" si="0"/>
        <v>6.12</v>
      </c>
      <c r="B35" s="397" t="str">
        <f t="shared" si="1"/>
        <v>Spotřeba zemního plynu podle krajů v ČR v průběhu roku</v>
      </c>
      <c r="C35" s="48">
        <v>33</v>
      </c>
      <c r="E35" s="50" t="str">
        <f>'6.12'!A1</f>
        <v>6.12 Spotřeba zemního plynu podle krajů v ČR v průběhu roku</v>
      </c>
    </row>
    <row r="36" spans="1:5" ht="15">
      <c r="A36" s="396" t="str">
        <f t="shared" si="0"/>
        <v>7</v>
      </c>
      <c r="B36" s="397" t="str">
        <f t="shared" si="1"/>
        <v>MAPA PLYNÁRENSKÉ SOUSTAVY ČR</v>
      </c>
      <c r="C36" s="48">
        <v>35</v>
      </c>
      <c r="E36" s="49" t="str">
        <f>'7'!A1</f>
        <v>7 MAPA PLYNÁRENSKÉ SOUSTAVY ČR</v>
      </c>
    </row>
    <row r="37" spans="1:5" ht="12" customHeight="1">
      <c r="B37" s="53"/>
    </row>
    <row r="38" spans="1:5" ht="12" customHeight="1">
      <c r="B38" s="53"/>
    </row>
    <row r="39" spans="1:5" ht="12" customHeight="1">
      <c r="B39" s="53"/>
    </row>
    <row r="40" spans="1:5" ht="12" customHeight="1">
      <c r="B40" s="53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topLeftCell="A10" zoomScaleNormal="100" zoomScaleSheetLayoutView="100" workbookViewId="0">
      <selection activeCell="C1" sqref="C1"/>
    </sheetView>
  </sheetViews>
  <sheetFormatPr defaultRowHeight="11.25"/>
  <cols>
    <col min="1" max="1" width="9.7109375" style="12" customWidth="1"/>
    <col min="2" max="10" width="8.85546875" style="12" customWidth="1"/>
    <col min="11" max="11" width="9" style="12" customWidth="1"/>
    <col min="12" max="12" width="9.28515625" style="12" bestFit="1" customWidth="1"/>
    <col min="13" max="13" width="11.42578125" style="12" bestFit="1" customWidth="1"/>
    <col min="14" max="252" width="9.140625" style="12"/>
    <col min="253" max="265" width="10.7109375" style="12" customWidth="1"/>
    <col min="266" max="508" width="9.140625" style="12"/>
    <col min="509" max="521" width="10.7109375" style="12" customWidth="1"/>
    <col min="522" max="764" width="9.140625" style="12"/>
    <col min="765" max="777" width="10.7109375" style="12" customWidth="1"/>
    <col min="778" max="1020" width="9.140625" style="12"/>
    <col min="1021" max="1033" width="10.7109375" style="12" customWidth="1"/>
    <col min="1034" max="1276" width="9.140625" style="12"/>
    <col min="1277" max="1289" width="10.7109375" style="12" customWidth="1"/>
    <col min="1290" max="1532" width="9.140625" style="12"/>
    <col min="1533" max="1545" width="10.7109375" style="12" customWidth="1"/>
    <col min="1546" max="1788" width="9.140625" style="12"/>
    <col min="1789" max="1801" width="10.7109375" style="12" customWidth="1"/>
    <col min="1802" max="2044" width="9.140625" style="12"/>
    <col min="2045" max="2057" width="10.7109375" style="12" customWidth="1"/>
    <col min="2058" max="2300" width="9.140625" style="12"/>
    <col min="2301" max="2313" width="10.7109375" style="12" customWidth="1"/>
    <col min="2314" max="2556" width="9.140625" style="12"/>
    <col min="2557" max="2569" width="10.7109375" style="12" customWidth="1"/>
    <col min="2570" max="2812" width="9.140625" style="12"/>
    <col min="2813" max="2825" width="10.7109375" style="12" customWidth="1"/>
    <col min="2826" max="3068" width="9.140625" style="12"/>
    <col min="3069" max="3081" width="10.7109375" style="12" customWidth="1"/>
    <col min="3082" max="3324" width="9.140625" style="12"/>
    <col min="3325" max="3337" width="10.7109375" style="12" customWidth="1"/>
    <col min="3338" max="3580" width="9.140625" style="12"/>
    <col min="3581" max="3593" width="10.7109375" style="12" customWidth="1"/>
    <col min="3594" max="3836" width="9.140625" style="12"/>
    <col min="3837" max="3849" width="10.7109375" style="12" customWidth="1"/>
    <col min="3850" max="4092" width="9.140625" style="12"/>
    <col min="4093" max="4105" width="10.7109375" style="12" customWidth="1"/>
    <col min="4106" max="4348" width="9.140625" style="12"/>
    <col min="4349" max="4361" width="10.7109375" style="12" customWidth="1"/>
    <col min="4362" max="4604" width="9.140625" style="12"/>
    <col min="4605" max="4617" width="10.7109375" style="12" customWidth="1"/>
    <col min="4618" max="4860" width="9.140625" style="12"/>
    <col min="4861" max="4873" width="10.7109375" style="12" customWidth="1"/>
    <col min="4874" max="5116" width="9.140625" style="12"/>
    <col min="5117" max="5129" width="10.7109375" style="12" customWidth="1"/>
    <col min="5130" max="5372" width="9.140625" style="12"/>
    <col min="5373" max="5385" width="10.7109375" style="12" customWidth="1"/>
    <col min="5386" max="5628" width="9.140625" style="12"/>
    <col min="5629" max="5641" width="10.7109375" style="12" customWidth="1"/>
    <col min="5642" max="5884" width="9.140625" style="12"/>
    <col min="5885" max="5897" width="10.7109375" style="12" customWidth="1"/>
    <col min="5898" max="6140" width="9.140625" style="12"/>
    <col min="6141" max="6153" width="10.7109375" style="12" customWidth="1"/>
    <col min="6154" max="6396" width="9.140625" style="12"/>
    <col min="6397" max="6409" width="10.7109375" style="12" customWidth="1"/>
    <col min="6410" max="6652" width="9.140625" style="12"/>
    <col min="6653" max="6665" width="10.7109375" style="12" customWidth="1"/>
    <col min="6666" max="6908" width="9.140625" style="12"/>
    <col min="6909" max="6921" width="10.7109375" style="12" customWidth="1"/>
    <col min="6922" max="7164" width="9.140625" style="12"/>
    <col min="7165" max="7177" width="10.7109375" style="12" customWidth="1"/>
    <col min="7178" max="7420" width="9.140625" style="12"/>
    <col min="7421" max="7433" width="10.7109375" style="12" customWidth="1"/>
    <col min="7434" max="7676" width="9.140625" style="12"/>
    <col min="7677" max="7689" width="10.7109375" style="12" customWidth="1"/>
    <col min="7690" max="7932" width="9.140625" style="12"/>
    <col min="7933" max="7945" width="10.7109375" style="12" customWidth="1"/>
    <col min="7946" max="8188" width="9.140625" style="12"/>
    <col min="8189" max="8201" width="10.7109375" style="12" customWidth="1"/>
    <col min="8202" max="8444" width="9.140625" style="12"/>
    <col min="8445" max="8457" width="10.7109375" style="12" customWidth="1"/>
    <col min="8458" max="8700" width="9.140625" style="12"/>
    <col min="8701" max="8713" width="10.7109375" style="12" customWidth="1"/>
    <col min="8714" max="8956" width="9.140625" style="12"/>
    <col min="8957" max="8969" width="10.7109375" style="12" customWidth="1"/>
    <col min="8970" max="9212" width="9.140625" style="12"/>
    <col min="9213" max="9225" width="10.7109375" style="12" customWidth="1"/>
    <col min="9226" max="9468" width="9.140625" style="12"/>
    <col min="9469" max="9481" width="10.7109375" style="12" customWidth="1"/>
    <col min="9482" max="9724" width="9.140625" style="12"/>
    <col min="9725" max="9737" width="10.7109375" style="12" customWidth="1"/>
    <col min="9738" max="9980" width="9.140625" style="12"/>
    <col min="9981" max="9993" width="10.7109375" style="12" customWidth="1"/>
    <col min="9994" max="10236" width="9.140625" style="12"/>
    <col min="10237" max="10249" width="10.7109375" style="12" customWidth="1"/>
    <col min="10250" max="10492" width="9.140625" style="12"/>
    <col min="10493" max="10505" width="10.7109375" style="12" customWidth="1"/>
    <col min="10506" max="10748" width="9.140625" style="12"/>
    <col min="10749" max="10761" width="10.7109375" style="12" customWidth="1"/>
    <col min="10762" max="11004" width="9.140625" style="12"/>
    <col min="11005" max="11017" width="10.7109375" style="12" customWidth="1"/>
    <col min="11018" max="11260" width="9.140625" style="12"/>
    <col min="11261" max="11273" width="10.7109375" style="12" customWidth="1"/>
    <col min="11274" max="11516" width="9.140625" style="12"/>
    <col min="11517" max="11529" width="10.7109375" style="12" customWidth="1"/>
    <col min="11530" max="11772" width="9.140625" style="12"/>
    <col min="11773" max="11785" width="10.7109375" style="12" customWidth="1"/>
    <col min="11786" max="12028" width="9.140625" style="12"/>
    <col min="12029" max="12041" width="10.7109375" style="12" customWidth="1"/>
    <col min="12042" max="12284" width="9.140625" style="12"/>
    <col min="12285" max="12297" width="10.7109375" style="12" customWidth="1"/>
    <col min="12298" max="12540" width="9.140625" style="12"/>
    <col min="12541" max="12553" width="10.7109375" style="12" customWidth="1"/>
    <col min="12554" max="12796" width="9.140625" style="12"/>
    <col min="12797" max="12809" width="10.7109375" style="12" customWidth="1"/>
    <col min="12810" max="13052" width="9.140625" style="12"/>
    <col min="13053" max="13065" width="10.7109375" style="12" customWidth="1"/>
    <col min="13066" max="13308" width="9.140625" style="12"/>
    <col min="13309" max="13321" width="10.7109375" style="12" customWidth="1"/>
    <col min="13322" max="13564" width="9.140625" style="12"/>
    <col min="13565" max="13577" width="10.7109375" style="12" customWidth="1"/>
    <col min="13578" max="13820" width="9.140625" style="12"/>
    <col min="13821" max="13833" width="10.7109375" style="12" customWidth="1"/>
    <col min="13834" max="14076" width="9.140625" style="12"/>
    <col min="14077" max="14089" width="10.7109375" style="12" customWidth="1"/>
    <col min="14090" max="14332" width="9.140625" style="12"/>
    <col min="14333" max="14345" width="10.7109375" style="12" customWidth="1"/>
    <col min="14346" max="14588" width="9.140625" style="12"/>
    <col min="14589" max="14601" width="10.7109375" style="12" customWidth="1"/>
    <col min="14602" max="14844" width="9.140625" style="12"/>
    <col min="14845" max="14857" width="10.7109375" style="12" customWidth="1"/>
    <col min="14858" max="15100" width="9.140625" style="12"/>
    <col min="15101" max="15113" width="10.7109375" style="12" customWidth="1"/>
    <col min="15114" max="15356" width="9.140625" style="12"/>
    <col min="15357" max="15369" width="10.7109375" style="12" customWidth="1"/>
    <col min="15370" max="15612" width="9.140625" style="12"/>
    <col min="15613" max="15625" width="10.7109375" style="12" customWidth="1"/>
    <col min="15626" max="15868" width="9.140625" style="12"/>
    <col min="15869" max="15881" width="10.7109375" style="12" customWidth="1"/>
    <col min="15882" max="16124" width="9.140625" style="12"/>
    <col min="16125" max="16137" width="10.7109375" style="12" customWidth="1"/>
    <col min="16138" max="16384" width="9.140625" style="12"/>
  </cols>
  <sheetData>
    <row r="1" spans="1:15" ht="18">
      <c r="A1" s="441" t="s">
        <v>305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5" ht="6" customHeight="1">
      <c r="A2" s="513"/>
      <c r="B2" s="514"/>
      <c r="C2" s="514"/>
      <c r="D2" s="514"/>
      <c r="E2" s="514"/>
      <c r="F2" s="514"/>
      <c r="G2" s="514"/>
      <c r="H2" s="514"/>
      <c r="I2" s="514"/>
      <c r="J2" s="209"/>
      <c r="K2" s="208"/>
    </row>
    <row r="3" spans="1:15" ht="20.100000000000001" customHeight="1">
      <c r="A3" s="349">
        <f>'3.1'!A4</f>
        <v>2022</v>
      </c>
      <c r="B3" s="447" t="s">
        <v>279</v>
      </c>
      <c r="C3" s="453"/>
      <c r="D3" s="453"/>
      <c r="E3" s="453"/>
      <c r="F3" s="449"/>
      <c r="G3" s="447" t="s">
        <v>280</v>
      </c>
      <c r="H3" s="453"/>
      <c r="I3" s="453"/>
      <c r="J3" s="453"/>
      <c r="K3" s="453"/>
    </row>
    <row r="4" spans="1:15" ht="67.5" customHeight="1">
      <c r="A4" s="350"/>
      <c r="B4" s="351" t="s">
        <v>83</v>
      </c>
      <c r="C4" s="247" t="s">
        <v>89</v>
      </c>
      <c r="D4" s="247" t="s">
        <v>215</v>
      </c>
      <c r="E4" s="247" t="s">
        <v>84</v>
      </c>
      <c r="F4" s="352" t="s">
        <v>82</v>
      </c>
      <c r="G4" s="351" t="s">
        <v>83</v>
      </c>
      <c r="H4" s="247" t="s">
        <v>89</v>
      </c>
      <c r="I4" s="247" t="s">
        <v>215</v>
      </c>
      <c r="J4" s="247" t="s">
        <v>84</v>
      </c>
      <c r="K4" s="247" t="s">
        <v>82</v>
      </c>
    </row>
    <row r="5" spans="1:15" ht="18" customHeight="1">
      <c r="A5" s="177" t="s">
        <v>161</v>
      </c>
      <c r="B5" s="253">
        <v>130387.01038711204</v>
      </c>
      <c r="C5" s="248">
        <v>910406.18678079627</v>
      </c>
      <c r="D5" s="249">
        <v>44984.639000000003</v>
      </c>
      <c r="E5" s="249">
        <v>48484.997029999999</v>
      </c>
      <c r="F5" s="255">
        <v>1134262.8331979082</v>
      </c>
      <c r="G5" s="347">
        <v>1394340.13053</v>
      </c>
      <c r="H5" s="249">
        <v>9725046.5487500001</v>
      </c>
      <c r="I5" s="249">
        <v>480281.85199000005</v>
      </c>
      <c r="J5" s="249">
        <v>519121.07809600001</v>
      </c>
      <c r="K5" s="249">
        <v>12118789.609366</v>
      </c>
      <c r="L5" s="56"/>
      <c r="M5" s="57"/>
      <c r="N5" s="57"/>
      <c r="O5" s="57"/>
    </row>
    <row r="6" spans="1:15" ht="18" customHeight="1">
      <c r="A6" s="177" t="s">
        <v>162</v>
      </c>
      <c r="B6" s="253">
        <v>102886.42307283396</v>
      </c>
      <c r="C6" s="249">
        <v>731826.70801090379</v>
      </c>
      <c r="D6" s="249">
        <v>36665.690999999999</v>
      </c>
      <c r="E6" s="249">
        <v>19121.578009999997</v>
      </c>
      <c r="F6" s="255">
        <v>890500.40009373776</v>
      </c>
      <c r="G6" s="347">
        <v>1103405.49288</v>
      </c>
      <c r="H6" s="249">
        <v>7826733.2474999987</v>
      </c>
      <c r="I6" s="249">
        <v>392157.58717999997</v>
      </c>
      <c r="J6" s="249">
        <v>204672.46465800004</v>
      </c>
      <c r="K6" s="249">
        <v>9526968.7922179978</v>
      </c>
      <c r="L6" s="58"/>
      <c r="M6" s="57"/>
      <c r="N6" s="57"/>
      <c r="O6" s="57"/>
    </row>
    <row r="7" spans="1:15" ht="18" customHeight="1">
      <c r="A7" s="180" t="s">
        <v>163</v>
      </c>
      <c r="B7" s="254">
        <v>100232.52548318211</v>
      </c>
      <c r="C7" s="252">
        <v>737192.34386151319</v>
      </c>
      <c r="D7" s="252">
        <v>36894.07</v>
      </c>
      <c r="E7" s="252">
        <v>48300.553089999994</v>
      </c>
      <c r="F7" s="256">
        <v>922619.49243469513</v>
      </c>
      <c r="G7" s="348">
        <v>1081827.962102833</v>
      </c>
      <c r="H7" s="252">
        <v>7911417.8751699999</v>
      </c>
      <c r="I7" s="252">
        <v>394441.46036000003</v>
      </c>
      <c r="J7" s="252">
        <v>521766.69561699999</v>
      </c>
      <c r="K7" s="252">
        <v>9909453.9932498317</v>
      </c>
      <c r="L7" s="59"/>
      <c r="M7" s="57"/>
      <c r="N7" s="57"/>
      <c r="O7" s="57"/>
    </row>
    <row r="8" spans="1:15" ht="18" customHeight="1">
      <c r="A8" s="177" t="s">
        <v>164</v>
      </c>
      <c r="B8" s="253">
        <v>74550.468344230554</v>
      </c>
      <c r="C8" s="249">
        <v>563107.41134476836</v>
      </c>
      <c r="D8" s="249">
        <v>28310.621999999999</v>
      </c>
      <c r="E8" s="249">
        <v>5393.6479199999985</v>
      </c>
      <c r="F8" s="255">
        <v>671362.14960899891</v>
      </c>
      <c r="G8" s="347">
        <v>809197.09410390782</v>
      </c>
      <c r="H8" s="249">
        <v>6068092.2070999993</v>
      </c>
      <c r="I8" s="249">
        <v>302456.97045000002</v>
      </c>
      <c r="J8" s="249">
        <v>58237.643868999992</v>
      </c>
      <c r="K8" s="249">
        <v>7237983.9155229069</v>
      </c>
      <c r="L8" s="58"/>
      <c r="M8" s="57"/>
      <c r="N8" s="57"/>
      <c r="O8" s="57"/>
    </row>
    <row r="9" spans="1:15" ht="18" customHeight="1">
      <c r="A9" s="177" t="s">
        <v>165</v>
      </c>
      <c r="B9" s="253">
        <v>27622.192440521852</v>
      </c>
      <c r="C9" s="249">
        <v>313816.78660389746</v>
      </c>
      <c r="D9" s="249">
        <v>14858.406010000001</v>
      </c>
      <c r="E9" s="249">
        <v>32598.787099999994</v>
      </c>
      <c r="F9" s="255">
        <v>388896.1721544193</v>
      </c>
      <c r="G9" s="347">
        <v>298028.07840497722</v>
      </c>
      <c r="H9" s="249">
        <v>3371927.8527900004</v>
      </c>
      <c r="I9" s="249">
        <v>158931.53100000002</v>
      </c>
      <c r="J9" s="249">
        <v>350769.83049399994</v>
      </c>
      <c r="K9" s="249">
        <v>4179657.2926889779</v>
      </c>
      <c r="L9" s="58"/>
      <c r="M9" s="57"/>
      <c r="N9" s="57"/>
      <c r="O9" s="57"/>
    </row>
    <row r="10" spans="1:15" ht="18" customHeight="1">
      <c r="A10" s="180" t="s">
        <v>166</v>
      </c>
      <c r="B10" s="254">
        <v>19349.489106876652</v>
      </c>
      <c r="C10" s="252">
        <v>259233.16487017696</v>
      </c>
      <c r="D10" s="252">
        <v>11605.965</v>
      </c>
      <c r="E10" s="252">
        <v>46165.875899999999</v>
      </c>
      <c r="F10" s="256">
        <v>336354.4948770536</v>
      </c>
      <c r="G10" s="348">
        <v>211928.35232301572</v>
      </c>
      <c r="H10" s="252">
        <v>2807945.5085899993</v>
      </c>
      <c r="I10" s="252">
        <v>124974.32594999998</v>
      </c>
      <c r="J10" s="252">
        <v>504675.23211399995</v>
      </c>
      <c r="K10" s="252">
        <v>3649523.4189770147</v>
      </c>
      <c r="L10" s="58"/>
      <c r="M10" s="57"/>
      <c r="N10" s="57"/>
      <c r="O10" s="57"/>
    </row>
    <row r="11" spans="1:15" ht="18" customHeight="1">
      <c r="A11" s="177" t="s">
        <v>167</v>
      </c>
      <c r="B11" s="253">
        <v>18843.73768136169</v>
      </c>
      <c r="C11" s="249">
        <v>235294.93843617072</v>
      </c>
      <c r="D11" s="249">
        <v>10145.726989999999</v>
      </c>
      <c r="E11" s="249">
        <v>24284.807100000005</v>
      </c>
      <c r="F11" s="255">
        <v>288569.21020753239</v>
      </c>
      <c r="G11" s="347">
        <v>206302.80620599553</v>
      </c>
      <c r="H11" s="249">
        <v>2557611.5410199999</v>
      </c>
      <c r="I11" s="249">
        <v>109754.00306999999</v>
      </c>
      <c r="J11" s="249">
        <v>265297.35359300009</v>
      </c>
      <c r="K11" s="249">
        <v>3138965.7038889956</v>
      </c>
      <c r="L11" s="58"/>
      <c r="M11" s="57"/>
      <c r="N11" s="57"/>
      <c r="O11" s="57"/>
    </row>
    <row r="12" spans="1:15" ht="18" customHeight="1">
      <c r="A12" s="177" t="s">
        <v>168</v>
      </c>
      <c r="B12" s="253">
        <v>18444.496195747073</v>
      </c>
      <c r="C12" s="249">
        <v>237313.06780265464</v>
      </c>
      <c r="D12" s="249">
        <v>10659.31</v>
      </c>
      <c r="E12" s="249">
        <v>44687.840100000001</v>
      </c>
      <c r="F12" s="255">
        <v>311104.71409840172</v>
      </c>
      <c r="G12" s="347">
        <v>201105.41613698474</v>
      </c>
      <c r="H12" s="249">
        <v>2574977.5773</v>
      </c>
      <c r="I12" s="249">
        <v>115844.40463999999</v>
      </c>
      <c r="J12" s="249">
        <v>485694.99824200012</v>
      </c>
      <c r="K12" s="249">
        <v>3377622.3963189847</v>
      </c>
      <c r="L12" s="58"/>
      <c r="M12" s="57"/>
      <c r="N12" s="57"/>
      <c r="O12" s="57"/>
    </row>
    <row r="13" spans="1:15" ht="18" customHeight="1">
      <c r="A13" s="180" t="s">
        <v>169</v>
      </c>
      <c r="B13" s="254">
        <v>29906.473419748214</v>
      </c>
      <c r="C13" s="252">
        <v>303570.78524278855</v>
      </c>
      <c r="D13" s="252">
        <v>15230.959989999999</v>
      </c>
      <c r="E13" s="252">
        <v>34649.741989999995</v>
      </c>
      <c r="F13" s="256">
        <v>383357.96064253675</v>
      </c>
      <c r="G13" s="348">
        <v>329065.85467596835</v>
      </c>
      <c r="H13" s="252">
        <v>3320011.0652700001</v>
      </c>
      <c r="I13" s="252">
        <v>165664.25393000001</v>
      </c>
      <c r="J13" s="252">
        <v>380548.499282</v>
      </c>
      <c r="K13" s="252">
        <v>4195289.6731579686</v>
      </c>
      <c r="L13" s="58"/>
      <c r="M13" s="57"/>
      <c r="N13" s="57"/>
      <c r="O13" s="57"/>
    </row>
    <row r="14" spans="1:15" ht="18" customHeight="1">
      <c r="A14" s="177" t="s">
        <v>170</v>
      </c>
      <c r="B14" s="253"/>
      <c r="C14" s="249"/>
      <c r="D14" s="249"/>
      <c r="E14" s="249"/>
      <c r="F14" s="255"/>
      <c r="G14" s="347"/>
      <c r="H14" s="249"/>
      <c r="I14" s="249"/>
      <c r="J14" s="249"/>
      <c r="K14" s="249"/>
      <c r="L14" s="58"/>
      <c r="M14" s="57"/>
      <c r="N14" s="57"/>
      <c r="O14" s="57"/>
    </row>
    <row r="15" spans="1:15" ht="18" customHeight="1">
      <c r="A15" s="177" t="s">
        <v>171</v>
      </c>
      <c r="B15" s="253"/>
      <c r="C15" s="249"/>
      <c r="D15" s="249"/>
      <c r="E15" s="249"/>
      <c r="F15" s="255"/>
      <c r="G15" s="347"/>
      <c r="H15" s="249"/>
      <c r="I15" s="249"/>
      <c r="J15" s="249"/>
      <c r="K15" s="249"/>
      <c r="L15" s="58"/>
      <c r="M15" s="57"/>
      <c r="N15" s="57"/>
      <c r="O15" s="57"/>
    </row>
    <row r="16" spans="1:15" ht="18" customHeight="1">
      <c r="A16" s="180" t="s">
        <v>172</v>
      </c>
      <c r="B16" s="254"/>
      <c r="C16" s="252"/>
      <c r="D16" s="252"/>
      <c r="E16" s="252"/>
      <c r="F16" s="256"/>
      <c r="G16" s="348"/>
      <c r="H16" s="252"/>
      <c r="I16" s="252"/>
      <c r="J16" s="252"/>
      <c r="K16" s="252"/>
      <c r="L16" s="58"/>
      <c r="M16" s="57"/>
      <c r="N16" s="57"/>
      <c r="O16" s="57"/>
    </row>
    <row r="17" spans="1:11" ht="18" customHeight="1">
      <c r="A17" s="177" t="s">
        <v>48</v>
      </c>
      <c r="B17" s="253">
        <f>SUM(B5:B7)</f>
        <v>333505.95894312812</v>
      </c>
      <c r="C17" s="248">
        <f>SUM(C5:C7)</f>
        <v>2379425.2386532133</v>
      </c>
      <c r="D17" s="248">
        <f t="shared" ref="D17:J17" si="0">SUM(D5:D7)</f>
        <v>118544.4</v>
      </c>
      <c r="E17" s="248">
        <f t="shared" si="0"/>
        <v>115907.12813</v>
      </c>
      <c r="F17" s="257">
        <f t="shared" si="0"/>
        <v>2947382.7257263409</v>
      </c>
      <c r="G17" s="253">
        <f t="shared" si="0"/>
        <v>3579573.5855128327</v>
      </c>
      <c r="H17" s="248">
        <f t="shared" si="0"/>
        <v>25463197.67142</v>
      </c>
      <c r="I17" s="248">
        <f t="shared" si="0"/>
        <v>1266880.8995300001</v>
      </c>
      <c r="J17" s="248">
        <f t="shared" si="0"/>
        <v>1245560.2383710002</v>
      </c>
      <c r="K17" s="248">
        <f>SUM(K5:K7)</f>
        <v>31555212.394833833</v>
      </c>
    </row>
    <row r="18" spans="1:11" ht="18" customHeight="1">
      <c r="A18" s="177" t="s">
        <v>56</v>
      </c>
      <c r="B18" s="253">
        <f>SUM(B8:B10)</f>
        <v>121522.14989162906</v>
      </c>
      <c r="C18" s="248">
        <f>SUM(C8:C10)</f>
        <v>1136157.3628188428</v>
      </c>
      <c r="D18" s="248">
        <f t="shared" ref="D18:J18" si="1">SUM(D8:D10)</f>
        <v>54774.993010000006</v>
      </c>
      <c r="E18" s="248">
        <f t="shared" si="1"/>
        <v>84158.310919999989</v>
      </c>
      <c r="F18" s="257">
        <f t="shared" si="1"/>
        <v>1396612.8166404718</v>
      </c>
      <c r="G18" s="253">
        <f t="shared" si="1"/>
        <v>1319153.5248319008</v>
      </c>
      <c r="H18" s="248">
        <f t="shared" si="1"/>
        <v>12247965.56848</v>
      </c>
      <c r="I18" s="248">
        <f t="shared" si="1"/>
        <v>586362.82740000007</v>
      </c>
      <c r="J18" s="248">
        <f t="shared" si="1"/>
        <v>913682.70647699991</v>
      </c>
      <c r="K18" s="248">
        <f>SUM(K8:K10)</f>
        <v>15067164.627188899</v>
      </c>
    </row>
    <row r="19" spans="1:11" ht="18" customHeight="1">
      <c r="A19" s="177" t="s">
        <v>63</v>
      </c>
      <c r="B19" s="253">
        <f>SUM(B11:B13)</f>
        <v>67194.707296856985</v>
      </c>
      <c r="C19" s="248">
        <f>SUM(C11:C13)</f>
        <v>776178.79148161388</v>
      </c>
      <c r="D19" s="248">
        <f t="shared" ref="D19:J19" si="2">SUM(D11:D13)</f>
        <v>36035.996979999996</v>
      </c>
      <c r="E19" s="248">
        <f t="shared" si="2"/>
        <v>103622.38919</v>
      </c>
      <c r="F19" s="257">
        <f t="shared" si="2"/>
        <v>983031.88494847086</v>
      </c>
      <c r="G19" s="253">
        <f t="shared" si="2"/>
        <v>736474.07701894862</v>
      </c>
      <c r="H19" s="248">
        <f t="shared" si="2"/>
        <v>8452600.1835899986</v>
      </c>
      <c r="I19" s="248">
        <f t="shared" si="2"/>
        <v>391262.66164000001</v>
      </c>
      <c r="J19" s="248">
        <f t="shared" si="2"/>
        <v>1131540.8511170002</v>
      </c>
      <c r="K19" s="248">
        <f>SUM(K11:K13)</f>
        <v>10711877.773365948</v>
      </c>
    </row>
    <row r="20" spans="1:11" ht="18" customHeight="1">
      <c r="A20" s="180" t="s">
        <v>57</v>
      </c>
      <c r="B20" s="353">
        <f>SUM(B14:B16)</f>
        <v>0</v>
      </c>
      <c r="C20" s="354">
        <f>SUM(C14:C16)</f>
        <v>0</v>
      </c>
      <c r="D20" s="354">
        <f t="shared" ref="D20:J20" si="3">SUM(D14:D16)</f>
        <v>0</v>
      </c>
      <c r="E20" s="354">
        <f t="shared" si="3"/>
        <v>0</v>
      </c>
      <c r="F20" s="355">
        <f t="shared" si="3"/>
        <v>0</v>
      </c>
      <c r="G20" s="353">
        <f t="shared" si="3"/>
        <v>0</v>
      </c>
      <c r="H20" s="354">
        <f t="shared" si="3"/>
        <v>0</v>
      </c>
      <c r="I20" s="354">
        <f t="shared" si="3"/>
        <v>0</v>
      </c>
      <c r="J20" s="354">
        <f t="shared" si="3"/>
        <v>0</v>
      </c>
      <c r="K20" s="354">
        <f>SUM(K14:K16)</f>
        <v>0</v>
      </c>
    </row>
    <row r="21" spans="1:11" ht="18" customHeight="1">
      <c r="A21" s="177" t="s">
        <v>58</v>
      </c>
      <c r="B21" s="253">
        <f>SUM(B5:B10)</f>
        <v>455028.10883475718</v>
      </c>
      <c r="C21" s="248">
        <f>SUM(C5:C10)</f>
        <v>3515582.601472056</v>
      </c>
      <c r="D21" s="248">
        <f t="shared" ref="D21:J21" si="4">SUM(D5:D10)</f>
        <v>173319.39301</v>
      </c>
      <c r="E21" s="248">
        <f t="shared" si="4"/>
        <v>200065.43904999999</v>
      </c>
      <c r="F21" s="257">
        <f t="shared" si="4"/>
        <v>4343995.5423668129</v>
      </c>
      <c r="G21" s="253">
        <f t="shared" si="4"/>
        <v>4898727.110344734</v>
      </c>
      <c r="H21" s="248">
        <f t="shared" si="4"/>
        <v>37711163.2399</v>
      </c>
      <c r="I21" s="248">
        <f t="shared" si="4"/>
        <v>1853243.7269299999</v>
      </c>
      <c r="J21" s="248">
        <f t="shared" si="4"/>
        <v>2159242.9448480001</v>
      </c>
      <c r="K21" s="248">
        <f>SUM(K5:K10)</f>
        <v>46622377.022022732</v>
      </c>
    </row>
    <row r="22" spans="1:11" ht="18" customHeight="1">
      <c r="A22" s="180" t="s">
        <v>59</v>
      </c>
      <c r="B22" s="353">
        <f>SUM(B11:B16)</f>
        <v>67194.707296856985</v>
      </c>
      <c r="C22" s="354">
        <f>SUM(C11:C16)</f>
        <v>776178.79148161388</v>
      </c>
      <c r="D22" s="354">
        <f t="shared" ref="D22:J22" si="5">SUM(D11:D16)</f>
        <v>36035.996979999996</v>
      </c>
      <c r="E22" s="354">
        <f t="shared" si="5"/>
        <v>103622.38919</v>
      </c>
      <c r="F22" s="355">
        <f t="shared" si="5"/>
        <v>983031.88494847086</v>
      </c>
      <c r="G22" s="353">
        <f t="shared" si="5"/>
        <v>736474.07701894862</v>
      </c>
      <c r="H22" s="354">
        <f t="shared" si="5"/>
        <v>8452600.1835899986</v>
      </c>
      <c r="I22" s="354">
        <f t="shared" si="5"/>
        <v>391262.66164000001</v>
      </c>
      <c r="J22" s="354">
        <f t="shared" si="5"/>
        <v>1131540.8511170002</v>
      </c>
      <c r="K22" s="354">
        <f>SUM(K11:K16)</f>
        <v>10711877.773365948</v>
      </c>
    </row>
    <row r="23" spans="1:11" ht="18" customHeight="1">
      <c r="A23" s="218" t="s">
        <v>173</v>
      </c>
      <c r="B23" s="356">
        <f>SUM(B5:B16)</f>
        <v>522222.81613161409</v>
      </c>
      <c r="C23" s="357">
        <f>SUM(C5:C16)</f>
        <v>4291761.3929536697</v>
      </c>
      <c r="D23" s="357">
        <f t="shared" ref="D23:J23" si="6">SUM(D5:D16)</f>
        <v>209355.38999</v>
      </c>
      <c r="E23" s="357">
        <f t="shared" si="6"/>
        <v>303687.82824</v>
      </c>
      <c r="F23" s="358">
        <f t="shared" si="6"/>
        <v>5327027.4273152836</v>
      </c>
      <c r="G23" s="356">
        <f t="shared" si="6"/>
        <v>5635201.1873636823</v>
      </c>
      <c r="H23" s="357">
        <f t="shared" si="6"/>
        <v>46163763.423489995</v>
      </c>
      <c r="I23" s="357">
        <f t="shared" si="6"/>
        <v>2244506.38857</v>
      </c>
      <c r="J23" s="357">
        <f t="shared" si="6"/>
        <v>3290783.7959650005</v>
      </c>
      <c r="K23" s="357">
        <f>SUM(K5:K16)</f>
        <v>57334254.795388684</v>
      </c>
    </row>
    <row r="25" spans="1:11" ht="12" customHeight="1">
      <c r="A25" s="512" t="s">
        <v>281</v>
      </c>
      <c r="B25" s="512"/>
      <c r="C25" s="512"/>
      <c r="D25" s="512"/>
      <c r="E25" s="512"/>
      <c r="F25" s="512"/>
      <c r="G25" s="512"/>
      <c r="H25" s="512"/>
      <c r="I25" s="512"/>
      <c r="J25" s="512"/>
      <c r="K25" s="512"/>
    </row>
    <row r="26" spans="1:11" ht="12" customHeight="1">
      <c r="E26" s="63"/>
      <c r="F26" s="63"/>
      <c r="G26" s="63"/>
      <c r="H26" s="63"/>
    </row>
    <row r="27" spans="1:11" ht="12" customHeight="1">
      <c r="E27" s="63"/>
      <c r="F27" s="63"/>
      <c r="G27" s="63"/>
    </row>
    <row r="28" spans="1:11" ht="12" customHeight="1">
      <c r="E28" s="63"/>
      <c r="F28" s="63"/>
      <c r="G28" s="63"/>
    </row>
    <row r="29" spans="1:11" ht="12" customHeight="1">
      <c r="E29" s="63"/>
      <c r="F29" s="63"/>
      <c r="G29" s="63"/>
    </row>
    <row r="30" spans="1:11" ht="12" customHeight="1">
      <c r="E30" s="63" t="str">
        <f>B4</f>
        <v xml:space="preserve"> PP Distribuce</v>
      </c>
      <c r="F30" s="63" t="str">
        <f t="shared" ref="F30:H30" si="7">C4</f>
        <v xml:space="preserve"> GasNet</v>
      </c>
      <c r="G30" s="63" t="str">
        <f t="shared" si="7"/>
        <v xml:space="preserve"> EG.D</v>
      </c>
      <c r="H30" s="63" t="str">
        <f t="shared" si="7"/>
        <v xml:space="preserve"> Ostatní společnosti</v>
      </c>
    </row>
    <row r="31" spans="1:11" ht="12" customHeight="1">
      <c r="D31" s="12" t="str">
        <f>A17</f>
        <v>I. čtvrtletí</v>
      </c>
      <c r="E31" s="12">
        <f t="shared" ref="E31:H34" si="8">B17</f>
        <v>333505.95894312812</v>
      </c>
      <c r="F31" s="12">
        <f t="shared" si="8"/>
        <v>2379425.2386532133</v>
      </c>
      <c r="G31" s="12">
        <f t="shared" si="8"/>
        <v>118544.4</v>
      </c>
      <c r="H31" s="12">
        <f t="shared" si="8"/>
        <v>115907.12813</v>
      </c>
    </row>
    <row r="32" spans="1:11" ht="12" customHeight="1">
      <c r="D32" s="12" t="str">
        <f t="shared" ref="D32:D34" si="9">A18</f>
        <v>II. čtvrtletí</v>
      </c>
      <c r="E32" s="12">
        <f t="shared" si="8"/>
        <v>121522.14989162906</v>
      </c>
      <c r="F32" s="12">
        <f t="shared" si="8"/>
        <v>1136157.3628188428</v>
      </c>
      <c r="G32" s="12">
        <f t="shared" si="8"/>
        <v>54774.993010000006</v>
      </c>
      <c r="H32" s="12">
        <f t="shared" si="8"/>
        <v>84158.310919999989</v>
      </c>
    </row>
    <row r="33" spans="4:8" ht="12" customHeight="1">
      <c r="D33" s="12" t="str">
        <f t="shared" si="9"/>
        <v>III. čtvrtletí</v>
      </c>
      <c r="E33" s="12">
        <f t="shared" si="8"/>
        <v>67194.707296856985</v>
      </c>
      <c r="F33" s="12">
        <f t="shared" si="8"/>
        <v>776178.79148161388</v>
      </c>
      <c r="G33" s="12">
        <f t="shared" si="8"/>
        <v>36035.996979999996</v>
      </c>
      <c r="H33" s="12">
        <f t="shared" si="8"/>
        <v>103622.38919</v>
      </c>
    </row>
    <row r="34" spans="4:8" ht="12" customHeight="1">
      <c r="D34" s="12" t="str">
        <f t="shared" si="9"/>
        <v>IV. čtvrtletí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</row>
    <row r="35" spans="4:8" ht="12" customHeight="1">
      <c r="E35" s="63"/>
      <c r="F35" s="63"/>
      <c r="G35" s="63"/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8:K18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39" ht="20.25">
      <c r="A1" s="55" t="s">
        <v>293</v>
      </c>
    </row>
    <row r="2" spans="1:39" s="103" customFormat="1" ht="18">
      <c r="A2" s="500" t="s">
        <v>306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</row>
    <row r="3" spans="1:39" ht="6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39" ht="12.95" customHeight="1">
      <c r="A4" s="478" t="s">
        <v>35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39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39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39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39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</row>
    <row r="9" spans="1:39" ht="11.1" customHeight="1">
      <c r="A9" s="434" t="str">
        <f>'3.1'!D5</f>
        <v>Červenec</v>
      </c>
      <c r="B9" s="434"/>
      <c r="C9" s="165" t="s">
        <v>4</v>
      </c>
      <c r="D9" s="325">
        <v>85</v>
      </c>
      <c r="E9" s="321">
        <v>5832.2937499999998</v>
      </c>
      <c r="F9" s="321">
        <v>63092.587370000001</v>
      </c>
      <c r="G9" s="322">
        <f>E9/$E$14</f>
        <v>0.65105467845314546</v>
      </c>
      <c r="H9" s="322">
        <f>(E9-I9)/I9</f>
        <v>-5.3335962476945734E-2</v>
      </c>
      <c r="I9" s="325">
        <v>6160.8907900000004</v>
      </c>
      <c r="J9" s="321">
        <v>65835.278999999995</v>
      </c>
      <c r="K9" s="322">
        <f>I9/$I$14</f>
        <v>0.62421369716790487</v>
      </c>
      <c r="N9" s="77"/>
      <c r="O9" s="77"/>
      <c r="P9" s="77"/>
      <c r="Q9" s="77"/>
      <c r="R9" s="77"/>
      <c r="S9" s="77"/>
      <c r="T9" s="77"/>
      <c r="U9" s="104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7"/>
      <c r="AG9" s="77"/>
      <c r="AH9" s="77"/>
      <c r="AI9" s="77"/>
      <c r="AJ9" s="77"/>
      <c r="AK9" s="77"/>
      <c r="AL9" s="77"/>
      <c r="AM9" s="94"/>
    </row>
    <row r="10" spans="1:39" ht="11.1" customHeight="1">
      <c r="A10" s="428"/>
      <c r="B10" s="428"/>
      <c r="C10" s="155" t="s">
        <v>5</v>
      </c>
      <c r="D10" s="326">
        <v>293</v>
      </c>
      <c r="E10" s="130">
        <v>1294.2758800000001</v>
      </c>
      <c r="F10" s="130">
        <v>14003.93548</v>
      </c>
      <c r="G10" s="320">
        <f>E10/$E$14</f>
        <v>0.14447906827104892</v>
      </c>
      <c r="H10" s="320">
        <f>(E10-I10)/I10</f>
        <v>-0.22173632868668644</v>
      </c>
      <c r="I10" s="326">
        <v>1663.03006</v>
      </c>
      <c r="J10" s="130">
        <v>17770.86478</v>
      </c>
      <c r="K10" s="320">
        <f>I10/$I$14</f>
        <v>0.1684961116238132</v>
      </c>
      <c r="L10" s="94"/>
      <c r="N10" s="77"/>
      <c r="O10" s="77"/>
      <c r="P10" s="77"/>
      <c r="Q10" s="77"/>
      <c r="R10" s="77"/>
      <c r="S10" s="77"/>
      <c r="T10" s="77"/>
      <c r="U10" s="104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7"/>
      <c r="AG10" s="77"/>
      <c r="AH10" s="77"/>
      <c r="AI10" s="77"/>
      <c r="AJ10" s="77"/>
      <c r="AK10" s="77"/>
      <c r="AL10" s="77"/>
    </row>
    <row r="11" spans="1:39" ht="11.1" customHeight="1">
      <c r="A11" s="428"/>
      <c r="B11" s="428"/>
      <c r="C11" s="155" t="s">
        <v>6</v>
      </c>
      <c r="D11" s="326">
        <v>9608</v>
      </c>
      <c r="E11" s="130">
        <v>579.34754999999996</v>
      </c>
      <c r="F11" s="130">
        <v>6267.6146399999998</v>
      </c>
      <c r="G11" s="320">
        <f>E11/$E$14</f>
        <v>6.4672142564470042E-2</v>
      </c>
      <c r="H11" s="320">
        <f t="shared" ref="H11:H13" si="0">(E11-I11)/I11</f>
        <v>-0.10810740036446827</v>
      </c>
      <c r="I11" s="326">
        <v>649.57097999999996</v>
      </c>
      <c r="J11" s="130">
        <v>6941.5391200000004</v>
      </c>
      <c r="K11" s="320">
        <f>I11/$I$14</f>
        <v>6.5813713766346302E-2</v>
      </c>
      <c r="L11" s="94"/>
      <c r="N11" s="77"/>
      <c r="O11" s="77"/>
      <c r="P11" s="77"/>
      <c r="Q11" s="77"/>
      <c r="R11" s="77"/>
      <c r="S11" s="77"/>
      <c r="T11" s="77"/>
      <c r="U11" s="104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7"/>
      <c r="AG11" s="77"/>
      <c r="AH11" s="77"/>
      <c r="AI11" s="77"/>
      <c r="AJ11" s="77"/>
      <c r="AK11" s="77"/>
      <c r="AL11" s="77"/>
    </row>
    <row r="12" spans="1:39" ht="11.1" customHeight="1">
      <c r="A12" s="428"/>
      <c r="B12" s="428"/>
      <c r="C12" s="155" t="s">
        <v>7</v>
      </c>
      <c r="D12" s="326">
        <v>94418</v>
      </c>
      <c r="E12" s="130">
        <v>917.71397999999999</v>
      </c>
      <c r="F12" s="130">
        <v>9929.6043399999999</v>
      </c>
      <c r="G12" s="320">
        <f>E12/$E$14</f>
        <v>0.1024437392511062</v>
      </c>
      <c r="H12" s="320">
        <f t="shared" si="0"/>
        <v>-0.11274249148380643</v>
      </c>
      <c r="I12" s="326">
        <v>1034.32653</v>
      </c>
      <c r="J12" s="130">
        <v>11053.15814</v>
      </c>
      <c r="K12" s="320">
        <f>I12/$I$14</f>
        <v>0.1047966616155762</v>
      </c>
      <c r="L12" s="94"/>
      <c r="N12" s="77"/>
      <c r="O12" s="77"/>
      <c r="P12" s="77"/>
      <c r="Q12" s="77"/>
      <c r="R12" s="77"/>
      <c r="S12" s="77"/>
      <c r="T12" s="77"/>
      <c r="U12" s="104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7"/>
      <c r="AG12" s="77"/>
      <c r="AH12" s="77"/>
      <c r="AI12" s="77"/>
      <c r="AJ12" s="77"/>
      <c r="AK12" s="77"/>
      <c r="AL12" s="77"/>
    </row>
    <row r="13" spans="1:39" ht="11.1" customHeight="1">
      <c r="A13" s="428"/>
      <c r="B13" s="428"/>
      <c r="C13" s="155" t="s">
        <v>93</v>
      </c>
      <c r="D13" s="326">
        <v>15</v>
      </c>
      <c r="E13" s="130">
        <v>334.59300000000002</v>
      </c>
      <c r="F13" s="130">
        <v>3618.97</v>
      </c>
      <c r="G13" s="320">
        <f>E13/$E$14</f>
        <v>3.735037146022923E-2</v>
      </c>
      <c r="H13" s="320">
        <f t="shared" si="0"/>
        <v>-7.5771219587651595E-2</v>
      </c>
      <c r="I13" s="326">
        <v>362.024</v>
      </c>
      <c r="J13" s="130">
        <v>3868.5329999999999</v>
      </c>
      <c r="K13" s="320">
        <f>I13/$I$14</f>
        <v>3.6679815826359354E-2</v>
      </c>
      <c r="L13" s="94"/>
      <c r="N13" s="77"/>
      <c r="O13" s="77"/>
      <c r="P13" s="77"/>
      <c r="Q13" s="77"/>
      <c r="R13" s="77"/>
      <c r="S13" s="77"/>
      <c r="T13" s="77"/>
      <c r="U13" s="104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7"/>
      <c r="AG13" s="77"/>
      <c r="AH13" s="77"/>
      <c r="AI13" s="77"/>
      <c r="AJ13" s="77"/>
      <c r="AK13" s="77"/>
      <c r="AL13" s="77"/>
    </row>
    <row r="14" spans="1:39" ht="11.1" customHeight="1">
      <c r="A14" s="433"/>
      <c r="B14" s="433"/>
      <c r="C14" s="331" t="s">
        <v>0</v>
      </c>
      <c r="D14" s="334">
        <v>104419</v>
      </c>
      <c r="E14" s="332">
        <v>8958.2241600000016</v>
      </c>
      <c r="F14" s="332">
        <v>96912.711830000015</v>
      </c>
      <c r="G14" s="333">
        <f>SUM(G9:G13)</f>
        <v>0.99999999999999989</v>
      </c>
      <c r="H14" s="333">
        <f>(E14-I14)/I14</f>
        <v>-9.236400813193929E-2</v>
      </c>
      <c r="I14" s="334">
        <v>9869.8423600000006</v>
      </c>
      <c r="J14" s="332">
        <v>105469.37404</v>
      </c>
      <c r="K14" s="333">
        <f>SUM(K9:K13)</f>
        <v>0.99999999999999989</v>
      </c>
      <c r="L14" s="94"/>
      <c r="M14" s="94"/>
      <c r="N14" s="77"/>
      <c r="O14" s="77"/>
      <c r="P14" s="77"/>
      <c r="Q14" s="77"/>
      <c r="R14" s="77"/>
      <c r="S14" s="77"/>
      <c r="T14" s="77"/>
      <c r="U14" s="104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7"/>
      <c r="AG14" s="77"/>
      <c r="AH14" s="77"/>
      <c r="AI14" s="77"/>
      <c r="AJ14" s="77"/>
      <c r="AK14" s="77"/>
      <c r="AL14" s="77"/>
    </row>
    <row r="15" spans="1:39" ht="11.1" customHeight="1">
      <c r="A15" s="434" t="str">
        <f>'3.1'!E5</f>
        <v>Srpen</v>
      </c>
      <c r="B15" s="434"/>
      <c r="C15" s="165" t="s">
        <v>4</v>
      </c>
      <c r="D15" s="325">
        <v>85</v>
      </c>
      <c r="E15" s="321">
        <v>6099.5287900000003</v>
      </c>
      <c r="F15" s="321">
        <v>66289.068979999996</v>
      </c>
      <c r="G15" s="322">
        <f>E15/$E$20</f>
        <v>0.66885512171124795</v>
      </c>
      <c r="H15" s="322">
        <f>(E15-I15)/I15</f>
        <v>-5.7456184544334168E-2</v>
      </c>
      <c r="I15" s="325">
        <v>6471.3477400000002</v>
      </c>
      <c r="J15" s="321">
        <v>68998.803920000006</v>
      </c>
      <c r="K15" s="322">
        <f>I15/$I$20</f>
        <v>0.58507728348012966</v>
      </c>
      <c r="L15" s="94"/>
      <c r="M15" s="94"/>
      <c r="N15" s="77"/>
      <c r="O15" s="77"/>
      <c r="P15" s="77"/>
      <c r="Q15" s="77"/>
      <c r="R15" s="77"/>
      <c r="S15" s="77"/>
      <c r="T15" s="77"/>
      <c r="U15" s="104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77"/>
      <c r="AH15" s="77"/>
      <c r="AI15" s="77"/>
      <c r="AJ15" s="77"/>
      <c r="AK15" s="77"/>
      <c r="AL15" s="77"/>
    </row>
    <row r="16" spans="1:39" ht="11.1" customHeight="1">
      <c r="A16" s="428"/>
      <c r="B16" s="428"/>
      <c r="C16" s="155" t="s">
        <v>5</v>
      </c>
      <c r="D16" s="326">
        <v>292</v>
      </c>
      <c r="E16" s="130">
        <v>1311.89229</v>
      </c>
      <c r="F16" s="130">
        <v>14256.742480000001</v>
      </c>
      <c r="G16" s="320">
        <f>E16/$E$20</f>
        <v>0.14385797780618359</v>
      </c>
      <c r="H16" s="320">
        <f>(E16-I16)/I16</f>
        <v>-0.32959461192651596</v>
      </c>
      <c r="I16" s="326">
        <v>1956.8641799999998</v>
      </c>
      <c r="J16" s="130">
        <v>20864.651620000001</v>
      </c>
      <c r="K16" s="320">
        <f>I16/$I$20</f>
        <v>0.17692091733799661</v>
      </c>
      <c r="L16" s="98"/>
      <c r="M16" s="94"/>
      <c r="N16" s="77"/>
      <c r="O16" s="77"/>
      <c r="P16" s="77"/>
      <c r="Q16" s="77"/>
      <c r="R16" s="77"/>
      <c r="S16" s="77"/>
      <c r="T16" s="77"/>
      <c r="U16" s="104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7"/>
      <c r="AG16" s="77"/>
      <c r="AH16" s="77"/>
      <c r="AI16" s="77"/>
      <c r="AJ16" s="77"/>
      <c r="AK16" s="77"/>
      <c r="AL16" s="77"/>
    </row>
    <row r="17" spans="1:38" ht="11.1" customHeight="1">
      <c r="A17" s="428"/>
      <c r="B17" s="428"/>
      <c r="C17" s="155" t="s">
        <v>6</v>
      </c>
      <c r="D17" s="326">
        <v>9574</v>
      </c>
      <c r="E17" s="130">
        <v>535.87752999999998</v>
      </c>
      <c r="F17" s="130">
        <v>5824.0598499999996</v>
      </c>
      <c r="G17" s="320">
        <f>E17/$E$20</f>
        <v>5.8762642638575516E-2</v>
      </c>
      <c r="H17" s="320">
        <f t="shared" ref="H17:H20" si="1">(E17-I17)/I17</f>
        <v>-0.38381601895088396</v>
      </c>
      <c r="I17" s="326">
        <v>869.67131000000006</v>
      </c>
      <c r="J17" s="130">
        <v>9272.183430000001</v>
      </c>
      <c r="K17" s="320">
        <f>I17/$I$20</f>
        <v>7.8627350595040918E-2</v>
      </c>
      <c r="L17" s="94"/>
      <c r="M17" s="94"/>
      <c r="N17" s="77"/>
      <c r="O17" s="77"/>
      <c r="P17" s="77"/>
      <c r="Q17" s="77"/>
      <c r="R17" s="77"/>
      <c r="S17" s="77"/>
      <c r="T17" s="77"/>
      <c r="U17" s="104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7"/>
      <c r="AG17" s="77"/>
      <c r="AH17" s="77"/>
      <c r="AI17" s="77"/>
      <c r="AJ17" s="77"/>
      <c r="AK17" s="77"/>
      <c r="AL17" s="77"/>
    </row>
    <row r="18" spans="1:38" ht="11.1" customHeight="1">
      <c r="A18" s="428"/>
      <c r="B18" s="428"/>
      <c r="C18" s="155" t="s">
        <v>7</v>
      </c>
      <c r="D18" s="326">
        <v>94264</v>
      </c>
      <c r="E18" s="130">
        <v>848.50962000000004</v>
      </c>
      <c r="F18" s="130">
        <v>9223.1608699999997</v>
      </c>
      <c r="G18" s="320">
        <f>E18/$E$20</f>
        <v>9.3044893252854824E-2</v>
      </c>
      <c r="H18" s="320">
        <f t="shared" si="1"/>
        <v>-0.38731717609203692</v>
      </c>
      <c r="I18" s="326">
        <v>1384.9084499999999</v>
      </c>
      <c r="J18" s="130">
        <v>14765.718579999999</v>
      </c>
      <c r="K18" s="320">
        <f>I18/$I$20</f>
        <v>0.12521015812305533</v>
      </c>
      <c r="L18" s="94"/>
      <c r="M18" s="94"/>
      <c r="N18" s="77"/>
      <c r="O18" s="77"/>
      <c r="P18" s="77"/>
      <c r="Q18" s="77"/>
      <c r="R18" s="77"/>
      <c r="S18" s="77"/>
      <c r="T18" s="77"/>
      <c r="U18" s="104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7"/>
      <c r="AG18" s="77"/>
      <c r="AH18" s="77"/>
      <c r="AI18" s="77"/>
      <c r="AJ18" s="77"/>
      <c r="AK18" s="77"/>
      <c r="AL18" s="77"/>
    </row>
    <row r="19" spans="1:38" ht="11.1" customHeight="1">
      <c r="A19" s="428"/>
      <c r="B19" s="428"/>
      <c r="C19" s="155" t="s">
        <v>93</v>
      </c>
      <c r="D19" s="326">
        <v>15</v>
      </c>
      <c r="E19" s="130">
        <v>323.54899999999998</v>
      </c>
      <c r="F19" s="130">
        <v>3515.2269999999999</v>
      </c>
      <c r="G19" s="320">
        <f>E19/$E$20</f>
        <v>3.5479364591137957E-2</v>
      </c>
      <c r="H19" s="320">
        <f t="shared" si="1"/>
        <v>-0.14377844818460891</v>
      </c>
      <c r="I19" s="326">
        <v>377.88</v>
      </c>
      <c r="J19" s="130">
        <v>4029.3760000000002</v>
      </c>
      <c r="K19" s="320">
        <f>I19/$I$20</f>
        <v>3.4164290463777704E-2</v>
      </c>
      <c r="L19" s="94"/>
      <c r="M19" s="94"/>
      <c r="N19" s="77"/>
      <c r="O19" s="77"/>
      <c r="P19" s="77"/>
      <c r="Q19" s="77"/>
      <c r="R19" s="77"/>
      <c r="S19" s="77"/>
      <c r="T19" s="77"/>
      <c r="U19" s="104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7"/>
      <c r="AG19" s="77"/>
      <c r="AH19" s="77"/>
      <c r="AI19" s="77"/>
      <c r="AJ19" s="77"/>
      <c r="AK19" s="77"/>
      <c r="AL19" s="77"/>
    </row>
    <row r="20" spans="1:38" ht="11.1" customHeight="1">
      <c r="A20" s="433"/>
      <c r="B20" s="433"/>
      <c r="C20" s="331" t="s">
        <v>0</v>
      </c>
      <c r="D20" s="334">
        <v>104230</v>
      </c>
      <c r="E20" s="332">
        <v>9119.3572300000014</v>
      </c>
      <c r="F20" s="332">
        <v>99108.259180000008</v>
      </c>
      <c r="G20" s="333">
        <f>SUM(G15:G19)</f>
        <v>0.99999999999999989</v>
      </c>
      <c r="H20" s="333">
        <f t="shared" si="1"/>
        <v>-0.17551505967854536</v>
      </c>
      <c r="I20" s="334">
        <v>11060.671679999998</v>
      </c>
      <c r="J20" s="332">
        <v>117930.73355000002</v>
      </c>
      <c r="K20" s="333">
        <f>SUM(K15:K19)</f>
        <v>1.0000000000000002</v>
      </c>
      <c r="L20" s="94"/>
      <c r="M20" s="94"/>
      <c r="N20" s="77"/>
      <c r="O20" s="77"/>
      <c r="P20" s="77"/>
      <c r="Q20" s="77"/>
      <c r="R20" s="77"/>
      <c r="S20" s="77"/>
      <c r="T20" s="77"/>
      <c r="U20" s="104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  <c r="AG20" s="77"/>
      <c r="AH20" s="77"/>
      <c r="AI20" s="77"/>
      <c r="AJ20" s="77"/>
      <c r="AK20" s="77"/>
      <c r="AL20" s="77"/>
    </row>
    <row r="21" spans="1:38" ht="11.1" customHeight="1">
      <c r="A21" s="434" t="str">
        <f>'3.1'!F5</f>
        <v>Září</v>
      </c>
      <c r="B21" s="434"/>
      <c r="C21" s="165" t="s">
        <v>4</v>
      </c>
      <c r="D21" s="325">
        <v>85</v>
      </c>
      <c r="E21" s="321">
        <v>7190.7278699999997</v>
      </c>
      <c r="F21" s="321">
        <v>78212.108890000003</v>
      </c>
      <c r="G21" s="322">
        <f>E21/$E$26</f>
        <v>0.54069024959404954</v>
      </c>
      <c r="H21" s="322">
        <f>(E21-I21)/I21</f>
        <v>5.5846796038729878E-2</v>
      </c>
      <c r="I21" s="325">
        <v>6810.3894399999999</v>
      </c>
      <c r="J21" s="321">
        <v>72707.717699999994</v>
      </c>
      <c r="K21" s="322">
        <f>I21/$I$26</f>
        <v>0.51518267771479043</v>
      </c>
      <c r="L21" s="88"/>
      <c r="M21" s="88"/>
      <c r="N21" s="77"/>
      <c r="O21" s="77"/>
      <c r="P21" s="77"/>
      <c r="Q21" s="77"/>
      <c r="R21" s="77"/>
      <c r="S21" s="77"/>
      <c r="T21" s="77"/>
      <c r="U21" s="104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7"/>
      <c r="AG21" s="77"/>
      <c r="AH21" s="77"/>
      <c r="AI21" s="77"/>
      <c r="AJ21" s="77"/>
      <c r="AK21" s="77"/>
      <c r="AL21" s="77"/>
    </row>
    <row r="22" spans="1:38" ht="11.1" customHeight="1">
      <c r="A22" s="428"/>
      <c r="B22" s="428"/>
      <c r="C22" s="155" t="s">
        <v>5</v>
      </c>
      <c r="D22" s="326">
        <v>292</v>
      </c>
      <c r="E22" s="130">
        <v>1816.2980300000002</v>
      </c>
      <c r="F22" s="130">
        <v>19758.878120000001</v>
      </c>
      <c r="G22" s="320">
        <f>E22/$E$26</f>
        <v>0.13657235441700571</v>
      </c>
      <c r="H22" s="320">
        <f t="shared" ref="H22:H26" si="2">(E22-I22)/I22</f>
        <v>-0.19220356446000836</v>
      </c>
      <c r="I22" s="326">
        <v>2248.4600700000001</v>
      </c>
      <c r="J22" s="130">
        <v>24004.560730000001</v>
      </c>
      <c r="K22" s="320">
        <f>I22/$I$26</f>
        <v>0.17008831723981194</v>
      </c>
      <c r="L22" s="88"/>
      <c r="M22" s="88"/>
      <c r="N22" s="77"/>
      <c r="O22" s="77"/>
      <c r="P22" s="77"/>
      <c r="Q22" s="77"/>
      <c r="R22" s="77"/>
      <c r="S22" s="77"/>
      <c r="T22" s="77"/>
      <c r="U22" s="104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77"/>
      <c r="AH22" s="77"/>
      <c r="AI22" s="77"/>
      <c r="AJ22" s="77"/>
      <c r="AK22" s="77"/>
      <c r="AL22" s="77"/>
    </row>
    <row r="23" spans="1:38" ht="11.1" customHeight="1">
      <c r="A23" s="428"/>
      <c r="B23" s="428"/>
      <c r="C23" s="155" t="s">
        <v>6</v>
      </c>
      <c r="D23" s="326">
        <v>9586</v>
      </c>
      <c r="E23" s="130">
        <v>1543.4126800000001</v>
      </c>
      <c r="F23" s="130">
        <v>16788.710050000002</v>
      </c>
      <c r="G23" s="320">
        <f>E23/$E$26</f>
        <v>0.11605336792919423</v>
      </c>
      <c r="H23" s="320">
        <f t="shared" si="2"/>
        <v>6.1021794778759762E-2</v>
      </c>
      <c r="I23" s="326">
        <v>1454.6474800000001</v>
      </c>
      <c r="J23" s="130">
        <v>15529.558129999999</v>
      </c>
      <c r="K23" s="320">
        <f>I23/$I$26</f>
        <v>0.11003910869999706</v>
      </c>
      <c r="L23" s="88"/>
      <c r="M23" s="88"/>
      <c r="N23" s="77"/>
      <c r="O23" s="77"/>
      <c r="P23" s="77"/>
      <c r="Q23" s="77"/>
      <c r="R23" s="77"/>
      <c r="S23" s="77"/>
      <c r="T23" s="77"/>
      <c r="U23" s="104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7"/>
      <c r="AG23" s="77"/>
      <c r="AH23" s="77"/>
      <c r="AI23" s="77"/>
      <c r="AJ23" s="77"/>
      <c r="AK23" s="77"/>
      <c r="AL23" s="77"/>
    </row>
    <row r="24" spans="1:38" ht="11.1" customHeight="1">
      <c r="A24" s="428"/>
      <c r="B24" s="428"/>
      <c r="C24" s="155" t="s">
        <v>7</v>
      </c>
      <c r="D24" s="326">
        <v>94090</v>
      </c>
      <c r="E24" s="130">
        <v>2448.3556199999998</v>
      </c>
      <c r="F24" s="130">
        <v>26629.947239999998</v>
      </c>
      <c r="G24" s="320">
        <f>E24/$E$26</f>
        <v>0.18409847169933216</v>
      </c>
      <c r="H24" s="320">
        <f t="shared" si="2"/>
        <v>5.762736895502777E-2</v>
      </c>
      <c r="I24" s="326">
        <v>2314.9510799999998</v>
      </c>
      <c r="J24" s="130">
        <v>24714.53858</v>
      </c>
      <c r="K24" s="320">
        <f>I24/$I$26</f>
        <v>0.17511813482624364</v>
      </c>
      <c r="L24" s="88"/>
      <c r="M24" s="88"/>
      <c r="N24" s="77"/>
      <c r="O24" s="77"/>
      <c r="P24" s="77"/>
      <c r="Q24" s="77"/>
      <c r="R24" s="77"/>
      <c r="S24" s="77"/>
      <c r="T24" s="77"/>
      <c r="U24" s="104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7"/>
      <c r="AG24" s="77"/>
      <c r="AH24" s="77"/>
      <c r="AI24" s="77"/>
      <c r="AJ24" s="77"/>
      <c r="AK24" s="77"/>
      <c r="AL24" s="77"/>
    </row>
    <row r="25" spans="1:38" ht="11.1" customHeight="1">
      <c r="A25" s="428"/>
      <c r="B25" s="428"/>
      <c r="C25" s="155" t="s">
        <v>93</v>
      </c>
      <c r="D25" s="326">
        <v>15</v>
      </c>
      <c r="E25" s="130">
        <v>300.36900000000003</v>
      </c>
      <c r="F25" s="130">
        <v>3262.623</v>
      </c>
      <c r="G25" s="320">
        <f>E25/$E$26</f>
        <v>2.2585556360418226E-2</v>
      </c>
      <c r="H25" s="320">
        <f t="shared" si="2"/>
        <v>-0.23163562877315047</v>
      </c>
      <c r="I25" s="326">
        <v>390.92</v>
      </c>
      <c r="J25" s="130">
        <v>4173.4589999999998</v>
      </c>
      <c r="K25" s="320">
        <f>I25/$I$26</f>
        <v>2.9571761519157101E-2</v>
      </c>
      <c r="L25" s="88"/>
      <c r="M25" s="88"/>
      <c r="N25" s="77"/>
      <c r="O25" s="77"/>
      <c r="P25" s="77"/>
      <c r="Q25" s="77"/>
      <c r="R25" s="77"/>
      <c r="S25" s="77"/>
      <c r="T25" s="77"/>
      <c r="U25" s="104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/>
      <c r="AG25" s="77"/>
      <c r="AH25" s="77"/>
      <c r="AI25" s="77"/>
      <c r="AJ25" s="77"/>
      <c r="AK25" s="77"/>
      <c r="AL25" s="77"/>
    </row>
    <row r="26" spans="1:38" ht="11.1" customHeight="1">
      <c r="A26" s="433"/>
      <c r="B26" s="433"/>
      <c r="C26" s="331" t="s">
        <v>0</v>
      </c>
      <c r="D26" s="334">
        <v>104068</v>
      </c>
      <c r="E26" s="332">
        <v>13299.163200000001</v>
      </c>
      <c r="F26" s="332">
        <v>144652.26730000001</v>
      </c>
      <c r="G26" s="333">
        <f>SUM(G21:G25)</f>
        <v>0.99999999999999978</v>
      </c>
      <c r="H26" s="333">
        <f t="shared" si="2"/>
        <v>6.036228780185727E-3</v>
      </c>
      <c r="I26" s="334">
        <v>13219.368069999999</v>
      </c>
      <c r="J26" s="332">
        <v>141129.83413999999</v>
      </c>
      <c r="K26" s="333">
        <f>SUM(K21:K25)</f>
        <v>1</v>
      </c>
      <c r="N26" s="77"/>
      <c r="O26" s="77"/>
      <c r="P26" s="77"/>
      <c r="Q26" s="77"/>
      <c r="R26" s="77"/>
      <c r="S26" s="77"/>
      <c r="T26" s="77"/>
      <c r="U26" s="104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/>
      <c r="AG26" s="77"/>
      <c r="AH26" s="77"/>
      <c r="AI26" s="77"/>
      <c r="AJ26" s="77"/>
      <c r="AK26" s="77"/>
      <c r="AL26" s="77"/>
    </row>
    <row r="27" spans="1:38" ht="11.1" customHeight="1">
      <c r="A27" s="491" t="str">
        <f>'3.1'!G5</f>
        <v>III. čtvrtletí</v>
      </c>
      <c r="B27" s="434"/>
      <c r="C27" s="165" t="s">
        <v>4</v>
      </c>
      <c r="D27" s="325">
        <f>D21</f>
        <v>85</v>
      </c>
      <c r="E27" s="321">
        <f>E9+E15+E21</f>
        <v>19122.55041</v>
      </c>
      <c r="F27" s="321">
        <f>F9+F15+F21</f>
        <v>207593.76524000001</v>
      </c>
      <c r="G27" s="322">
        <f>E27/$E$32</f>
        <v>0.60944979027857782</v>
      </c>
      <c r="H27" s="322">
        <f>(E27-I27)/I27</f>
        <v>-1.646266957809827E-2</v>
      </c>
      <c r="I27" s="325">
        <f>I9+I15+I21</f>
        <v>19442.627970000001</v>
      </c>
      <c r="J27" s="321">
        <f>J9+J15+J21</f>
        <v>207541.80061999999</v>
      </c>
      <c r="K27" s="322">
        <f>I27/$I$32</f>
        <v>0.56933221342824725</v>
      </c>
      <c r="N27" s="77"/>
      <c r="O27" s="77"/>
      <c r="P27" s="77"/>
      <c r="Q27" s="77"/>
      <c r="R27" s="77"/>
      <c r="S27" s="77"/>
      <c r="T27" s="77"/>
      <c r="U27" s="104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7"/>
      <c r="AG27" s="77"/>
      <c r="AH27" s="77"/>
      <c r="AI27" s="77"/>
      <c r="AJ27" s="77"/>
      <c r="AK27" s="77"/>
      <c r="AL27" s="77"/>
    </row>
    <row r="28" spans="1:38" ht="11.1" customHeight="1">
      <c r="A28" s="428"/>
      <c r="B28" s="428"/>
      <c r="C28" s="155" t="s">
        <v>5</v>
      </c>
      <c r="D28" s="326">
        <f>D22</f>
        <v>292</v>
      </c>
      <c r="E28" s="130">
        <f t="shared" ref="E28:F28" si="3">E10+E16+E22</f>
        <v>4422.4661999999998</v>
      </c>
      <c r="F28" s="130">
        <f t="shared" si="3"/>
        <v>48019.556080000002</v>
      </c>
      <c r="G28" s="320">
        <f>E28/$E$32</f>
        <v>0.14094726071134456</v>
      </c>
      <c r="H28" s="320">
        <f t="shared" ref="H28:H31" si="4">(E28-I28)/I28</f>
        <v>-0.24638732319487369</v>
      </c>
      <c r="I28" s="326">
        <f t="shared" ref="I28:J28" si="5">I10+I16+I22</f>
        <v>5868.3543099999997</v>
      </c>
      <c r="J28" s="130">
        <f t="shared" si="5"/>
        <v>62640.077130000005</v>
      </c>
      <c r="K28" s="320">
        <f>I28/$I$32</f>
        <v>0.17184112938069523</v>
      </c>
      <c r="N28" s="77"/>
      <c r="O28" s="77"/>
      <c r="P28" s="77"/>
      <c r="Q28" s="77"/>
      <c r="R28" s="77"/>
      <c r="S28" s="77"/>
      <c r="T28" s="77"/>
      <c r="U28" s="104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7"/>
      <c r="AG28" s="77"/>
      <c r="AH28" s="77"/>
      <c r="AI28" s="77"/>
      <c r="AJ28" s="77"/>
      <c r="AK28" s="77"/>
      <c r="AL28" s="77"/>
    </row>
    <row r="29" spans="1:38" ht="11.1" customHeight="1">
      <c r="A29" s="428"/>
      <c r="B29" s="428"/>
      <c r="C29" s="155" t="s">
        <v>6</v>
      </c>
      <c r="D29" s="326">
        <f>D23</f>
        <v>9586</v>
      </c>
      <c r="E29" s="130">
        <f t="shared" ref="E29:F29" si="6">E11+E17+E23</f>
        <v>2658.6377600000001</v>
      </c>
      <c r="F29" s="130">
        <f t="shared" si="6"/>
        <v>28880.384539999999</v>
      </c>
      <c r="G29" s="320">
        <f>E29/$E$32</f>
        <v>8.4732746967234054E-2</v>
      </c>
      <c r="H29" s="320">
        <f t="shared" si="4"/>
        <v>-0.10600662243106614</v>
      </c>
      <c r="I29" s="326">
        <f t="shared" ref="I29:J29" si="7">I11+I17+I23</f>
        <v>2973.8897700000002</v>
      </c>
      <c r="J29" s="130">
        <f t="shared" si="7"/>
        <v>31743.280680000003</v>
      </c>
      <c r="K29" s="320">
        <f>I29/$I$32</f>
        <v>8.7083456406110579E-2</v>
      </c>
      <c r="N29" s="77"/>
      <c r="O29" s="77"/>
      <c r="P29" s="77"/>
      <c r="Q29" s="77"/>
      <c r="R29" s="77"/>
      <c r="S29" s="77"/>
      <c r="T29" s="77"/>
      <c r="U29" s="104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7"/>
      <c r="AG29" s="77"/>
      <c r="AH29" s="77"/>
      <c r="AI29" s="77"/>
      <c r="AJ29" s="77"/>
      <c r="AK29" s="77"/>
      <c r="AL29" s="77"/>
    </row>
    <row r="30" spans="1:38" ht="11.1" customHeight="1">
      <c r="A30" s="428"/>
      <c r="B30" s="428"/>
      <c r="C30" s="155" t="s">
        <v>7</v>
      </c>
      <c r="D30" s="326">
        <f>D24</f>
        <v>94090</v>
      </c>
      <c r="E30" s="130">
        <f t="shared" ref="E30:F31" si="8">E12+E18+E24</f>
        <v>4214.5792199999996</v>
      </c>
      <c r="F30" s="130">
        <f t="shared" si="8"/>
        <v>45782.712449999992</v>
      </c>
      <c r="G30" s="320">
        <f>E30/$E$32</f>
        <v>0.1343217492787068</v>
      </c>
      <c r="H30" s="320">
        <f t="shared" si="4"/>
        <v>-0.10975631997023801</v>
      </c>
      <c r="I30" s="326">
        <f t="shared" ref="I30:J30" si="9">I12+I18+I24</f>
        <v>4734.18606</v>
      </c>
      <c r="J30" s="130">
        <f t="shared" si="9"/>
        <v>50533.415300000001</v>
      </c>
      <c r="K30" s="320">
        <f>I30/$I$32</f>
        <v>0.13862964577010073</v>
      </c>
      <c r="N30" s="77"/>
      <c r="O30" s="77"/>
      <c r="P30" s="77"/>
      <c r="Q30" s="77"/>
      <c r="R30" s="77"/>
      <c r="S30" s="77"/>
      <c r="T30" s="77"/>
      <c r="U30" s="104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7"/>
      <c r="AG30" s="77"/>
      <c r="AH30" s="77"/>
      <c r="AI30" s="77"/>
      <c r="AJ30" s="77"/>
      <c r="AK30" s="77"/>
      <c r="AL30" s="77"/>
    </row>
    <row r="31" spans="1:38" ht="11.1" customHeight="1">
      <c r="A31" s="428"/>
      <c r="B31" s="428"/>
      <c r="C31" s="155" t="s">
        <v>93</v>
      </c>
      <c r="D31" s="326">
        <f>D25</f>
        <v>15</v>
      </c>
      <c r="E31" s="130">
        <f>E13+E19+E25</f>
        <v>958.51100000000008</v>
      </c>
      <c r="F31" s="130">
        <f t="shared" si="8"/>
        <v>10396.82</v>
      </c>
      <c r="G31" s="320">
        <f>E31/$E$32</f>
        <v>3.0548452764136806E-2</v>
      </c>
      <c r="H31" s="320">
        <f t="shared" si="4"/>
        <v>-0.15237826576018901</v>
      </c>
      <c r="I31" s="326">
        <f>I13+I19+I25</f>
        <v>1130.8240000000001</v>
      </c>
      <c r="J31" s="130">
        <f t="shared" ref="J31" si="10">J13+J19+J25</f>
        <v>12071.367999999999</v>
      </c>
      <c r="K31" s="320">
        <f>I31/$I$32</f>
        <v>3.3113555014846294E-2</v>
      </c>
      <c r="N31" s="77"/>
      <c r="O31" s="77"/>
      <c r="P31" s="77"/>
      <c r="Q31" s="77"/>
      <c r="R31" s="77"/>
      <c r="S31" s="77"/>
      <c r="T31" s="77"/>
      <c r="U31" s="104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G31" s="77"/>
      <c r="AH31" s="77"/>
      <c r="AI31" s="77"/>
      <c r="AJ31" s="77"/>
      <c r="AK31" s="77"/>
      <c r="AL31" s="77"/>
    </row>
    <row r="32" spans="1:38" ht="11.1" customHeight="1">
      <c r="A32" s="433"/>
      <c r="B32" s="433"/>
      <c r="C32" s="331" t="s">
        <v>0</v>
      </c>
      <c r="D32" s="334">
        <f>SUM(D27:D31)</f>
        <v>104068</v>
      </c>
      <c r="E32" s="332">
        <f>SUM(E27:E31)</f>
        <v>31376.744589999998</v>
      </c>
      <c r="F32" s="332">
        <f>SUM(F27:F31)</f>
        <v>340673.23830999999</v>
      </c>
      <c r="G32" s="333">
        <f>SUM(G27:G31)</f>
        <v>1</v>
      </c>
      <c r="H32" s="333">
        <f>(E32-I32)/I32</f>
        <v>-8.120489292078556E-2</v>
      </c>
      <c r="I32" s="334">
        <f>SUM(I27:I31)</f>
        <v>34149.882109999999</v>
      </c>
      <c r="J32" s="332">
        <f>SUM(J27:J31)</f>
        <v>364529.94173000002</v>
      </c>
      <c r="K32" s="333">
        <f>SUM(K27:K31)</f>
        <v>1</v>
      </c>
      <c r="N32" s="77"/>
      <c r="O32" s="77"/>
      <c r="P32" s="77"/>
      <c r="Q32" s="77"/>
      <c r="R32" s="77"/>
      <c r="S32" s="77"/>
      <c r="T32" s="77"/>
      <c r="U32" s="104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G32" s="77"/>
      <c r="AH32" s="77"/>
      <c r="AI32" s="77"/>
      <c r="AJ32" s="77"/>
      <c r="AK32" s="77"/>
      <c r="AL32" s="77"/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36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191</v>
      </c>
      <c r="E39" s="321">
        <v>15520.379000000001</v>
      </c>
      <c r="F39" s="321">
        <v>168703.07947</v>
      </c>
      <c r="G39" s="322">
        <f>E39/$E$44</f>
        <v>0.58526830427175092</v>
      </c>
      <c r="H39" s="322">
        <f>(E39-I39)/I39</f>
        <v>-3.9531235853621415E-2</v>
      </c>
      <c r="I39" s="325">
        <v>16159.171</v>
      </c>
      <c r="J39" s="321">
        <v>172571.67477999991</v>
      </c>
      <c r="K39" s="322">
        <f>I39/$I$44</f>
        <v>0.56359698655459256</v>
      </c>
    </row>
    <row r="40" spans="1:11" ht="11.1" customHeight="1">
      <c r="A40" s="428"/>
      <c r="B40" s="428"/>
      <c r="C40" s="155" t="s">
        <v>5</v>
      </c>
      <c r="D40" s="326">
        <v>826</v>
      </c>
      <c r="E40" s="130">
        <v>2904.8519999999999</v>
      </c>
      <c r="F40" s="130">
        <v>31575.046350000019</v>
      </c>
      <c r="G40" s="320">
        <f t="shared" ref="G40:G41" si="11">E40/$E$44</f>
        <v>0.10954099794859418</v>
      </c>
      <c r="H40" s="320">
        <f>(E40-I40)/I40</f>
        <v>-5.2444410229946468E-2</v>
      </c>
      <c r="I40" s="326">
        <v>3065.627</v>
      </c>
      <c r="J40" s="130">
        <v>32739.397980000023</v>
      </c>
      <c r="K40" s="320">
        <f t="shared" ref="K40:K43" si="12">I40/$I$44</f>
        <v>0.10692244912195037</v>
      </c>
    </row>
    <row r="41" spans="1:11" ht="11.1" customHeight="1">
      <c r="A41" s="428"/>
      <c r="B41" s="428"/>
      <c r="C41" s="155" t="s">
        <v>6</v>
      </c>
      <c r="D41" s="326">
        <v>24145</v>
      </c>
      <c r="E41" s="130">
        <v>2353.721</v>
      </c>
      <c r="F41" s="130">
        <v>25584.881300000001</v>
      </c>
      <c r="G41" s="320">
        <f t="shared" si="11"/>
        <v>8.8758032158802944E-2</v>
      </c>
      <c r="H41" s="320">
        <f t="shared" ref="H41:H43" si="13">(E41-I41)/I41</f>
        <v>0.1424998179744193</v>
      </c>
      <c r="I41" s="326">
        <v>2060.15</v>
      </c>
      <c r="J41" s="130">
        <v>22001.53916</v>
      </c>
      <c r="K41" s="320">
        <f t="shared" si="12"/>
        <v>7.185358282615141E-2</v>
      </c>
    </row>
    <row r="42" spans="1:11" ht="11.1" customHeight="1">
      <c r="A42" s="428"/>
      <c r="B42" s="428"/>
      <c r="C42" s="155" t="s">
        <v>7</v>
      </c>
      <c r="D42" s="326">
        <v>354696</v>
      </c>
      <c r="E42" s="130">
        <v>4683.1000000000004</v>
      </c>
      <c r="F42" s="130">
        <v>50904.5</v>
      </c>
      <c r="G42" s="320">
        <f>E42/$E$44</f>
        <v>0.17659813563412574</v>
      </c>
      <c r="H42" s="320">
        <f t="shared" si="13"/>
        <v>-0.2441370628016204</v>
      </c>
      <c r="I42" s="326">
        <v>6195.7</v>
      </c>
      <c r="J42" s="130">
        <v>66167.100000000006</v>
      </c>
      <c r="K42" s="320">
        <f t="shared" si="12"/>
        <v>0.21609263554400712</v>
      </c>
    </row>
    <row r="43" spans="1:11" ht="11.1" customHeight="1">
      <c r="A43" s="428"/>
      <c r="B43" s="428"/>
      <c r="C43" s="155" t="s">
        <v>93</v>
      </c>
      <c r="D43" s="326">
        <v>28</v>
      </c>
      <c r="E43" s="130">
        <v>1056.348</v>
      </c>
      <c r="F43" s="130">
        <v>11482.30523</v>
      </c>
      <c r="G43" s="320">
        <f>E43/$E$44</f>
        <v>3.9834529986726194E-2</v>
      </c>
      <c r="H43" s="320">
        <f t="shared" si="13"/>
        <v>-0.11294770466859032</v>
      </c>
      <c r="I43" s="326">
        <v>1190.8520000000001</v>
      </c>
      <c r="J43" s="130">
        <v>12717.71256</v>
      </c>
      <c r="K43" s="320">
        <f t="shared" si="12"/>
        <v>4.1534345953298572E-2</v>
      </c>
    </row>
    <row r="44" spans="1:11" ht="11.1" customHeight="1">
      <c r="A44" s="433"/>
      <c r="B44" s="433"/>
      <c r="C44" s="331" t="s">
        <v>0</v>
      </c>
      <c r="D44" s="334">
        <v>379886</v>
      </c>
      <c r="E44" s="332">
        <v>26518.400000000001</v>
      </c>
      <c r="F44" s="332">
        <v>288249.81235000002</v>
      </c>
      <c r="G44" s="333">
        <f>SUM(G39:G43)</f>
        <v>1</v>
      </c>
      <c r="H44" s="333">
        <f>(E44-I44)/I44</f>
        <v>-7.5095478087996742E-2</v>
      </c>
      <c r="I44" s="334">
        <v>28671.5</v>
      </c>
      <c r="J44" s="332">
        <v>306197.42447999993</v>
      </c>
      <c r="K44" s="333">
        <f>SUM(K39:K43)</f>
        <v>1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191</v>
      </c>
      <c r="E45" s="321">
        <v>15531.508000000002</v>
      </c>
      <c r="F45" s="321">
        <v>168524.88094000018</v>
      </c>
      <c r="G45" s="322">
        <f>E45/$E$50</f>
        <v>0.58745576543387323</v>
      </c>
      <c r="H45" s="322">
        <f>(E45-I45)/I45</f>
        <v>-9.3678252239806345E-2</v>
      </c>
      <c r="I45" s="325">
        <v>17136.858999999997</v>
      </c>
      <c r="J45" s="321">
        <v>182670.04193000006</v>
      </c>
      <c r="K45" s="322">
        <f>I45/$I$50</f>
        <v>0.53321734611961935</v>
      </c>
    </row>
    <row r="46" spans="1:11" ht="11.1" customHeight="1">
      <c r="A46" s="428"/>
      <c r="B46" s="428"/>
      <c r="C46" s="155" t="s">
        <v>5</v>
      </c>
      <c r="D46" s="326">
        <v>828</v>
      </c>
      <c r="E46" s="130">
        <v>3063.9390000000003</v>
      </c>
      <c r="F46" s="130">
        <v>33245.082539999974</v>
      </c>
      <c r="G46" s="320">
        <f t="shared" ref="G46:G48" si="14">E46/$E$50</f>
        <v>0.11588885190592543</v>
      </c>
      <c r="H46" s="320">
        <f>(E46-I46)/I46</f>
        <v>-0.13500707902392736</v>
      </c>
      <c r="I46" s="326">
        <v>3542.1549999999997</v>
      </c>
      <c r="J46" s="130">
        <v>37757.20765000004</v>
      </c>
      <c r="K46" s="320">
        <f t="shared" ref="K46:K49" si="15">I46/$I$50</f>
        <v>0.11021497513892953</v>
      </c>
    </row>
    <row r="47" spans="1:11" ht="11.1" customHeight="1">
      <c r="A47" s="428"/>
      <c r="B47" s="428"/>
      <c r="C47" s="155" t="s">
        <v>6</v>
      </c>
      <c r="D47" s="326">
        <v>24115</v>
      </c>
      <c r="E47" s="130">
        <v>2306.741</v>
      </c>
      <c r="F47" s="130">
        <v>25029.586870000003</v>
      </c>
      <c r="G47" s="320">
        <f t="shared" si="14"/>
        <v>8.7248984439418115E-2</v>
      </c>
      <c r="H47" s="320">
        <f t="shared" ref="H47:H49" si="16">(E47-I47)/I47</f>
        <v>-8.2042829280988008E-2</v>
      </c>
      <c r="I47" s="326">
        <v>2512.9069999999997</v>
      </c>
      <c r="J47" s="130">
        <v>26786.619549999999</v>
      </c>
      <c r="K47" s="320">
        <f t="shared" si="15"/>
        <v>7.8189684678237392E-2</v>
      </c>
    </row>
    <row r="48" spans="1:11" ht="11.1" customHeight="1">
      <c r="A48" s="428"/>
      <c r="B48" s="428"/>
      <c r="C48" s="155" t="s">
        <v>7</v>
      </c>
      <c r="D48" s="326">
        <v>354179</v>
      </c>
      <c r="E48" s="130">
        <v>4519.3999999999996</v>
      </c>
      <c r="F48" s="130">
        <v>49037.7</v>
      </c>
      <c r="G48" s="320">
        <f t="shared" si="14"/>
        <v>0.17093945972933511</v>
      </c>
      <c r="H48" s="320">
        <f t="shared" si="16"/>
        <v>-0.41592462876565389</v>
      </c>
      <c r="I48" s="326">
        <v>7737.7</v>
      </c>
      <c r="J48" s="130">
        <v>82479.399999999994</v>
      </c>
      <c r="K48" s="320">
        <f t="shared" si="15"/>
        <v>0.24076033181283568</v>
      </c>
    </row>
    <row r="49" spans="1:11" ht="11.1" customHeight="1">
      <c r="A49" s="428"/>
      <c r="B49" s="428"/>
      <c r="C49" s="155" t="s">
        <v>93</v>
      </c>
      <c r="D49" s="326">
        <v>28</v>
      </c>
      <c r="E49" s="130">
        <v>1017.0119999999999</v>
      </c>
      <c r="F49" s="130">
        <v>11035.153329999997</v>
      </c>
      <c r="G49" s="320">
        <f>E49/$E$50</f>
        <v>3.8466938491448104E-2</v>
      </c>
      <c r="H49" s="320">
        <f t="shared" si="16"/>
        <v>-0.15878439575873535</v>
      </c>
      <c r="I49" s="326">
        <v>1208.979</v>
      </c>
      <c r="J49" s="130">
        <v>12887.08416</v>
      </c>
      <c r="K49" s="320">
        <f t="shared" si="15"/>
        <v>3.7617662250378055E-2</v>
      </c>
    </row>
    <row r="50" spans="1:11" ht="11.1" customHeight="1">
      <c r="A50" s="433"/>
      <c r="B50" s="433"/>
      <c r="C50" s="331" t="s">
        <v>0</v>
      </c>
      <c r="D50" s="334">
        <v>379341</v>
      </c>
      <c r="E50" s="332">
        <v>26438.600000000002</v>
      </c>
      <c r="F50" s="332">
        <v>286872.40368000016</v>
      </c>
      <c r="G50" s="333">
        <f>SUM(G45:G49)</f>
        <v>1</v>
      </c>
      <c r="H50" s="333">
        <f t="shared" ref="H50" si="17">(E50-I50)/I50</f>
        <v>-0.17735682325925814</v>
      </c>
      <c r="I50" s="334">
        <v>32138.599999999995</v>
      </c>
      <c r="J50" s="332">
        <v>342580.35329000017</v>
      </c>
      <c r="K50" s="333">
        <f>SUM(K45:K49)</f>
        <v>1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191</v>
      </c>
      <c r="E51" s="321">
        <v>20460.029000000002</v>
      </c>
      <c r="F51" s="321">
        <v>223761.18963999997</v>
      </c>
      <c r="G51" s="322">
        <f>E51/$E$56</f>
        <v>0.50181322077297763</v>
      </c>
      <c r="H51" s="322">
        <f>(E51-I51)/I51</f>
        <v>7.1627063835047411E-2</v>
      </c>
      <c r="I51" s="325">
        <v>19092.489999999998</v>
      </c>
      <c r="J51" s="321">
        <v>203556.02682000012</v>
      </c>
      <c r="K51" s="322">
        <f>I51/$I$56</f>
        <v>0.48628419336763279</v>
      </c>
    </row>
    <row r="52" spans="1:11" ht="11.1" customHeight="1">
      <c r="A52" s="428"/>
      <c r="B52" s="428"/>
      <c r="C52" s="155" t="s">
        <v>5</v>
      </c>
      <c r="D52" s="326">
        <v>827</v>
      </c>
      <c r="E52" s="130">
        <v>4537.8130000000001</v>
      </c>
      <c r="F52" s="130">
        <v>49627.696549999979</v>
      </c>
      <c r="G52" s="320">
        <f t="shared" ref="G52:G55" si="18">E52/$E$56</f>
        <v>0.11129674140713525</v>
      </c>
      <c r="H52" s="320">
        <f t="shared" ref="H52:H55" si="19">(E52-I52)/I52</f>
        <v>3.9588701784739062E-2</v>
      </c>
      <c r="I52" s="326">
        <v>4365.0079999999998</v>
      </c>
      <c r="J52" s="130">
        <v>46538.427409999953</v>
      </c>
      <c r="K52" s="320">
        <f t="shared" ref="K52:K55" si="20">I52/$I$56</f>
        <v>0.11117640466608934</v>
      </c>
    </row>
    <row r="53" spans="1:11" ht="11.1" customHeight="1">
      <c r="A53" s="428"/>
      <c r="B53" s="428"/>
      <c r="C53" s="155" t="s">
        <v>6</v>
      </c>
      <c r="D53" s="326">
        <v>24050</v>
      </c>
      <c r="E53" s="130">
        <v>4774.9209999999994</v>
      </c>
      <c r="F53" s="130">
        <v>52220.931479999999</v>
      </c>
      <c r="G53" s="320">
        <f t="shared" si="18"/>
        <v>0.11711217447182146</v>
      </c>
      <c r="H53" s="320">
        <f t="shared" si="19"/>
        <v>0.2850857078880536</v>
      </c>
      <c r="I53" s="326">
        <v>3715.6440000000002</v>
      </c>
      <c r="J53" s="130">
        <v>39615.18692</v>
      </c>
      <c r="K53" s="320">
        <f t="shared" si="20"/>
        <v>9.4637155519331675E-2</v>
      </c>
    </row>
    <row r="54" spans="1:11" ht="11.1" customHeight="1">
      <c r="A54" s="428"/>
      <c r="B54" s="428"/>
      <c r="C54" s="155" t="s">
        <v>7</v>
      </c>
      <c r="D54" s="326">
        <v>353739</v>
      </c>
      <c r="E54" s="130">
        <v>10066.6</v>
      </c>
      <c r="F54" s="130">
        <v>110094</v>
      </c>
      <c r="G54" s="320">
        <f t="shared" si="18"/>
        <v>0.24689862210035268</v>
      </c>
      <c r="H54" s="320">
        <f t="shared" si="19"/>
        <v>-7.3995032655689422E-2</v>
      </c>
      <c r="I54" s="326">
        <v>10871</v>
      </c>
      <c r="J54" s="130">
        <v>115902.1</v>
      </c>
      <c r="K54" s="320">
        <f t="shared" si="20"/>
        <v>0.27688350058580818</v>
      </c>
    </row>
    <row r="55" spans="1:11" ht="11.1" customHeight="1">
      <c r="A55" s="428"/>
      <c r="B55" s="428"/>
      <c r="C55" s="155" t="s">
        <v>93</v>
      </c>
      <c r="D55" s="326">
        <v>28</v>
      </c>
      <c r="E55" s="130">
        <v>932.83699999999999</v>
      </c>
      <c r="F55" s="130">
        <v>10201.993259999999</v>
      </c>
      <c r="G55" s="320">
        <f t="shared" si="18"/>
        <v>2.28792412477129E-2</v>
      </c>
      <c r="H55" s="320">
        <f t="shared" si="19"/>
        <v>-0.23403467399319131</v>
      </c>
      <c r="I55" s="326">
        <v>1217.8579999999999</v>
      </c>
      <c r="J55" s="130">
        <v>12984.306989999999</v>
      </c>
      <c r="K55" s="320">
        <f t="shared" si="20"/>
        <v>3.1018745861137995E-2</v>
      </c>
    </row>
    <row r="56" spans="1:11" ht="11.1" customHeight="1">
      <c r="A56" s="433"/>
      <c r="B56" s="433"/>
      <c r="C56" s="331" t="s">
        <v>0</v>
      </c>
      <c r="D56" s="334">
        <v>378835</v>
      </c>
      <c r="E56" s="332">
        <v>40772.200000000004</v>
      </c>
      <c r="F56" s="332">
        <v>445905.81092999992</v>
      </c>
      <c r="G56" s="333">
        <f>SUM(G51:G55)</f>
        <v>0.99999999999999989</v>
      </c>
      <c r="H56" s="333">
        <f t="shared" ref="H56" si="21">(E56-I56)/I56</f>
        <v>3.8464673220926199E-2</v>
      </c>
      <c r="I56" s="334">
        <v>39262</v>
      </c>
      <c r="J56" s="332">
        <v>418596.04814000003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191</v>
      </c>
      <c r="E57" s="321">
        <f>E39+E45+E51</f>
        <v>51511.916000000005</v>
      </c>
      <c r="F57" s="321">
        <f>F39+F45+F51</f>
        <v>560989.15005000017</v>
      </c>
      <c r="G57" s="322">
        <f>E57/$E$62</f>
        <v>0.54958237134212184</v>
      </c>
      <c r="H57" s="322">
        <f>(E57-I57)/I57</f>
        <v>-1.6732749846721993E-2</v>
      </c>
      <c r="I57" s="325">
        <f>I39+I45+I51</f>
        <v>52388.52</v>
      </c>
      <c r="J57" s="321">
        <f>J39+J45+J51</f>
        <v>558797.74353000009</v>
      </c>
      <c r="K57" s="322">
        <f>I57/$I$62</f>
        <v>0.52350775091159274</v>
      </c>
    </row>
    <row r="58" spans="1:11" ht="11.1" customHeight="1">
      <c r="A58" s="428"/>
      <c r="B58" s="428"/>
      <c r="C58" s="155" t="s">
        <v>5</v>
      </c>
      <c r="D58" s="326">
        <f>D52</f>
        <v>827</v>
      </c>
      <c r="E58" s="130">
        <f t="shared" ref="E58:F58" si="22">E40+E46+E52</f>
        <v>10506.603999999999</v>
      </c>
      <c r="F58" s="130">
        <f t="shared" si="22"/>
        <v>114447.82543999997</v>
      </c>
      <c r="G58" s="320">
        <f t="shared" ref="G58:G61" si="23">E58/$E$62</f>
        <v>0.11209531288008433</v>
      </c>
      <c r="H58" s="320">
        <f t="shared" ref="H58:H61" si="24">(E58-I58)/I58</f>
        <v>-4.2485639477288797E-2</v>
      </c>
      <c r="I58" s="326">
        <f t="shared" ref="I58:J59" si="25">I40+I46+I52</f>
        <v>10972.789999999999</v>
      </c>
      <c r="J58" s="130">
        <f t="shared" si="25"/>
        <v>117035.03304000001</v>
      </c>
      <c r="K58" s="320">
        <f t="shared" ref="K58:K61" si="26">I58/$I$62</f>
        <v>0.10964884318406429</v>
      </c>
    </row>
    <row r="59" spans="1:11" ht="11.1" customHeight="1">
      <c r="A59" s="428"/>
      <c r="B59" s="428"/>
      <c r="C59" s="155" t="s">
        <v>6</v>
      </c>
      <c r="D59" s="326">
        <f>D53</f>
        <v>24050</v>
      </c>
      <c r="E59" s="130">
        <f>E41+E47+E53</f>
        <v>9435.382999999998</v>
      </c>
      <c r="F59" s="130">
        <f t="shared" ref="F59" si="27">F41+F47+F53</f>
        <v>102835.39965000001</v>
      </c>
      <c r="G59" s="320">
        <f t="shared" si="23"/>
        <v>0.10066641985635211</v>
      </c>
      <c r="H59" s="320">
        <f t="shared" si="24"/>
        <v>0.1383427873680082</v>
      </c>
      <c r="I59" s="326">
        <f>I41+I47+I53</f>
        <v>8288.7010000000009</v>
      </c>
      <c r="J59" s="130">
        <f t="shared" si="25"/>
        <v>88403.345629999996</v>
      </c>
      <c r="K59" s="320">
        <f t="shared" si="26"/>
        <v>8.2827291522812069E-2</v>
      </c>
    </row>
    <row r="60" spans="1:11" ht="11.1" customHeight="1">
      <c r="A60" s="428"/>
      <c r="B60" s="428"/>
      <c r="C60" s="155" t="s">
        <v>7</v>
      </c>
      <c r="D60" s="326">
        <f>D54</f>
        <v>353739</v>
      </c>
      <c r="E60" s="130">
        <f t="shared" ref="E60:F60" si="28">E42+E48+E54</f>
        <v>19269.099999999999</v>
      </c>
      <c r="F60" s="130">
        <f t="shared" si="28"/>
        <v>210036.2</v>
      </c>
      <c r="G60" s="320">
        <f t="shared" si="23"/>
        <v>0.20558267861029433</v>
      </c>
      <c r="H60" s="320">
        <f t="shared" si="24"/>
        <v>-0.22315798809888579</v>
      </c>
      <c r="I60" s="326">
        <f t="shared" ref="I60:J61" si="29">I42+I48+I54</f>
        <v>24804.400000000001</v>
      </c>
      <c r="J60" s="130">
        <f t="shared" si="29"/>
        <v>264548.59999999998</v>
      </c>
      <c r="K60" s="320">
        <f t="shared" si="26"/>
        <v>0.2478652891265398</v>
      </c>
    </row>
    <row r="61" spans="1:11" ht="11.1" customHeight="1">
      <c r="A61" s="428"/>
      <c r="B61" s="428"/>
      <c r="C61" s="155" t="s">
        <v>93</v>
      </c>
      <c r="D61" s="326">
        <f>D55</f>
        <v>28</v>
      </c>
      <c r="E61" s="130">
        <f>E43+E49+E55</f>
        <v>3006.1969999999997</v>
      </c>
      <c r="F61" s="130">
        <f t="shared" ref="F61" si="30">F43+F49+F55</f>
        <v>32719.451819999998</v>
      </c>
      <c r="G61" s="320">
        <f t="shared" si="23"/>
        <v>3.2073217311147428E-2</v>
      </c>
      <c r="H61" s="320">
        <f t="shared" si="24"/>
        <v>-0.16902834931360894</v>
      </c>
      <c r="I61" s="326">
        <f>I43+I49+I55</f>
        <v>3617.6890000000003</v>
      </c>
      <c r="J61" s="130">
        <f t="shared" si="29"/>
        <v>38589.103709999996</v>
      </c>
      <c r="K61" s="320">
        <f t="shared" si="26"/>
        <v>3.6150825254991158E-2</v>
      </c>
    </row>
    <row r="62" spans="1:11" ht="11.1" customHeight="1">
      <c r="A62" s="433"/>
      <c r="B62" s="433"/>
      <c r="C62" s="331" t="s">
        <v>0</v>
      </c>
      <c r="D62" s="334">
        <f>SUM(D57:D61)</f>
        <v>378835</v>
      </c>
      <c r="E62" s="332">
        <f>SUM(E57:E61)</f>
        <v>93729.2</v>
      </c>
      <c r="F62" s="332">
        <f>SUM(F57:F61)</f>
        <v>1021028.02696</v>
      </c>
      <c r="G62" s="333">
        <f>SUM(G57:G61)</f>
        <v>1</v>
      </c>
      <c r="H62" s="333">
        <f>(E62-I62)/I62</f>
        <v>-6.3383300640238338E-2</v>
      </c>
      <c r="I62" s="334">
        <f>SUM(I57:I61)</f>
        <v>100072.09999999999</v>
      </c>
      <c r="J62" s="332">
        <f>SUM(J57:J61)</f>
        <v>1067373.8259100001</v>
      </c>
      <c r="K62" s="333">
        <f>SUM(K57:K61)</f>
        <v>1.0000000000000002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  <mergeCell ref="A9:B14"/>
    <mergeCell ref="A15:B20"/>
    <mergeCell ref="A21:B26"/>
    <mergeCell ref="A27:B32"/>
    <mergeCell ref="A34:C34"/>
    <mergeCell ref="A45:B50"/>
    <mergeCell ref="E36:F37"/>
    <mergeCell ref="I36:J37"/>
    <mergeCell ref="A51:B56"/>
    <mergeCell ref="A57:B62"/>
    <mergeCell ref="A39:B44"/>
    <mergeCell ref="A38:B38"/>
    <mergeCell ref="D34:D35"/>
    <mergeCell ref="I34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topLeftCell="A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307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37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56</v>
      </c>
      <c r="E9" s="321">
        <v>6136.6350000000002</v>
      </c>
      <c r="F9" s="321">
        <v>66703.715410000004</v>
      </c>
      <c r="G9" s="322">
        <f>E9/$E$14</f>
        <v>0.75924021973127453</v>
      </c>
      <c r="H9" s="322">
        <f>(E9-I9)/I9</f>
        <v>-0.87325881863460209</v>
      </c>
      <c r="I9" s="325">
        <v>48418.635000000002</v>
      </c>
      <c r="J9" s="321">
        <v>517086.26746</v>
      </c>
      <c r="K9" s="322">
        <f>I9/$I$14</f>
        <v>0.95432691644378043</v>
      </c>
    </row>
    <row r="10" spans="1:16" ht="11.1" customHeight="1">
      <c r="A10" s="428"/>
      <c r="B10" s="428"/>
      <c r="C10" s="155" t="s">
        <v>5</v>
      </c>
      <c r="D10" s="326">
        <v>163</v>
      </c>
      <c r="E10" s="130">
        <v>582.28099999999995</v>
      </c>
      <c r="F10" s="130">
        <v>6329.1292499999945</v>
      </c>
      <c r="G10" s="320">
        <f>E10/$E$14</f>
        <v>7.2041298592037201E-2</v>
      </c>
      <c r="H10" s="320">
        <f>(E10-I10)/I10</f>
        <v>-0.28478657128538737</v>
      </c>
      <c r="I10" s="326">
        <v>814.13600000000008</v>
      </c>
      <c r="J10" s="130">
        <v>8694.6137800000051</v>
      </c>
      <c r="K10" s="320">
        <f>I10/$I$14</f>
        <v>1.6046546922396175E-2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5903</v>
      </c>
      <c r="E11" s="130">
        <v>586.9</v>
      </c>
      <c r="F11" s="130">
        <v>6379.1</v>
      </c>
      <c r="G11" s="320">
        <f>E11/$E$14</f>
        <v>7.2612773117561175E-2</v>
      </c>
      <c r="H11" s="320">
        <f t="shared" ref="H11:H13" si="0">(E11-I11)/I11</f>
        <v>0.19716873368146207</v>
      </c>
      <c r="I11" s="326">
        <v>490.24</v>
      </c>
      <c r="J11" s="130">
        <v>5235.8999570000005</v>
      </c>
      <c r="K11" s="320">
        <f>I11/$I$14</f>
        <v>9.662586058392578E-3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77402</v>
      </c>
      <c r="E12" s="130">
        <v>619.6</v>
      </c>
      <c r="F12" s="130">
        <v>6735.2</v>
      </c>
      <c r="G12" s="320">
        <f>E12/$E$14</f>
        <v>7.6658500977408256E-2</v>
      </c>
      <c r="H12" s="320">
        <f t="shared" si="0"/>
        <v>-0.2442059038789948</v>
      </c>
      <c r="I12" s="326">
        <v>819.8</v>
      </c>
      <c r="J12" s="130">
        <v>8754.6</v>
      </c>
      <c r="K12" s="320">
        <f>I12/$I$14</f>
        <v>1.615818385009431E-2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7</v>
      </c>
      <c r="E13" s="130">
        <v>157.184</v>
      </c>
      <c r="F13" s="130">
        <v>1708.56368</v>
      </c>
      <c r="G13" s="320">
        <f>E13/$E$14</f>
        <v>1.9447207581718754E-2</v>
      </c>
      <c r="H13" s="320">
        <f t="shared" si="0"/>
        <v>-0.18595052022642408</v>
      </c>
      <c r="I13" s="326">
        <v>193.089</v>
      </c>
      <c r="J13" s="130">
        <v>2062.0901629999998</v>
      </c>
      <c r="K13" s="320">
        <f>I13/$I$14</f>
        <v>3.8057667253364974E-3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83531</v>
      </c>
      <c r="E14" s="332">
        <v>8082.6</v>
      </c>
      <c r="F14" s="332">
        <v>87855.708340000012</v>
      </c>
      <c r="G14" s="333">
        <f>SUM(G9:G13)</f>
        <v>1</v>
      </c>
      <c r="H14" s="333">
        <f>(E14-I14)/I14</f>
        <v>-0.84069268506126826</v>
      </c>
      <c r="I14" s="334">
        <v>50735.9</v>
      </c>
      <c r="J14" s="332">
        <v>541833.47136000008</v>
      </c>
      <c r="K14" s="333">
        <f>SUM(K9:K13)</f>
        <v>0.99999999999999989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56</v>
      </c>
      <c r="E15" s="321">
        <v>6601.9000000000005</v>
      </c>
      <c r="F15" s="321">
        <v>71634.165830000027</v>
      </c>
      <c r="G15" s="322">
        <f>E15/$E$20</f>
        <v>0.77836990226016023</v>
      </c>
      <c r="H15" s="322">
        <f>(E15-I15)/I15</f>
        <v>-0.86409745903686741</v>
      </c>
      <c r="I15" s="325">
        <v>48578.194000000003</v>
      </c>
      <c r="J15" s="321">
        <v>517817.56608000002</v>
      </c>
      <c r="K15" s="322">
        <f>I15/$I$20</f>
        <v>0.93117866145279249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163</v>
      </c>
      <c r="E16" s="130">
        <v>553.05799999999999</v>
      </c>
      <c r="F16" s="130">
        <v>6000.7103399999978</v>
      </c>
      <c r="G16" s="320">
        <f>E16/$E$20</f>
        <v>6.5206031809660808E-2</v>
      </c>
      <c r="H16" s="320">
        <f>(E16-I16)/I16</f>
        <v>-0.68622709783127933</v>
      </c>
      <c r="I16" s="326">
        <v>1762.606</v>
      </c>
      <c r="J16" s="130">
        <v>18788.976430000017</v>
      </c>
      <c r="K16" s="320">
        <f>I16/$I$20</f>
        <v>3.3786787045822671E-2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5895</v>
      </c>
      <c r="E17" s="130">
        <v>575.70000000000005</v>
      </c>
      <c r="F17" s="130">
        <v>6246.9</v>
      </c>
      <c r="G17" s="320">
        <f>E17/$E$20</f>
        <v>6.7875543817866715E-2</v>
      </c>
      <c r="H17" s="320">
        <f t="shared" ref="H17:H20" si="1">(E17-I17)/I17</f>
        <v>-7.9464724007310389E-2</v>
      </c>
      <c r="I17" s="326">
        <v>625.39699999999993</v>
      </c>
      <c r="J17" s="130">
        <v>6666.2129699999996</v>
      </c>
      <c r="K17" s="320">
        <f>I17/$I$20</f>
        <v>1.1988019590365832E-2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77288</v>
      </c>
      <c r="E18" s="130">
        <v>598</v>
      </c>
      <c r="F18" s="130">
        <v>6488.2</v>
      </c>
      <c r="G18" s="320">
        <f>E18/$E$20</f>
        <v>7.0504733720834281E-2</v>
      </c>
      <c r="H18" s="320">
        <f t="shared" si="1"/>
        <v>-0.41590154327016993</v>
      </c>
      <c r="I18" s="326">
        <v>1023.8</v>
      </c>
      <c r="J18" s="130">
        <v>10912.9</v>
      </c>
      <c r="K18" s="320">
        <f>I18/$I$20</f>
        <v>1.9624869413534987E-2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7</v>
      </c>
      <c r="E19" s="130">
        <v>153.042</v>
      </c>
      <c r="F19" s="130">
        <v>1660.5923300000002</v>
      </c>
      <c r="G19" s="320">
        <f>E19/$E$20</f>
        <v>1.8043788391478126E-2</v>
      </c>
      <c r="H19" s="320">
        <f t="shared" si="1"/>
        <v>-0.14263625821414758</v>
      </c>
      <c r="I19" s="326">
        <v>178.50299999999999</v>
      </c>
      <c r="J19" s="130">
        <v>1902.7356399999999</v>
      </c>
      <c r="K19" s="320">
        <f>I19/$I$20</f>
        <v>3.4216624974841136E-3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83409</v>
      </c>
      <c r="E20" s="332">
        <v>8481.6999999999989</v>
      </c>
      <c r="F20" s="332">
        <v>92030.568500000023</v>
      </c>
      <c r="G20" s="333">
        <f>SUM(G15:G19)</f>
        <v>1.0000000000000002</v>
      </c>
      <c r="H20" s="333">
        <f t="shared" si="1"/>
        <v>-0.83741721536942793</v>
      </c>
      <c r="I20" s="334">
        <v>52168.5</v>
      </c>
      <c r="J20" s="332">
        <v>556088.39112000004</v>
      </c>
      <c r="K20" s="333">
        <f>SUM(K15:K19)</f>
        <v>1.0000000000000002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56</v>
      </c>
      <c r="E21" s="321">
        <v>6256.5689999999995</v>
      </c>
      <c r="F21" s="321">
        <v>68424.693960000004</v>
      </c>
      <c r="G21" s="322">
        <f>E21/$E$26</f>
        <v>0.63822352113107084</v>
      </c>
      <c r="H21" s="322">
        <f>(E21-I21)/I21</f>
        <v>-0.83486395370741184</v>
      </c>
      <c r="I21" s="325">
        <v>37887.361000000004</v>
      </c>
      <c r="J21" s="321">
        <v>403939.44530000002</v>
      </c>
      <c r="K21" s="322">
        <f>I21/$I$26</f>
        <v>0.91165237373372809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164</v>
      </c>
      <c r="E22" s="130">
        <v>892.005</v>
      </c>
      <c r="F22" s="130">
        <v>9755.6572700000052</v>
      </c>
      <c r="G22" s="320">
        <f>E22/$E$26</f>
        <v>9.0992135140924829E-2</v>
      </c>
      <c r="H22" s="320">
        <f t="shared" ref="H22:H26" si="2">(E22-I22)/I22</f>
        <v>-0.21001241655138708</v>
      </c>
      <c r="I22" s="326">
        <v>1129.1380000000001</v>
      </c>
      <c r="J22" s="130">
        <v>12038.176819999995</v>
      </c>
      <c r="K22" s="320">
        <f>I22/$I$26</f>
        <v>2.7169518034601412E-2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5880</v>
      </c>
      <c r="E23" s="130">
        <v>1190.7</v>
      </c>
      <c r="F23" s="130">
        <v>13022.5</v>
      </c>
      <c r="G23" s="320">
        <f>E23/$E$26</f>
        <v>0.12146157848027667</v>
      </c>
      <c r="H23" s="320">
        <f t="shared" si="2"/>
        <v>0.28726550945746088</v>
      </c>
      <c r="I23" s="326">
        <v>924.98400000000004</v>
      </c>
      <c r="J23" s="130">
        <v>9861.7339730000003</v>
      </c>
      <c r="K23" s="320">
        <f>I23/$I$26</f>
        <v>2.2257128419836861E-2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77192</v>
      </c>
      <c r="E24" s="130">
        <v>1331.9</v>
      </c>
      <c r="F24" s="130">
        <v>14566.5</v>
      </c>
      <c r="G24" s="320">
        <f>E24/$E$26</f>
        <v>0.13586518550254514</v>
      </c>
      <c r="H24" s="320">
        <f t="shared" si="2"/>
        <v>-7.3976221928665695E-2</v>
      </c>
      <c r="I24" s="326">
        <v>1438.3</v>
      </c>
      <c r="J24" s="130">
        <v>15335</v>
      </c>
      <c r="K24" s="320">
        <f>I24/$I$26</f>
        <v>3.4608628696551888E-2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7</v>
      </c>
      <c r="E25" s="130">
        <v>131.92599999999999</v>
      </c>
      <c r="F25" s="130">
        <v>1442.81186</v>
      </c>
      <c r="G25" s="320">
        <f>E25/$E$26</f>
        <v>1.3457579745182647E-2</v>
      </c>
      <c r="H25" s="320">
        <f t="shared" si="2"/>
        <v>-0.26387563679784853</v>
      </c>
      <c r="I25" s="326">
        <v>179.21700000000001</v>
      </c>
      <c r="J25" s="130">
        <v>1910.7340870000003</v>
      </c>
      <c r="K25" s="320">
        <f>I25/$I$26</f>
        <v>4.3123511152818889E-3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83299</v>
      </c>
      <c r="E26" s="332">
        <v>9803.0999999999985</v>
      </c>
      <c r="F26" s="332">
        <v>107212.16309000002</v>
      </c>
      <c r="G26" s="333">
        <f>SUM(G21:G25)</f>
        <v>1.0000000000000002</v>
      </c>
      <c r="H26" s="333">
        <f t="shared" si="2"/>
        <v>-0.76411607594022957</v>
      </c>
      <c r="I26" s="334">
        <v>41559</v>
      </c>
      <c r="J26" s="332">
        <v>443085.09018000006</v>
      </c>
      <c r="K26" s="333">
        <f>SUM(K21:K25)</f>
        <v>1.0000000000000002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56</v>
      </c>
      <c r="E27" s="321">
        <f>E9+E15+E21</f>
        <v>18995.103999999999</v>
      </c>
      <c r="F27" s="321">
        <f>F9+F15+F21</f>
        <v>206762.57520000002</v>
      </c>
      <c r="G27" s="322">
        <f>E27/$E$32</f>
        <v>0.72040110136001279</v>
      </c>
      <c r="H27" s="322">
        <f>(E27-I27)/I27</f>
        <v>-0.85917471869757311</v>
      </c>
      <c r="I27" s="325">
        <f>I9+I15+I21</f>
        <v>134884.19</v>
      </c>
      <c r="J27" s="321">
        <f>J9+J15+J21</f>
        <v>1438843.27884</v>
      </c>
      <c r="K27" s="322">
        <f>I27/$I$32</f>
        <v>0.93369109407642337</v>
      </c>
    </row>
    <row r="28" spans="1:20" ht="11.1" customHeight="1">
      <c r="A28" s="428"/>
      <c r="B28" s="428"/>
      <c r="C28" s="155" t="s">
        <v>5</v>
      </c>
      <c r="D28" s="326">
        <f>D22</f>
        <v>164</v>
      </c>
      <c r="E28" s="130">
        <f t="shared" ref="E28:F31" si="3">E10+E16+E22</f>
        <v>2027.3440000000001</v>
      </c>
      <c r="F28" s="130">
        <f t="shared" si="3"/>
        <v>22085.496859999999</v>
      </c>
      <c r="G28" s="320">
        <f>E28/$E$32</f>
        <v>7.6888278707798269E-2</v>
      </c>
      <c r="H28" s="320">
        <f t="shared" ref="H28:H31" si="4">(E28-I28)/I28</f>
        <v>-0.45293857329433224</v>
      </c>
      <c r="I28" s="326">
        <f t="shared" ref="I28:J28" si="5">I10+I16+I22</f>
        <v>3705.88</v>
      </c>
      <c r="J28" s="130">
        <f t="shared" si="5"/>
        <v>39521.767030000017</v>
      </c>
      <c r="K28" s="320">
        <f>I28/$I$32</f>
        <v>2.5652725880742109E-2</v>
      </c>
    </row>
    <row r="29" spans="1:20" ht="11.1" customHeight="1">
      <c r="A29" s="428"/>
      <c r="B29" s="428"/>
      <c r="C29" s="155" t="s">
        <v>6</v>
      </c>
      <c r="D29" s="326">
        <f>D23</f>
        <v>5880</v>
      </c>
      <c r="E29" s="130">
        <f t="shared" si="3"/>
        <v>2353.3000000000002</v>
      </c>
      <c r="F29" s="130">
        <f t="shared" si="3"/>
        <v>25648.5</v>
      </c>
      <c r="G29" s="320">
        <f>E29/$E$32</f>
        <v>8.9250362189673624E-2</v>
      </c>
      <c r="H29" s="320">
        <f t="shared" si="4"/>
        <v>0.15322737539209882</v>
      </c>
      <c r="I29" s="326">
        <f t="shared" ref="I29:J29" si="6">I11+I17+I23</f>
        <v>2040.6210000000001</v>
      </c>
      <c r="J29" s="130">
        <f t="shared" si="6"/>
        <v>21763.8469</v>
      </c>
      <c r="K29" s="320">
        <f>I29/$I$32</f>
        <v>1.4125522450669165E-2</v>
      </c>
    </row>
    <row r="30" spans="1:20" ht="11.1" customHeight="1">
      <c r="A30" s="428"/>
      <c r="B30" s="428"/>
      <c r="C30" s="155" t="s">
        <v>7</v>
      </c>
      <c r="D30" s="326">
        <f>D24</f>
        <v>77192</v>
      </c>
      <c r="E30" s="130">
        <f t="shared" si="3"/>
        <v>2549.5</v>
      </c>
      <c r="F30" s="130">
        <f t="shared" si="3"/>
        <v>27789.9</v>
      </c>
      <c r="G30" s="320">
        <f>E30/$E$32</f>
        <v>9.6691368887338161E-2</v>
      </c>
      <c r="H30" s="320">
        <f t="shared" si="4"/>
        <v>-0.22316341143849591</v>
      </c>
      <c r="I30" s="326">
        <f t="shared" ref="I30:J30" si="7">I12+I18+I24</f>
        <v>3281.8999999999996</v>
      </c>
      <c r="J30" s="130">
        <f t="shared" si="7"/>
        <v>35002.5</v>
      </c>
      <c r="K30" s="320">
        <f>I30/$I$32</f>
        <v>2.271786487096385E-2</v>
      </c>
    </row>
    <row r="31" spans="1:20" ht="11.1" customHeight="1">
      <c r="A31" s="428"/>
      <c r="B31" s="428"/>
      <c r="C31" s="155" t="s">
        <v>93</v>
      </c>
      <c r="D31" s="326">
        <f>D25</f>
        <v>7</v>
      </c>
      <c r="E31" s="130">
        <f>E13+E19+E25</f>
        <v>442.15199999999999</v>
      </c>
      <c r="F31" s="130">
        <f t="shared" si="3"/>
        <v>4811.9678700000004</v>
      </c>
      <c r="G31" s="320">
        <f>E31/$E$32</f>
        <v>1.6768888855177227E-2</v>
      </c>
      <c r="H31" s="320">
        <f t="shared" si="4"/>
        <v>-0.19726801849642978</v>
      </c>
      <c r="I31" s="326">
        <f>I13+I19+I25</f>
        <v>550.80899999999997</v>
      </c>
      <c r="J31" s="130">
        <f t="shared" ref="J31" si="8">J13+J19+J25</f>
        <v>5875.5598900000005</v>
      </c>
      <c r="K31" s="320">
        <f>I31/$I$32</f>
        <v>3.8127927212013553E-3</v>
      </c>
    </row>
    <row r="32" spans="1:20" ht="11.1" customHeight="1">
      <c r="A32" s="433"/>
      <c r="B32" s="433"/>
      <c r="C32" s="331" t="s">
        <v>0</v>
      </c>
      <c r="D32" s="334">
        <f>SUM(D27:D31)</f>
        <v>83299</v>
      </c>
      <c r="E32" s="332">
        <f>SUM(E27:E31)</f>
        <v>26367.399999999998</v>
      </c>
      <c r="F32" s="332">
        <f>SUM(F27:F31)</f>
        <v>287098.43993000005</v>
      </c>
      <c r="G32" s="333">
        <f>SUM(G27:G31)</f>
        <v>1</v>
      </c>
      <c r="H32" s="333">
        <f>(E32-I32)/I32</f>
        <v>-0.81748041372416824</v>
      </c>
      <c r="I32" s="334">
        <f>SUM(I27:I31)</f>
        <v>144463.40000000002</v>
      </c>
      <c r="J32" s="332">
        <f>SUM(J27:J31)</f>
        <v>1541006.95266</v>
      </c>
      <c r="K32" s="333">
        <f>SUM(K27:K31)</f>
        <v>0.99999999999999978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38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78</v>
      </c>
      <c r="E39" s="321">
        <v>6549.8419999999996</v>
      </c>
      <c r="F39" s="321">
        <v>71195.22735999999</v>
      </c>
      <c r="G39" s="322">
        <f>E39/$E$44</f>
        <v>0.65302512462612161</v>
      </c>
      <c r="H39" s="322">
        <f>(E39-I39)/I39</f>
        <v>2.9544069164395611E-2</v>
      </c>
      <c r="I39" s="325">
        <v>6361.8859999999995</v>
      </c>
      <c r="J39" s="321">
        <v>67941.355200000005</v>
      </c>
      <c r="K39" s="322">
        <f>I39/$I$44</f>
        <v>0.61467497584541053</v>
      </c>
    </row>
    <row r="40" spans="1:11" ht="11.1" customHeight="1">
      <c r="A40" s="428"/>
      <c r="B40" s="428"/>
      <c r="C40" s="155" t="s">
        <v>5</v>
      </c>
      <c r="D40" s="326">
        <v>244</v>
      </c>
      <c r="E40" s="130">
        <v>1125.704</v>
      </c>
      <c r="F40" s="130">
        <v>12236.026040000002</v>
      </c>
      <c r="G40" s="320">
        <f t="shared" ref="G40" si="9">E40/$E$44</f>
        <v>0.11223369890329013</v>
      </c>
      <c r="H40" s="320">
        <f>(E40-I40)/I40</f>
        <v>-0.1279919252199766</v>
      </c>
      <c r="I40" s="326">
        <v>1290.933</v>
      </c>
      <c r="J40" s="130">
        <v>13786.678059999997</v>
      </c>
      <c r="K40" s="320">
        <f t="shared" ref="K40:K43" si="10">I40/$I$44</f>
        <v>0.12472782608695653</v>
      </c>
    </row>
    <row r="41" spans="1:11" ht="11.1" customHeight="1">
      <c r="A41" s="428"/>
      <c r="B41" s="428"/>
      <c r="C41" s="155" t="s">
        <v>6</v>
      </c>
      <c r="D41" s="326">
        <v>9955</v>
      </c>
      <c r="E41" s="130">
        <v>929.28200000000004</v>
      </c>
      <c r="F41" s="130">
        <v>10101.120869999999</v>
      </c>
      <c r="G41" s="320">
        <f>E41/$E$44</f>
        <v>9.2650249252243272E-2</v>
      </c>
      <c r="H41" s="320">
        <f t="shared" ref="H41:H43" si="11">(E41-I41)/I41</f>
        <v>0.15696307805699156</v>
      </c>
      <c r="I41" s="326">
        <v>803.20799999999997</v>
      </c>
      <c r="J41" s="130">
        <v>8577.7585899999995</v>
      </c>
      <c r="K41" s="320">
        <f t="shared" si="10"/>
        <v>7.7604637681159411E-2</v>
      </c>
    </row>
    <row r="42" spans="1:11" ht="11.1" customHeight="1">
      <c r="A42" s="428"/>
      <c r="B42" s="428"/>
      <c r="C42" s="155" t="s">
        <v>7</v>
      </c>
      <c r="D42" s="326">
        <v>106861</v>
      </c>
      <c r="E42" s="130">
        <v>1296.4000000000001</v>
      </c>
      <c r="F42" s="130">
        <v>14091.7</v>
      </c>
      <c r="G42" s="320">
        <f>E42/$E$44</f>
        <v>0.12925224327018944</v>
      </c>
      <c r="H42" s="320">
        <f t="shared" si="11"/>
        <v>-0.24412570695586253</v>
      </c>
      <c r="I42" s="326">
        <v>1715.1</v>
      </c>
      <c r="J42" s="130">
        <v>18316.7</v>
      </c>
      <c r="K42" s="320">
        <f t="shared" si="10"/>
        <v>0.16571014492753622</v>
      </c>
    </row>
    <row r="43" spans="1:11" ht="11.1" customHeight="1">
      <c r="A43" s="428"/>
      <c r="B43" s="428"/>
      <c r="C43" s="155" t="s">
        <v>93</v>
      </c>
      <c r="D43" s="326">
        <v>17</v>
      </c>
      <c r="E43" s="130">
        <v>128.77199999999999</v>
      </c>
      <c r="F43" s="130">
        <v>1399.7266599999998</v>
      </c>
      <c r="G43" s="320">
        <f>E43/$E$44</f>
        <v>1.2838683948155533E-2</v>
      </c>
      <c r="H43" s="320">
        <f t="shared" si="11"/>
        <v>-0.2800925796514846</v>
      </c>
      <c r="I43" s="326">
        <v>178.87299999999999</v>
      </c>
      <c r="J43" s="130">
        <v>1910.2739200000003</v>
      </c>
      <c r="K43" s="320">
        <f t="shared" si="10"/>
        <v>1.7282415458937196E-2</v>
      </c>
    </row>
    <row r="44" spans="1:11" ht="11.1" customHeight="1">
      <c r="A44" s="433"/>
      <c r="B44" s="433"/>
      <c r="C44" s="331" t="s">
        <v>0</v>
      </c>
      <c r="D44" s="334">
        <v>117155</v>
      </c>
      <c r="E44" s="332">
        <v>10030</v>
      </c>
      <c r="F44" s="332">
        <v>109023.80092999998</v>
      </c>
      <c r="G44" s="333">
        <f>SUM(G39:G43)</f>
        <v>1</v>
      </c>
      <c r="H44" s="333">
        <f>(E44-I44)/I44</f>
        <v>-3.0917874396135265E-2</v>
      </c>
      <c r="I44" s="334">
        <v>10350</v>
      </c>
      <c r="J44" s="332">
        <v>110532.76577</v>
      </c>
      <c r="K44" s="333">
        <f>SUM(K39:K43)</f>
        <v>0.99999999999999989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78</v>
      </c>
      <c r="E45" s="321">
        <v>6723.5950000000003</v>
      </c>
      <c r="F45" s="321">
        <v>72954.435500000007</v>
      </c>
      <c r="G45" s="322">
        <f>E45/$E$50</f>
        <v>0.6531249696439847</v>
      </c>
      <c r="H45" s="322">
        <f>(E45-I45)/I45</f>
        <v>-4.0456527022608706E-2</v>
      </c>
      <c r="I45" s="325">
        <v>7007.0770000000002</v>
      </c>
      <c r="J45" s="321">
        <v>74691.348330000037</v>
      </c>
      <c r="K45" s="322">
        <f>I45/$I$50</f>
        <v>0.58897353136478636</v>
      </c>
    </row>
    <row r="46" spans="1:11" ht="11.1" customHeight="1">
      <c r="A46" s="428"/>
      <c r="B46" s="428"/>
      <c r="C46" s="155" t="s">
        <v>5</v>
      </c>
      <c r="D46" s="326">
        <v>248</v>
      </c>
      <c r="E46" s="130">
        <v>1293.9770000000001</v>
      </c>
      <c r="F46" s="130">
        <v>14039.892949999994</v>
      </c>
      <c r="G46" s="320">
        <f t="shared" ref="G46:G49" si="12">E46/$E$50</f>
        <v>0.12569595415027443</v>
      </c>
      <c r="H46" s="320">
        <f>(E46-I46)/I46</f>
        <v>-0.18161251762979641</v>
      </c>
      <c r="I46" s="326">
        <v>1581.13</v>
      </c>
      <c r="J46" s="130">
        <v>16854.326519999995</v>
      </c>
      <c r="K46" s="320">
        <f t="shared" ref="K46:K49" si="13">I46/$I$50</f>
        <v>0.13290045473266596</v>
      </c>
    </row>
    <row r="47" spans="1:11" ht="11.1" customHeight="1">
      <c r="A47" s="428"/>
      <c r="B47" s="428"/>
      <c r="C47" s="155" t="s">
        <v>6</v>
      </c>
      <c r="D47" s="326">
        <v>9943</v>
      </c>
      <c r="E47" s="130">
        <v>911.59900000000005</v>
      </c>
      <c r="F47" s="130">
        <v>9891.6435600000004</v>
      </c>
      <c r="G47" s="320">
        <f t="shared" si="12"/>
        <v>8.855204235271262E-2</v>
      </c>
      <c r="H47" s="320">
        <f t="shared" ref="H47:H49" si="14">(E47-I47)/I47</f>
        <v>-8.0534976725889884E-2</v>
      </c>
      <c r="I47" s="326">
        <v>991.44499999999994</v>
      </c>
      <c r="J47" s="130">
        <v>10568.805489999999</v>
      </c>
      <c r="K47" s="320">
        <f t="shared" si="13"/>
        <v>8.3335014415277658E-2</v>
      </c>
    </row>
    <row r="48" spans="1:11" ht="11.1" customHeight="1">
      <c r="A48" s="428"/>
      <c r="B48" s="428"/>
      <c r="C48" s="155" t="s">
        <v>7</v>
      </c>
      <c r="D48" s="326">
        <v>106705</v>
      </c>
      <c r="E48" s="130">
        <v>1251.0999999999999</v>
      </c>
      <c r="F48" s="130">
        <v>13574.9</v>
      </c>
      <c r="G48" s="320">
        <f t="shared" si="12"/>
        <v>0.12153091456603039</v>
      </c>
      <c r="H48" s="320">
        <f t="shared" si="14"/>
        <v>-0.41591970121381888</v>
      </c>
      <c r="I48" s="326">
        <v>2142</v>
      </c>
      <c r="J48" s="130">
        <v>22832.400000000001</v>
      </c>
      <c r="K48" s="320">
        <f t="shared" si="13"/>
        <v>0.18004387623874726</v>
      </c>
    </row>
    <row r="49" spans="1:11" ht="11.1" customHeight="1">
      <c r="A49" s="428"/>
      <c r="B49" s="428"/>
      <c r="C49" s="155" t="s">
        <v>93</v>
      </c>
      <c r="D49" s="326">
        <v>17</v>
      </c>
      <c r="E49" s="130">
        <v>114.229</v>
      </c>
      <c r="F49" s="130">
        <v>1239.4572599999999</v>
      </c>
      <c r="G49" s="320">
        <f t="shared" si="12"/>
        <v>1.1096119286997911E-2</v>
      </c>
      <c r="H49" s="320">
        <f t="shared" si="14"/>
        <v>-0.34892959737358081</v>
      </c>
      <c r="I49" s="326">
        <v>175.44800000000001</v>
      </c>
      <c r="J49" s="130">
        <v>1870.17966</v>
      </c>
      <c r="K49" s="320">
        <f t="shared" si="13"/>
        <v>1.474712324852275E-2</v>
      </c>
    </row>
    <row r="50" spans="1:11" ht="11.1" customHeight="1">
      <c r="A50" s="433"/>
      <c r="B50" s="433"/>
      <c r="C50" s="331" t="s">
        <v>0</v>
      </c>
      <c r="D50" s="334">
        <v>116991</v>
      </c>
      <c r="E50" s="332">
        <v>10294.5</v>
      </c>
      <c r="F50" s="332">
        <v>111700.32926999999</v>
      </c>
      <c r="G50" s="333">
        <f>SUM(G45:G49)</f>
        <v>1</v>
      </c>
      <c r="H50" s="333">
        <f t="shared" ref="H50" si="15">(E50-I50)/I50</f>
        <v>-0.1347050961999143</v>
      </c>
      <c r="I50" s="334">
        <v>11897.1</v>
      </c>
      <c r="J50" s="332">
        <v>126817.06000000003</v>
      </c>
      <c r="K50" s="333">
        <f>SUM(K45:K49)</f>
        <v>1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78</v>
      </c>
      <c r="E51" s="321">
        <v>8307.875</v>
      </c>
      <c r="F51" s="321">
        <v>90858.853589999999</v>
      </c>
      <c r="G51" s="322">
        <f>E51/$E$56</f>
        <v>0.56692017414564921</v>
      </c>
      <c r="H51" s="322">
        <f>(E51-I51)/I51</f>
        <v>-1.765155831918469E-2</v>
      </c>
      <c r="I51" s="325">
        <v>8457.1570000000011</v>
      </c>
      <c r="J51" s="321">
        <v>90166.548859999981</v>
      </c>
      <c r="K51" s="322">
        <f>I51/$I$56</f>
        <v>0.56559397299484371</v>
      </c>
    </row>
    <row r="52" spans="1:11" ht="11.1" customHeight="1">
      <c r="A52" s="428"/>
      <c r="B52" s="428"/>
      <c r="C52" s="155" t="s">
        <v>5</v>
      </c>
      <c r="D52" s="326">
        <v>247</v>
      </c>
      <c r="E52" s="130">
        <v>1576.711</v>
      </c>
      <c r="F52" s="130">
        <v>17243.38289999999</v>
      </c>
      <c r="G52" s="320">
        <f t="shared" ref="G52:G55" si="16">E52/$E$56</f>
        <v>0.10759300960803583</v>
      </c>
      <c r="H52" s="320">
        <f t="shared" ref="H52:H55" si="17">(E52-I52)/I52</f>
        <v>-0.14486022111882765</v>
      </c>
      <c r="I52" s="326">
        <v>1843.8050000000001</v>
      </c>
      <c r="J52" s="130">
        <v>19657.898599999982</v>
      </c>
      <c r="K52" s="320">
        <f t="shared" ref="K52:K55" si="18">I52/$I$56</f>
        <v>0.1233091682438623</v>
      </c>
    </row>
    <row r="53" spans="1:11" ht="11.1" customHeight="1">
      <c r="A53" s="428"/>
      <c r="B53" s="428"/>
      <c r="C53" s="155" t="s">
        <v>6</v>
      </c>
      <c r="D53" s="326">
        <v>9916</v>
      </c>
      <c r="E53" s="130">
        <v>1881.865</v>
      </c>
      <c r="F53" s="130">
        <v>20581.25591</v>
      </c>
      <c r="G53" s="320">
        <f t="shared" si="16"/>
        <v>0.1284163800633257</v>
      </c>
      <c r="H53" s="320">
        <f t="shared" si="17"/>
        <v>0.28274051746819839</v>
      </c>
      <c r="I53" s="326">
        <v>1467.066</v>
      </c>
      <c r="J53" s="130">
        <v>15641.553470000001</v>
      </c>
      <c r="K53" s="320">
        <f t="shared" si="18"/>
        <v>9.8113785470182624E-2</v>
      </c>
    </row>
    <row r="54" spans="1:11" ht="11.1" customHeight="1">
      <c r="A54" s="428"/>
      <c r="B54" s="428"/>
      <c r="C54" s="155" t="s">
        <v>7</v>
      </c>
      <c r="D54" s="326">
        <v>106571</v>
      </c>
      <c r="E54" s="130">
        <v>2786.7</v>
      </c>
      <c r="F54" s="130">
        <v>30476.799999999999</v>
      </c>
      <c r="G54" s="320">
        <f t="shared" si="16"/>
        <v>0.19016131673763512</v>
      </c>
      <c r="H54" s="320">
        <f t="shared" si="17"/>
        <v>-7.4001462085465625E-2</v>
      </c>
      <c r="I54" s="326">
        <v>3009.4</v>
      </c>
      <c r="J54" s="130">
        <v>32084.7</v>
      </c>
      <c r="K54" s="320">
        <f t="shared" si="18"/>
        <v>0.20126131066630104</v>
      </c>
    </row>
    <row r="55" spans="1:11" ht="11.1" customHeight="1">
      <c r="A55" s="428"/>
      <c r="B55" s="428"/>
      <c r="C55" s="155" t="s">
        <v>93</v>
      </c>
      <c r="D55" s="326">
        <v>17</v>
      </c>
      <c r="E55" s="130">
        <v>101.249</v>
      </c>
      <c r="F55" s="130">
        <v>1107.3149599999999</v>
      </c>
      <c r="G55" s="320">
        <f t="shared" si="16"/>
        <v>6.9091194453542969E-3</v>
      </c>
      <c r="H55" s="320">
        <f t="shared" si="17"/>
        <v>-0.42233214660641744</v>
      </c>
      <c r="I55" s="326">
        <v>175.27199999999999</v>
      </c>
      <c r="J55" s="130">
        <v>1868.6756700000001</v>
      </c>
      <c r="K55" s="320">
        <f t="shared" si="18"/>
        <v>1.1721762624810233E-2</v>
      </c>
    </row>
    <row r="56" spans="1:11" ht="11.1" customHeight="1">
      <c r="A56" s="433"/>
      <c r="B56" s="433"/>
      <c r="C56" s="331" t="s">
        <v>0</v>
      </c>
      <c r="D56" s="334">
        <v>116829</v>
      </c>
      <c r="E56" s="332">
        <v>14654.399999999998</v>
      </c>
      <c r="F56" s="332">
        <v>160267.60735999997</v>
      </c>
      <c r="G56" s="333">
        <f>SUM(G51:G55)</f>
        <v>1.0000000000000002</v>
      </c>
      <c r="H56" s="333">
        <f t="shared" ref="H56" si="19">(E56-I56)/I56</f>
        <v>-1.9949574324369824E-2</v>
      </c>
      <c r="I56" s="334">
        <v>14952.700000000003</v>
      </c>
      <c r="J56" s="332">
        <v>159419.37659999996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78</v>
      </c>
      <c r="E57" s="321">
        <f>E39+E45+E51</f>
        <v>21581.311999999998</v>
      </c>
      <c r="F57" s="321">
        <f>F39+F45+F51</f>
        <v>235008.51645</v>
      </c>
      <c r="G57" s="322">
        <f>E57/$E$62</f>
        <v>0.61698086560755205</v>
      </c>
      <c r="H57" s="322">
        <f>(E57-I57)/I57</f>
        <v>-1.1216285808013725E-2</v>
      </c>
      <c r="I57" s="325">
        <f>I39+I45+I51</f>
        <v>21826.120000000003</v>
      </c>
      <c r="J57" s="321">
        <f>J39+J45+J51</f>
        <v>232799.25239000004</v>
      </c>
      <c r="K57" s="322">
        <f>I57/$I$62</f>
        <v>0.58672681035919538</v>
      </c>
    </row>
    <row r="58" spans="1:11" ht="11.1" customHeight="1">
      <c r="A58" s="428"/>
      <c r="B58" s="428"/>
      <c r="C58" s="155" t="s">
        <v>5</v>
      </c>
      <c r="D58" s="326">
        <f>D52</f>
        <v>247</v>
      </c>
      <c r="E58" s="130">
        <f t="shared" ref="E58:F59" si="20">E40+E46+E52</f>
        <v>3996.3919999999998</v>
      </c>
      <c r="F58" s="130">
        <f t="shared" si="20"/>
        <v>43519.301889999988</v>
      </c>
      <c r="G58" s="320">
        <f t="shared" ref="G58:G61" si="21">E58/$E$62</f>
        <v>0.11425150590784731</v>
      </c>
      <c r="H58" s="320">
        <f t="shared" ref="H58:H61" si="22">(E58-I58)/I58</f>
        <v>-0.15256491487887289</v>
      </c>
      <c r="I58" s="326">
        <f t="shared" ref="I58:J58" si="23">I40+I46+I52</f>
        <v>4715.8680000000004</v>
      </c>
      <c r="J58" s="130">
        <f t="shared" si="23"/>
        <v>50298.903179999979</v>
      </c>
      <c r="K58" s="320">
        <f t="shared" ref="K58:K61" si="24">I58/$I$62</f>
        <v>0.12677132672756303</v>
      </c>
    </row>
    <row r="59" spans="1:11" ht="11.1" customHeight="1">
      <c r="A59" s="428"/>
      <c r="B59" s="428"/>
      <c r="C59" s="155" t="s">
        <v>6</v>
      </c>
      <c r="D59" s="326">
        <f>D53</f>
        <v>9916</v>
      </c>
      <c r="E59" s="130">
        <f>E41+E47+E53</f>
        <v>3722.7460000000001</v>
      </c>
      <c r="F59" s="130">
        <f t="shared" si="20"/>
        <v>40574.020340000003</v>
      </c>
      <c r="G59" s="320">
        <f t="shared" si="21"/>
        <v>0.10642833250902689</v>
      </c>
      <c r="H59" s="320">
        <f t="shared" si="22"/>
        <v>0.14134479395680621</v>
      </c>
      <c r="I59" s="326">
        <f>I41+I47+I53</f>
        <v>3261.7190000000001</v>
      </c>
      <c r="J59" s="130">
        <f t="shared" ref="J59" si="25">J41+J47+J53</f>
        <v>34788.117549999995</v>
      </c>
      <c r="K59" s="320">
        <f t="shared" si="24"/>
        <v>8.7681089683277841E-2</v>
      </c>
    </row>
    <row r="60" spans="1:11" ht="11.1" customHeight="1">
      <c r="A60" s="428"/>
      <c r="B60" s="428"/>
      <c r="C60" s="155" t="s">
        <v>7</v>
      </c>
      <c r="D60" s="326">
        <f>D54</f>
        <v>106571</v>
      </c>
      <c r="E60" s="130">
        <f t="shared" ref="E60:F61" si="26">E42+E48+E54</f>
        <v>5334.2</v>
      </c>
      <c r="F60" s="130">
        <f t="shared" si="26"/>
        <v>58143.399999999994</v>
      </c>
      <c r="G60" s="320">
        <f t="shared" si="21"/>
        <v>0.15249764858243114</v>
      </c>
      <c r="H60" s="320">
        <f t="shared" si="22"/>
        <v>-0.22315590184227777</v>
      </c>
      <c r="I60" s="326">
        <f t="shared" ref="I60:J60" si="27">I42+I48+I54</f>
        <v>6866.5</v>
      </c>
      <c r="J60" s="130">
        <f t="shared" si="27"/>
        <v>73233.8</v>
      </c>
      <c r="K60" s="320">
        <f t="shared" si="24"/>
        <v>0.18458432572218125</v>
      </c>
    </row>
    <row r="61" spans="1:11" ht="11.1" customHeight="1">
      <c r="A61" s="428"/>
      <c r="B61" s="428"/>
      <c r="C61" s="155" t="s">
        <v>93</v>
      </c>
      <c r="D61" s="326">
        <f>D55</f>
        <v>17</v>
      </c>
      <c r="E61" s="130">
        <f>E43+E49+E55</f>
        <v>344.25</v>
      </c>
      <c r="F61" s="130">
        <f t="shared" si="26"/>
        <v>3746.4988799999992</v>
      </c>
      <c r="G61" s="320">
        <f t="shared" si="21"/>
        <v>9.8416473931427252E-3</v>
      </c>
      <c r="H61" s="320">
        <f t="shared" si="22"/>
        <v>-0.34997252607190815</v>
      </c>
      <c r="I61" s="326">
        <f>I43+I49+I55</f>
        <v>529.59300000000007</v>
      </c>
      <c r="J61" s="130">
        <f t="shared" ref="J61" si="28">J43+J49+J55</f>
        <v>5649.12925</v>
      </c>
      <c r="K61" s="320">
        <f t="shared" si="24"/>
        <v>1.4236447507782298E-2</v>
      </c>
    </row>
    <row r="62" spans="1:11" ht="11.1" customHeight="1">
      <c r="A62" s="433"/>
      <c r="B62" s="433"/>
      <c r="C62" s="331" t="s">
        <v>0</v>
      </c>
      <c r="D62" s="334">
        <f>SUM(D57:D61)</f>
        <v>116829</v>
      </c>
      <c r="E62" s="332">
        <f>SUM(E57:E61)</f>
        <v>34978.899999999994</v>
      </c>
      <c r="F62" s="332">
        <f>SUM(F57:F61)</f>
        <v>380991.73755999992</v>
      </c>
      <c r="G62" s="333">
        <f>SUM(G57:G61)</f>
        <v>1</v>
      </c>
      <c r="H62" s="333">
        <f>(E62-I62)/I62</f>
        <v>-5.9701933881365368E-2</v>
      </c>
      <c r="I62" s="334">
        <f>SUM(I57:I61)</f>
        <v>37199.80000000001</v>
      </c>
      <c r="J62" s="332">
        <f>SUM(J57:J61)</f>
        <v>396769.20237000001</v>
      </c>
      <c r="K62" s="333">
        <f>SUM(K57:K61)</f>
        <v>0.99999999999999978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308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39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94</v>
      </c>
      <c r="E9" s="321">
        <v>5985.8979999999992</v>
      </c>
      <c r="F9" s="321">
        <v>65066.087879999985</v>
      </c>
      <c r="G9" s="322">
        <f>E9/$E$14</f>
        <v>0.64918747153113687</v>
      </c>
      <c r="H9" s="322">
        <f>(E9-I9)/I9</f>
        <v>-0.12855160216902062</v>
      </c>
      <c r="I9" s="325">
        <v>6868.9070000000002</v>
      </c>
      <c r="J9" s="321">
        <v>73356.24893999999</v>
      </c>
      <c r="K9" s="322">
        <f>I9/$I$14</f>
        <v>0.65932434896958181</v>
      </c>
    </row>
    <row r="10" spans="1:16" ht="11.1" customHeight="1">
      <c r="A10" s="428"/>
      <c r="B10" s="428"/>
      <c r="C10" s="155" t="s">
        <v>5</v>
      </c>
      <c r="D10" s="326">
        <v>291</v>
      </c>
      <c r="E10" s="130">
        <v>989.13799999999992</v>
      </c>
      <c r="F10" s="130">
        <v>10751.436039999997</v>
      </c>
      <c r="G10" s="320">
        <f>E10/$E$14</f>
        <v>0.10727479773550529</v>
      </c>
      <c r="H10" s="320">
        <f>(E10-I10)/I10</f>
        <v>-2.1907597501416479E-2</v>
      </c>
      <c r="I10" s="326">
        <v>1011.2929999999999</v>
      </c>
      <c r="J10" s="130">
        <v>10799.678099999997</v>
      </c>
      <c r="K10" s="320">
        <f>I10/$I$14</f>
        <v>9.7070771061901873E-2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8875</v>
      </c>
      <c r="E11" s="130">
        <v>1011.335</v>
      </c>
      <c r="F11" s="130">
        <v>10992.510559999999</v>
      </c>
      <c r="G11" s="320">
        <f>E11/$E$14</f>
        <v>0.10968212480749628</v>
      </c>
      <c r="H11" s="320">
        <f t="shared" ref="H11:H13" si="0">(E11-I11)/I11</f>
        <v>0.14280823001369561</v>
      </c>
      <c r="I11" s="326">
        <v>884.95600000000002</v>
      </c>
      <c r="J11" s="130">
        <v>9450.6631500000003</v>
      </c>
      <c r="K11" s="320">
        <f>I11/$I$14</f>
        <v>8.4944087693533371E-2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83258</v>
      </c>
      <c r="E12" s="130">
        <v>1013.4</v>
      </c>
      <c r="F12" s="130">
        <v>11015.3</v>
      </c>
      <c r="G12" s="320">
        <f>E12/$E$14</f>
        <v>0.10990607986465091</v>
      </c>
      <c r="H12" s="320">
        <f t="shared" si="0"/>
        <v>-0.24412620272991725</v>
      </c>
      <c r="I12" s="326">
        <v>1340.7</v>
      </c>
      <c r="J12" s="130">
        <v>14318</v>
      </c>
      <c r="K12" s="320">
        <f>I12/$I$14</f>
        <v>0.12868949232585597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9</v>
      </c>
      <c r="E13" s="130">
        <v>220.82900000000001</v>
      </c>
      <c r="F13" s="130">
        <v>2400.3716800000002</v>
      </c>
      <c r="G13" s="320">
        <f>E13/$E$14</f>
        <v>2.3949526061210771E-2</v>
      </c>
      <c r="H13" s="320">
        <f t="shared" si="0"/>
        <v>-0.29276783541076856</v>
      </c>
      <c r="I13" s="326">
        <v>312.24400000000003</v>
      </c>
      <c r="J13" s="130">
        <v>3334.6070100000002</v>
      </c>
      <c r="K13" s="320">
        <f>I13/$I$14</f>
        <v>2.9971299949127003E-2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92527</v>
      </c>
      <c r="E14" s="332">
        <v>9220.5999999999985</v>
      </c>
      <c r="F14" s="332">
        <v>100225.70615999997</v>
      </c>
      <c r="G14" s="333">
        <f>SUM(G9:G13)</f>
        <v>1.0000000000000002</v>
      </c>
      <c r="H14" s="333">
        <f>(E14-I14)/I14</f>
        <v>-0.11494418368032576</v>
      </c>
      <c r="I14" s="334">
        <v>10418.1</v>
      </c>
      <c r="J14" s="332">
        <v>111259.1972</v>
      </c>
      <c r="K14" s="333">
        <f>SUM(K9:K13)</f>
        <v>0.99999999999999989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93</v>
      </c>
      <c r="E15" s="321">
        <v>6331.5959999999995</v>
      </c>
      <c r="F15" s="321">
        <v>68701.513929999986</v>
      </c>
      <c r="G15" s="322">
        <f>E15/$E$20</f>
        <v>0.65922537117631141</v>
      </c>
      <c r="H15" s="322">
        <f>(E15-I15)/I15</f>
        <v>-0.11791161863375973</v>
      </c>
      <c r="I15" s="325">
        <v>7177.9610000000002</v>
      </c>
      <c r="J15" s="321">
        <v>76513.26807999998</v>
      </c>
      <c r="K15" s="322">
        <f>I15/$I$20</f>
        <v>0.61643030126069187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289</v>
      </c>
      <c r="E16" s="130">
        <v>1059.528</v>
      </c>
      <c r="F16" s="130">
        <v>11496.748570000003</v>
      </c>
      <c r="G16" s="320">
        <f>E16/$E$20</f>
        <v>0.11031464090123484</v>
      </c>
      <c r="H16" s="320">
        <f>(E16-I16)/I16</f>
        <v>-0.23562092705657273</v>
      </c>
      <c r="I16" s="326">
        <v>1386.1290000000001</v>
      </c>
      <c r="J16" s="130">
        <v>14774.923839999994</v>
      </c>
      <c r="K16" s="320">
        <f>I16/$I$20</f>
        <v>0.11903825014599294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8865</v>
      </c>
      <c r="E17" s="130">
        <v>992.13</v>
      </c>
      <c r="F17" s="130">
        <v>10764.755650000001</v>
      </c>
      <c r="G17" s="320">
        <f>E17/$E$20</f>
        <v>0.10329737833954565</v>
      </c>
      <c r="H17" s="320">
        <f t="shared" ref="H17:H20" si="1">(E17-I17)/I17</f>
        <v>-8.0872611925226878E-2</v>
      </c>
      <c r="I17" s="326">
        <v>1079.4259999999999</v>
      </c>
      <c r="J17" s="130">
        <v>11505.847600000001</v>
      </c>
      <c r="K17" s="320">
        <f>I17/$I$20</f>
        <v>9.2699151523479101E-2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83136</v>
      </c>
      <c r="E18" s="130">
        <v>978</v>
      </c>
      <c r="F18" s="130">
        <v>10611.3</v>
      </c>
      <c r="G18" s="320">
        <f>E18/$E$20</f>
        <v>0.10182620827520149</v>
      </c>
      <c r="H18" s="320">
        <f t="shared" si="1"/>
        <v>-0.41591017677974201</v>
      </c>
      <c r="I18" s="326">
        <v>1674.4</v>
      </c>
      <c r="J18" s="130">
        <v>17847.8</v>
      </c>
      <c r="K18" s="320">
        <f>I18/$I$20</f>
        <v>0.14379444196351895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9</v>
      </c>
      <c r="E19" s="130">
        <v>243.346</v>
      </c>
      <c r="F19" s="130">
        <v>2640.44191</v>
      </c>
      <c r="G19" s="320">
        <f>E19/$E$20</f>
        <v>2.533640130770673E-2</v>
      </c>
      <c r="H19" s="320">
        <f t="shared" si="1"/>
        <v>-0.25464647578441818</v>
      </c>
      <c r="I19" s="326">
        <v>326.48399999999998</v>
      </c>
      <c r="J19" s="130">
        <v>3480.1493899999996</v>
      </c>
      <c r="K19" s="320">
        <f>I19/$I$20</f>
        <v>2.8037855106317199E-2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92392</v>
      </c>
      <c r="E20" s="332">
        <v>9604.5999999999985</v>
      </c>
      <c r="F20" s="332">
        <v>104214.76005999999</v>
      </c>
      <c r="G20" s="333">
        <f>SUM(G15:G19)</f>
        <v>1.0000000000000002</v>
      </c>
      <c r="H20" s="333">
        <f t="shared" si="1"/>
        <v>-0.17517433272646088</v>
      </c>
      <c r="I20" s="334">
        <v>11644.4</v>
      </c>
      <c r="J20" s="332">
        <v>124121.98890999997</v>
      </c>
      <c r="K20" s="333">
        <f>SUM(K15:K19)</f>
        <v>1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93</v>
      </c>
      <c r="E21" s="321">
        <v>7874.2150000000001</v>
      </c>
      <c r="F21" s="321">
        <v>86116.797450000056</v>
      </c>
      <c r="G21" s="322">
        <f>E21/$E$26</f>
        <v>0.56220699847921241</v>
      </c>
      <c r="H21" s="322">
        <f>(E21-I21)/I21</f>
        <v>-2.9518758468677967E-2</v>
      </c>
      <c r="I21" s="325">
        <v>8113.7219999999988</v>
      </c>
      <c r="J21" s="321">
        <v>86504.840700000001</v>
      </c>
      <c r="K21" s="322">
        <f>I21/$I$26</f>
        <v>0.55420084150706261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290</v>
      </c>
      <c r="E22" s="130">
        <v>1686.1950000000002</v>
      </c>
      <c r="F22" s="130">
        <v>18441.335039999994</v>
      </c>
      <c r="G22" s="320">
        <f>E22/$E$26</f>
        <v>0.12039176347110864</v>
      </c>
      <c r="H22" s="320">
        <f t="shared" ref="H22:H26" si="2">(E22-I22)/I22</f>
        <v>-0.25226158062313186</v>
      </c>
      <c r="I22" s="326">
        <v>2255.06</v>
      </c>
      <c r="J22" s="130">
        <v>24042.32386</v>
      </c>
      <c r="K22" s="320">
        <f>I22/$I$26</f>
        <v>0.1540299445370345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8841</v>
      </c>
      <c r="E23" s="130">
        <v>2051.9259999999999</v>
      </c>
      <c r="F23" s="130">
        <v>22441.399170000001</v>
      </c>
      <c r="G23" s="320">
        <f>E23/$E$26</f>
        <v>0.14650440171641951</v>
      </c>
      <c r="H23" s="320">
        <f t="shared" si="2"/>
        <v>0.28559300742500604</v>
      </c>
      <c r="I23" s="326">
        <v>1596.0929999999998</v>
      </c>
      <c r="J23" s="130">
        <v>17016.794709999998</v>
      </c>
      <c r="K23" s="320">
        <f>I23/$I$26</f>
        <v>0.10901976721947487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83032</v>
      </c>
      <c r="E24" s="130">
        <v>2178.3000000000002</v>
      </c>
      <c r="F24" s="130">
        <v>23823.4</v>
      </c>
      <c r="G24" s="320">
        <f>E24/$E$26</f>
        <v>0.15552731348931526</v>
      </c>
      <c r="H24" s="320">
        <f t="shared" si="2"/>
        <v>-7.4009522190103677E-2</v>
      </c>
      <c r="I24" s="326">
        <v>2352.4</v>
      </c>
      <c r="J24" s="130">
        <v>25080.2</v>
      </c>
      <c r="K24" s="320">
        <f>I24/$I$26</f>
        <v>0.1606786699816945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9</v>
      </c>
      <c r="E25" s="130">
        <v>215.26400000000001</v>
      </c>
      <c r="F25" s="130">
        <v>2354.2397299999998</v>
      </c>
      <c r="G25" s="320">
        <f>E25/$E$26</f>
        <v>1.5369522843944342E-2</v>
      </c>
      <c r="H25" s="320">
        <f t="shared" si="2"/>
        <v>-0.33380580270793031</v>
      </c>
      <c r="I25" s="326">
        <v>323.125</v>
      </c>
      <c r="J25" s="130">
        <v>3445.0307000000003</v>
      </c>
      <c r="K25" s="320">
        <f>I25/$I$26</f>
        <v>2.2070776754733477E-2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92265</v>
      </c>
      <c r="E26" s="332">
        <v>14005.899999999998</v>
      </c>
      <c r="F26" s="332">
        <v>153177.17139000006</v>
      </c>
      <c r="G26" s="333">
        <f>SUM(G21:G25)</f>
        <v>1.0000000000000002</v>
      </c>
      <c r="H26" s="333">
        <f t="shared" si="2"/>
        <v>-4.333897980929495E-2</v>
      </c>
      <c r="I26" s="334">
        <v>14640.4</v>
      </c>
      <c r="J26" s="332">
        <v>156089.18997000001</v>
      </c>
      <c r="K26" s="333">
        <f>SUM(K21:K25)</f>
        <v>0.99999999999999978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93</v>
      </c>
      <c r="E27" s="321">
        <f>E9+E15+E21</f>
        <v>20191.708999999999</v>
      </c>
      <c r="F27" s="321">
        <f>F9+F15+F21</f>
        <v>219884.39926000003</v>
      </c>
      <c r="G27" s="322">
        <f>E27/$E$32</f>
        <v>0.61501774232358952</v>
      </c>
      <c r="H27" s="322">
        <f>(E27-I27)/I27</f>
        <v>-8.8846055091493556E-2</v>
      </c>
      <c r="I27" s="325">
        <f>I9+I15+I21</f>
        <v>22160.59</v>
      </c>
      <c r="J27" s="321">
        <f>J9+J15+J21</f>
        <v>236374.35771999997</v>
      </c>
      <c r="K27" s="322">
        <f>I27/$I$32</f>
        <v>0.60378307981113211</v>
      </c>
    </row>
    <row r="28" spans="1:20" ht="11.1" customHeight="1">
      <c r="A28" s="428"/>
      <c r="B28" s="428"/>
      <c r="C28" s="155" t="s">
        <v>5</v>
      </c>
      <c r="D28" s="326">
        <f>D22</f>
        <v>290</v>
      </c>
      <c r="E28" s="130">
        <f t="shared" ref="E28:F31" si="3">E10+E16+E22</f>
        <v>3734.8610000000003</v>
      </c>
      <c r="F28" s="130">
        <f t="shared" si="3"/>
        <v>40689.519649999995</v>
      </c>
      <c r="G28" s="320">
        <f>E28/$E$32</f>
        <v>0.1137598496547481</v>
      </c>
      <c r="H28" s="320">
        <f t="shared" ref="H28:H31" si="4">(E28-I28)/I28</f>
        <v>-0.19723257392505755</v>
      </c>
      <c r="I28" s="326">
        <f t="shared" ref="I28:J28" si="5">I10+I16+I22</f>
        <v>4652.482</v>
      </c>
      <c r="J28" s="130">
        <f t="shared" si="5"/>
        <v>49616.925799999997</v>
      </c>
      <c r="K28" s="320">
        <f>I28/$I$32</f>
        <v>0.1267606101970144</v>
      </c>
    </row>
    <row r="29" spans="1:20" ht="11.1" customHeight="1">
      <c r="A29" s="428"/>
      <c r="B29" s="428"/>
      <c r="C29" s="155" t="s">
        <v>6</v>
      </c>
      <c r="D29" s="326">
        <f>D23</f>
        <v>8841</v>
      </c>
      <c r="E29" s="130">
        <f t="shared" si="3"/>
        <v>4055.3910000000001</v>
      </c>
      <c r="F29" s="130">
        <f t="shared" si="3"/>
        <v>44198.665380000006</v>
      </c>
      <c r="G29" s="320">
        <f>E29/$E$32</f>
        <v>0.1235228487623016</v>
      </c>
      <c r="H29" s="320">
        <f t="shared" si="4"/>
        <v>0.13900280159248421</v>
      </c>
      <c r="I29" s="326">
        <f t="shared" ref="I29:J29" si="6">I11+I17+I23</f>
        <v>3560.4749999999999</v>
      </c>
      <c r="J29" s="130">
        <f t="shared" si="6"/>
        <v>37973.305460000003</v>
      </c>
      <c r="K29" s="320">
        <f>I29/$I$32</f>
        <v>9.7008002092477702E-2</v>
      </c>
    </row>
    <row r="30" spans="1:20" ht="11.1" customHeight="1">
      <c r="A30" s="428"/>
      <c r="B30" s="428"/>
      <c r="C30" s="155" t="s">
        <v>7</v>
      </c>
      <c r="D30" s="326">
        <f>D24</f>
        <v>83032</v>
      </c>
      <c r="E30" s="130">
        <f t="shared" si="3"/>
        <v>4169.7000000000007</v>
      </c>
      <c r="F30" s="130">
        <f t="shared" si="3"/>
        <v>45450</v>
      </c>
      <c r="G30" s="320">
        <f>E30/$E$32</f>
        <v>0.12700457797636999</v>
      </c>
      <c r="H30" s="320">
        <f t="shared" si="4"/>
        <v>-0.22315789473684197</v>
      </c>
      <c r="I30" s="326">
        <f t="shared" ref="I30:J30" si="7">I12+I18+I24</f>
        <v>5367.5</v>
      </c>
      <c r="J30" s="130">
        <f t="shared" si="7"/>
        <v>57246</v>
      </c>
      <c r="K30" s="320">
        <f>I30/$I$32</f>
        <v>0.14624185009903848</v>
      </c>
    </row>
    <row r="31" spans="1:20" ht="11.1" customHeight="1">
      <c r="A31" s="428"/>
      <c r="B31" s="428"/>
      <c r="C31" s="155" t="s">
        <v>93</v>
      </c>
      <c r="D31" s="326">
        <f>D25</f>
        <v>9</v>
      </c>
      <c r="E31" s="130">
        <f>E13+E19+E25</f>
        <v>679.43900000000008</v>
      </c>
      <c r="F31" s="130">
        <f t="shared" si="3"/>
        <v>7395.0533199999991</v>
      </c>
      <c r="G31" s="320">
        <f>E31/$E$32</f>
        <v>2.0694981282990826E-2</v>
      </c>
      <c r="H31" s="320">
        <f t="shared" si="4"/>
        <v>-0.29361451282056611</v>
      </c>
      <c r="I31" s="326">
        <f>I13+I19+I25</f>
        <v>961.85300000000007</v>
      </c>
      <c r="J31" s="130">
        <f t="shared" ref="J31" si="8">J13+J19+J25</f>
        <v>10259.787100000001</v>
      </c>
      <c r="K31" s="320">
        <f>I31/$I$32</f>
        <v>2.6206457800337302E-2</v>
      </c>
    </row>
    <row r="32" spans="1:20" ht="11.1" customHeight="1">
      <c r="A32" s="433"/>
      <c r="B32" s="433"/>
      <c r="C32" s="331" t="s">
        <v>0</v>
      </c>
      <c r="D32" s="334">
        <f>SUM(D27:D31)</f>
        <v>92265</v>
      </c>
      <c r="E32" s="332">
        <f>SUM(E27:E31)</f>
        <v>32831.1</v>
      </c>
      <c r="F32" s="332">
        <f>SUM(F27:F31)</f>
        <v>357617.63761000003</v>
      </c>
      <c r="G32" s="333">
        <f>SUM(G27:G31)</f>
        <v>1</v>
      </c>
      <c r="H32" s="333">
        <f>(E32-I32)/I32</f>
        <v>-0.10549030185625667</v>
      </c>
      <c r="I32" s="334">
        <f>SUM(I27:I31)</f>
        <v>36702.9</v>
      </c>
      <c r="J32" s="332">
        <f>SUM(J27:J31)</f>
        <v>391470.37607999996</v>
      </c>
      <c r="K32" s="333">
        <f>SUM(K27:K31)</f>
        <v>1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40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171</v>
      </c>
      <c r="E39" s="321">
        <v>26222.739999999998</v>
      </c>
      <c r="F39" s="321">
        <v>284881.40342999989</v>
      </c>
      <c r="G39" s="322">
        <f>E39/$E$44</f>
        <v>0.76052444833515909</v>
      </c>
      <c r="H39" s="322">
        <f>(E39-I39)/I39</f>
        <v>-0.14185219474058144</v>
      </c>
      <c r="I39" s="325">
        <v>30557.37</v>
      </c>
      <c r="J39" s="321">
        <v>326215.64098999999</v>
      </c>
      <c r="K39" s="322">
        <f>I39/$I$44</f>
        <v>0.76562384784802706</v>
      </c>
    </row>
    <row r="40" spans="1:11" ht="11.1" customHeight="1">
      <c r="A40" s="428"/>
      <c r="B40" s="428"/>
      <c r="C40" s="155" t="s">
        <v>5</v>
      </c>
      <c r="D40" s="326">
        <v>452</v>
      </c>
      <c r="E40" s="130">
        <v>1957.2450000000001</v>
      </c>
      <c r="F40" s="130">
        <v>21269.814530000011</v>
      </c>
      <c r="G40" s="320">
        <f t="shared" ref="G40" si="9">E40/$E$44</f>
        <v>5.6764955678992687E-2</v>
      </c>
      <c r="H40" s="320">
        <f>(E40-I40)/I40</f>
        <v>-0.11945680389783894</v>
      </c>
      <c r="I40" s="326">
        <v>2222.7699999999995</v>
      </c>
      <c r="J40" s="130">
        <v>23734.857409999997</v>
      </c>
      <c r="K40" s="320">
        <f t="shared" ref="K40:K43" si="10">I40/$I$44</f>
        <v>5.5692152835180475E-2</v>
      </c>
    </row>
    <row r="41" spans="1:11" ht="11.1" customHeight="1">
      <c r="A41" s="428"/>
      <c r="B41" s="428"/>
      <c r="C41" s="155" t="s">
        <v>6</v>
      </c>
      <c r="D41" s="326">
        <v>18375</v>
      </c>
      <c r="E41" s="130">
        <v>1626.5889999999999</v>
      </c>
      <c r="F41" s="130">
        <v>17680.007000000001</v>
      </c>
      <c r="G41" s="320">
        <f>E41/$E$44</f>
        <v>4.7175112207688372E-2</v>
      </c>
      <c r="H41" s="320">
        <f t="shared" ref="H41:H43" si="11">(E41-I41)/I41</f>
        <v>0.14287189785047841</v>
      </c>
      <c r="I41" s="326">
        <v>1423.2470000000001</v>
      </c>
      <c r="J41" s="130">
        <v>15199.299710000001</v>
      </c>
      <c r="K41" s="320">
        <f t="shared" si="10"/>
        <v>3.5659870092817576E-2</v>
      </c>
    </row>
    <row r="42" spans="1:11" ht="11.1" customHeight="1">
      <c r="A42" s="428"/>
      <c r="B42" s="428"/>
      <c r="C42" s="155" t="s">
        <v>7</v>
      </c>
      <c r="D42" s="326">
        <v>356027</v>
      </c>
      <c r="E42" s="130">
        <v>2819.6209999999996</v>
      </c>
      <c r="F42" s="130">
        <v>30649.191999999999</v>
      </c>
      <c r="G42" s="320">
        <f>E42/$E$44</f>
        <v>8.1775996922489019E-2</v>
      </c>
      <c r="H42" s="320">
        <f t="shared" si="11"/>
        <v>-0.24415049324469237</v>
      </c>
      <c r="I42" s="326">
        <v>3730.4</v>
      </c>
      <c r="J42" s="130">
        <v>39838.800000000003</v>
      </c>
      <c r="K42" s="320">
        <f t="shared" si="10"/>
        <v>9.3466263687361856E-2</v>
      </c>
    </row>
    <row r="43" spans="1:11" ht="11.1" customHeight="1">
      <c r="A43" s="428"/>
      <c r="B43" s="428"/>
      <c r="C43" s="155" t="s">
        <v>93</v>
      </c>
      <c r="D43" s="326">
        <v>32</v>
      </c>
      <c r="E43" s="130">
        <v>1853.617</v>
      </c>
      <c r="F43" s="130">
        <v>20127.671839999995</v>
      </c>
      <c r="G43" s="320">
        <f>E43/$E$44</f>
        <v>5.3759486855670793E-2</v>
      </c>
      <c r="H43" s="320">
        <f t="shared" si="11"/>
        <v>-6.2854788315115775E-2</v>
      </c>
      <c r="I43" s="326">
        <v>1977.94</v>
      </c>
      <c r="J43" s="130">
        <v>21114.709049999998</v>
      </c>
      <c r="K43" s="320">
        <f t="shared" si="10"/>
        <v>4.955786553661283E-2</v>
      </c>
    </row>
    <row r="44" spans="1:11" ht="11.1" customHeight="1">
      <c r="A44" s="433"/>
      <c r="B44" s="433"/>
      <c r="C44" s="331" t="s">
        <v>0</v>
      </c>
      <c r="D44" s="334">
        <v>375057</v>
      </c>
      <c r="E44" s="332">
        <v>34479.811999999998</v>
      </c>
      <c r="F44" s="332">
        <v>374608.08879999991</v>
      </c>
      <c r="G44" s="333">
        <f>SUM(G39:G43)</f>
        <v>0.99999999999999989</v>
      </c>
      <c r="H44" s="333">
        <f>(E44-I44)/I44</f>
        <v>-0.13609821995425073</v>
      </c>
      <c r="I44" s="334">
        <v>39911.727000000006</v>
      </c>
      <c r="J44" s="332">
        <v>426103.30715999997</v>
      </c>
      <c r="K44" s="333">
        <f>SUM(K39:K43)</f>
        <v>0.99999999999999978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171</v>
      </c>
      <c r="E45" s="321">
        <v>22715.377</v>
      </c>
      <c r="F45" s="321">
        <v>246316.32254999998</v>
      </c>
      <c r="G45" s="322">
        <f>E45/$E$50</f>
        <v>0.72169876586952386</v>
      </c>
      <c r="H45" s="322">
        <f>(E45-I45)/I45</f>
        <v>-0.21020686465047858</v>
      </c>
      <c r="I45" s="325">
        <v>28761.172999999999</v>
      </c>
      <c r="J45" s="321">
        <v>306459.55944999994</v>
      </c>
      <c r="K45" s="322">
        <f>I45/$I$50</f>
        <v>0.73110126915630891</v>
      </c>
    </row>
    <row r="46" spans="1:11" ht="11.1" customHeight="1">
      <c r="A46" s="428"/>
      <c r="B46" s="428"/>
      <c r="C46" s="155" t="s">
        <v>5</v>
      </c>
      <c r="D46" s="326">
        <v>456</v>
      </c>
      <c r="E46" s="130">
        <v>2521.2300000000005</v>
      </c>
      <c r="F46" s="130">
        <v>27351.400289999998</v>
      </c>
      <c r="G46" s="320">
        <f t="shared" ref="G46:G49" si="12">E46/$E$50</f>
        <v>8.0102944339124113E-2</v>
      </c>
      <c r="H46" s="320">
        <f>(E46-I46)/I46</f>
        <v>0.16730582520900569</v>
      </c>
      <c r="I46" s="326">
        <v>2159.8710000000001</v>
      </c>
      <c r="J46" s="130">
        <v>23019.785200000013</v>
      </c>
      <c r="K46" s="320">
        <f t="shared" ref="K46:K49" si="13">I46/$I$50</f>
        <v>5.4903338932452653E-2</v>
      </c>
    </row>
    <row r="47" spans="1:11" ht="11.1" customHeight="1">
      <c r="A47" s="428"/>
      <c r="B47" s="428"/>
      <c r="C47" s="155" t="s">
        <v>6</v>
      </c>
      <c r="D47" s="326">
        <v>18353</v>
      </c>
      <c r="E47" s="130">
        <v>1594.8480000000002</v>
      </c>
      <c r="F47" s="130">
        <v>17309.05213</v>
      </c>
      <c r="G47" s="320">
        <f t="shared" si="12"/>
        <v>5.0670514222567319E-2</v>
      </c>
      <c r="H47" s="320">
        <f t="shared" ref="H47:H49" si="14">(E47-I47)/I47</f>
        <v>-8.1039313946312613E-2</v>
      </c>
      <c r="I47" s="326">
        <v>1735.4910000000002</v>
      </c>
      <c r="J47" s="130">
        <v>18501.27275</v>
      </c>
      <c r="K47" s="320">
        <f t="shared" si="13"/>
        <v>4.4115713664020305E-2</v>
      </c>
    </row>
    <row r="48" spans="1:11" ht="11.1" customHeight="1">
      <c r="A48" s="428"/>
      <c r="B48" s="428"/>
      <c r="C48" s="155" t="s">
        <v>7</v>
      </c>
      <c r="D48" s="326">
        <v>355506</v>
      </c>
      <c r="E48" s="130">
        <v>2722.268</v>
      </c>
      <c r="F48" s="130">
        <v>29537.413</v>
      </c>
      <c r="G48" s="320">
        <f t="shared" si="12"/>
        <v>8.6490198070060517E-2</v>
      </c>
      <c r="H48" s="320">
        <f t="shared" si="14"/>
        <v>-0.41613667662625425</v>
      </c>
      <c r="I48" s="326">
        <v>4662.509</v>
      </c>
      <c r="J48" s="130">
        <v>49699.996000000006</v>
      </c>
      <c r="K48" s="320">
        <f t="shared" si="13"/>
        <v>0.11851972266057134</v>
      </c>
    </row>
    <row r="49" spans="1:11" ht="11.1" customHeight="1">
      <c r="A49" s="428"/>
      <c r="B49" s="428"/>
      <c r="C49" s="155" t="s">
        <v>93</v>
      </c>
      <c r="D49" s="326">
        <v>32</v>
      </c>
      <c r="E49" s="130">
        <v>1921.15</v>
      </c>
      <c r="F49" s="130">
        <v>20821.184410000002</v>
      </c>
      <c r="G49" s="320">
        <f t="shared" si="12"/>
        <v>6.1037577498724141E-2</v>
      </c>
      <c r="H49" s="320">
        <f t="shared" si="14"/>
        <v>-4.9159702961084427E-2</v>
      </c>
      <c r="I49" s="326">
        <v>2020.4760000000001</v>
      </c>
      <c r="J49" s="130">
        <v>21523.532950000004</v>
      </c>
      <c r="K49" s="320">
        <f t="shared" si="13"/>
        <v>5.1359955586646709E-2</v>
      </c>
    </row>
    <row r="50" spans="1:11" ht="11.1" customHeight="1">
      <c r="A50" s="433"/>
      <c r="B50" s="433"/>
      <c r="C50" s="331" t="s">
        <v>0</v>
      </c>
      <c r="D50" s="334">
        <v>374518</v>
      </c>
      <c r="E50" s="332">
        <v>31474.873000000003</v>
      </c>
      <c r="F50" s="332">
        <v>341335.37238000002</v>
      </c>
      <c r="G50" s="333">
        <f>SUM(G45:G49)</f>
        <v>1</v>
      </c>
      <c r="H50" s="333">
        <f t="shared" ref="H50" si="15">(E50-I50)/I50</f>
        <v>-0.1999172079374634</v>
      </c>
      <c r="I50" s="334">
        <v>39339.520000000004</v>
      </c>
      <c r="J50" s="332">
        <v>419204.14635</v>
      </c>
      <c r="K50" s="333">
        <f>SUM(K45:K49)</f>
        <v>1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171</v>
      </c>
      <c r="E51" s="321">
        <v>28659.010000000002</v>
      </c>
      <c r="F51" s="321">
        <v>313181.49266999989</v>
      </c>
      <c r="G51" s="322">
        <f>E51/$E$56</f>
        <v>0.67820579263603031</v>
      </c>
      <c r="H51" s="322">
        <f>(E51-I51)/I51</f>
        <v>-0.11104829575309594</v>
      </c>
      <c r="I51" s="325">
        <v>32239.108000000004</v>
      </c>
      <c r="J51" s="321">
        <v>343584.40126000001</v>
      </c>
      <c r="K51" s="322">
        <f>I51/$I$56</f>
        <v>0.69861501591874331</v>
      </c>
    </row>
    <row r="52" spans="1:11" ht="11.1" customHeight="1">
      <c r="A52" s="428"/>
      <c r="B52" s="428"/>
      <c r="C52" s="155" t="s">
        <v>5</v>
      </c>
      <c r="D52" s="326">
        <v>456</v>
      </c>
      <c r="E52" s="130">
        <v>2356.627</v>
      </c>
      <c r="F52" s="130">
        <v>25763.214220000009</v>
      </c>
      <c r="G52" s="320">
        <f t="shared" ref="G52:G55" si="16">E52/$E$56</f>
        <v>5.576878205082695E-2</v>
      </c>
      <c r="H52" s="320">
        <f t="shared" ref="H52:H55" si="17">(E52-I52)/I52</f>
        <v>-0.13648831857888269</v>
      </c>
      <c r="I52" s="326">
        <v>2729.1200000000003</v>
      </c>
      <c r="J52" s="130">
        <v>29093.717210000006</v>
      </c>
      <c r="K52" s="320">
        <f t="shared" ref="K52:K55" si="18">I52/$I$56</f>
        <v>5.913948401562974E-2</v>
      </c>
    </row>
    <row r="53" spans="1:11" ht="11.1" customHeight="1">
      <c r="A53" s="428"/>
      <c r="B53" s="428"/>
      <c r="C53" s="155" t="s">
        <v>6</v>
      </c>
      <c r="D53" s="326">
        <v>18304</v>
      </c>
      <c r="E53" s="130">
        <v>3300.1120000000001</v>
      </c>
      <c r="F53" s="130">
        <v>36090.569069999998</v>
      </c>
      <c r="G53" s="320">
        <f t="shared" si="16"/>
        <v>7.8096035932423188E-2</v>
      </c>
      <c r="H53" s="320">
        <f t="shared" si="17"/>
        <v>0.28515840402762765</v>
      </c>
      <c r="I53" s="326">
        <v>2567.864</v>
      </c>
      <c r="J53" s="130">
        <v>27376.274599999997</v>
      </c>
      <c r="K53" s="320">
        <f t="shared" si="18"/>
        <v>5.5645098779940429E-2</v>
      </c>
    </row>
    <row r="54" spans="1:11" ht="11.1" customHeight="1">
      <c r="A54" s="428"/>
      <c r="B54" s="428"/>
      <c r="C54" s="155" t="s">
        <v>7</v>
      </c>
      <c r="D54" s="326">
        <v>355063</v>
      </c>
      <c r="E54" s="130">
        <v>6061</v>
      </c>
      <c r="F54" s="130">
        <v>66286.8</v>
      </c>
      <c r="G54" s="320">
        <f t="shared" si="16"/>
        <v>0.14343151801709059</v>
      </c>
      <c r="H54" s="320">
        <f t="shared" si="17"/>
        <v>-7.3985516834029652E-2</v>
      </c>
      <c r="I54" s="326">
        <v>6545.2539999999999</v>
      </c>
      <c r="J54" s="130">
        <v>69783.740999999995</v>
      </c>
      <c r="K54" s="320">
        <f t="shared" si="18"/>
        <v>0.14183434378526286</v>
      </c>
    </row>
    <row r="55" spans="1:11" ht="11.1" customHeight="1">
      <c r="A55" s="428"/>
      <c r="B55" s="428"/>
      <c r="C55" s="155" t="s">
        <v>93</v>
      </c>
      <c r="D55" s="326">
        <v>33</v>
      </c>
      <c r="E55" s="130">
        <v>1880.3510000000001</v>
      </c>
      <c r="F55" s="130">
        <v>20539.518949999998</v>
      </c>
      <c r="G55" s="320">
        <f t="shared" si="16"/>
        <v>4.449787136362883E-2</v>
      </c>
      <c r="H55" s="320">
        <f t="shared" si="17"/>
        <v>-8.9782929548311491E-2</v>
      </c>
      <c r="I55" s="326">
        <v>2065.8269999999998</v>
      </c>
      <c r="J55" s="130">
        <v>22016.205279999998</v>
      </c>
      <c r="K55" s="320">
        <f t="shared" si="18"/>
        <v>4.4766057500423694E-2</v>
      </c>
    </row>
    <row r="56" spans="1:11" ht="11.1" customHeight="1">
      <c r="A56" s="433"/>
      <c r="B56" s="433"/>
      <c r="C56" s="331" t="s">
        <v>0</v>
      </c>
      <c r="D56" s="334">
        <v>374027</v>
      </c>
      <c r="E56" s="332">
        <v>42257.100000000006</v>
      </c>
      <c r="F56" s="332">
        <v>461861.59490999987</v>
      </c>
      <c r="G56" s="333">
        <f>SUM(G51:G55)</f>
        <v>0.99999999999999978</v>
      </c>
      <c r="H56" s="333">
        <f t="shared" ref="H56" si="19">(E56-I56)/I56</f>
        <v>-8.4297103096651158E-2</v>
      </c>
      <c r="I56" s="334">
        <v>46147.173000000003</v>
      </c>
      <c r="J56" s="332">
        <v>491854.33935000002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171</v>
      </c>
      <c r="E57" s="321">
        <f>E39+E45+E51</f>
        <v>77597.127000000008</v>
      </c>
      <c r="F57" s="321">
        <f>F39+F45+F51</f>
        <v>844379.2186499997</v>
      </c>
      <c r="G57" s="322">
        <f>E57/$E$62</f>
        <v>0.71708573146630938</v>
      </c>
      <c r="H57" s="322">
        <f>(E57-I57)/I57</f>
        <v>-0.15247796167247663</v>
      </c>
      <c r="I57" s="325">
        <f>I39+I45+I51</f>
        <v>91557.650999999998</v>
      </c>
      <c r="J57" s="321">
        <f>J39+J45+J51</f>
        <v>976259.6017</v>
      </c>
      <c r="K57" s="322">
        <f>I57/$I$62</f>
        <v>0.73013400806804418</v>
      </c>
    </row>
    <row r="58" spans="1:11" ht="11.1" customHeight="1">
      <c r="A58" s="428"/>
      <c r="B58" s="428"/>
      <c r="C58" s="155" t="s">
        <v>5</v>
      </c>
      <c r="D58" s="326">
        <f>D52</f>
        <v>456</v>
      </c>
      <c r="E58" s="130">
        <f t="shared" ref="E58:F59" si="20">E40+E46+E52</f>
        <v>6835.1020000000008</v>
      </c>
      <c r="F58" s="130">
        <f t="shared" si="20"/>
        <v>74384.429040000017</v>
      </c>
      <c r="G58" s="320">
        <f t="shared" ref="G58:G61" si="21">E58/$E$62</f>
        <v>6.3164118399858207E-2</v>
      </c>
      <c r="H58" s="320">
        <f t="shared" ref="H58:H61" si="22">(E58-I58)/I58</f>
        <v>-3.8901616631942443E-2</v>
      </c>
      <c r="I58" s="326">
        <f t="shared" ref="I58:J58" si="23">I40+I46+I52</f>
        <v>7111.7610000000004</v>
      </c>
      <c r="J58" s="130">
        <f t="shared" si="23"/>
        <v>75848.359820000012</v>
      </c>
      <c r="K58" s="320">
        <f t="shared" ref="K58:K61" si="24">I58/$I$62</f>
        <v>5.6713322225272061E-2</v>
      </c>
    </row>
    <row r="59" spans="1:11" ht="11.1" customHeight="1">
      <c r="A59" s="428"/>
      <c r="B59" s="428"/>
      <c r="C59" s="155" t="s">
        <v>6</v>
      </c>
      <c r="D59" s="326">
        <f>D53</f>
        <v>18304</v>
      </c>
      <c r="E59" s="130">
        <f>E41+E47+E53</f>
        <v>6521.549</v>
      </c>
      <c r="F59" s="130">
        <f t="shared" si="20"/>
        <v>71079.628200000006</v>
      </c>
      <c r="G59" s="320">
        <f t="shared" si="21"/>
        <v>6.0266531967844351E-2</v>
      </c>
      <c r="H59" s="320">
        <f t="shared" si="22"/>
        <v>0.1388165267989637</v>
      </c>
      <c r="I59" s="326">
        <f>I41+I47+I53</f>
        <v>5726.6020000000008</v>
      </c>
      <c r="J59" s="130">
        <f t="shared" ref="J59" si="25">J41+J47+J53</f>
        <v>61076.84706</v>
      </c>
      <c r="K59" s="320">
        <f t="shared" si="24"/>
        <v>4.566725800851399E-2</v>
      </c>
    </row>
    <row r="60" spans="1:11" ht="11.1" customHeight="1">
      <c r="A60" s="428"/>
      <c r="B60" s="428"/>
      <c r="C60" s="155" t="s">
        <v>7</v>
      </c>
      <c r="D60" s="326">
        <f>D54</f>
        <v>355063</v>
      </c>
      <c r="E60" s="130">
        <f t="shared" ref="E60:F61" si="26">E42+E48+E54</f>
        <v>11602.888999999999</v>
      </c>
      <c r="F60" s="130">
        <f t="shared" si="26"/>
        <v>126473.405</v>
      </c>
      <c r="G60" s="320">
        <f t="shared" si="21"/>
        <v>0.10722389432906961</v>
      </c>
      <c r="H60" s="320">
        <f t="shared" si="22"/>
        <v>-0.22327203150748864</v>
      </c>
      <c r="I60" s="326">
        <f t="shared" ref="I60:J60" si="27">I42+I48+I54</f>
        <v>14938.163</v>
      </c>
      <c r="J60" s="130">
        <f t="shared" si="27"/>
        <v>159322.53700000001</v>
      </c>
      <c r="K60" s="320">
        <f t="shared" si="24"/>
        <v>0.11912560780271395</v>
      </c>
    </row>
    <row r="61" spans="1:11" ht="11.1" customHeight="1">
      <c r="A61" s="428"/>
      <c r="B61" s="428"/>
      <c r="C61" s="155" t="s">
        <v>93</v>
      </c>
      <c r="D61" s="326">
        <f>D55</f>
        <v>33</v>
      </c>
      <c r="E61" s="130">
        <f>E43+E49+E55</f>
        <v>5655.1180000000004</v>
      </c>
      <c r="F61" s="130">
        <f t="shared" si="26"/>
        <v>61488.375199999995</v>
      </c>
      <c r="G61" s="320">
        <f t="shared" si="21"/>
        <v>5.2259723836918501E-2</v>
      </c>
      <c r="H61" s="320">
        <f t="shared" si="22"/>
        <v>-6.7465139507107474E-2</v>
      </c>
      <c r="I61" s="326">
        <f>I43+I49+I55</f>
        <v>6064.2430000000004</v>
      </c>
      <c r="J61" s="130">
        <f t="shared" ref="J61" si="28">J43+J49+J55</f>
        <v>64654.447279999993</v>
      </c>
      <c r="K61" s="320">
        <f t="shared" si="24"/>
        <v>4.8359803895455786E-2</v>
      </c>
    </row>
    <row r="62" spans="1:11" ht="11.1" customHeight="1">
      <c r="A62" s="433"/>
      <c r="B62" s="433"/>
      <c r="C62" s="331" t="s">
        <v>0</v>
      </c>
      <c r="D62" s="334">
        <f>SUM(D57:D61)</f>
        <v>374027</v>
      </c>
      <c r="E62" s="332">
        <f>SUM(E57:E61)</f>
        <v>108211.785</v>
      </c>
      <c r="F62" s="332">
        <f>SUM(F57:F61)</f>
        <v>1177805.0560899996</v>
      </c>
      <c r="G62" s="333">
        <f>SUM(G57:G61)</f>
        <v>1.0000000000000002</v>
      </c>
      <c r="H62" s="333">
        <f>(E62-I62)/I62</f>
        <v>-0.13705623244694787</v>
      </c>
      <c r="I62" s="334">
        <f>SUM(I57:I61)</f>
        <v>125398.42</v>
      </c>
      <c r="J62" s="332">
        <f>SUM(J57:J61)</f>
        <v>1337161.7928599999</v>
      </c>
      <c r="K62" s="333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309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41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115</v>
      </c>
      <c r="E9" s="321">
        <v>11949.222</v>
      </c>
      <c r="F9" s="321">
        <v>129885.93513000001</v>
      </c>
      <c r="G9" s="322">
        <f>E9/$E$14</f>
        <v>0.71978928980181911</v>
      </c>
      <c r="H9" s="322">
        <f>(E9-I9)/I9</f>
        <v>6.0031554038487934E-4</v>
      </c>
      <c r="I9" s="325">
        <v>11942.053</v>
      </c>
      <c r="J9" s="321">
        <v>127535.52605999999</v>
      </c>
      <c r="K9" s="322">
        <f>I9/$I$14</f>
        <v>0.6864195636179703</v>
      </c>
    </row>
    <row r="10" spans="1:16" ht="11.1" customHeight="1">
      <c r="A10" s="428"/>
      <c r="B10" s="428"/>
      <c r="C10" s="155" t="s">
        <v>5</v>
      </c>
      <c r="D10" s="326">
        <v>356</v>
      </c>
      <c r="E10" s="130">
        <v>1209.299</v>
      </c>
      <c r="F10" s="130">
        <v>13144.524780000009</v>
      </c>
      <c r="G10" s="320">
        <f>E10/$E$14</f>
        <v>7.2844949099451842E-2</v>
      </c>
      <c r="H10" s="320">
        <f>(E10-I10)/I10</f>
        <v>-0.2171555267842693</v>
      </c>
      <c r="I10" s="326">
        <v>1544.75</v>
      </c>
      <c r="J10" s="130">
        <v>16496.971090000006</v>
      </c>
      <c r="K10" s="320">
        <f>I10/$I$14</f>
        <v>8.8790982664275542E-2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13242</v>
      </c>
      <c r="E11" s="130">
        <v>1210.4000000000001</v>
      </c>
      <c r="F11" s="130">
        <v>13156.8</v>
      </c>
      <c r="G11" s="320">
        <f>E11/$E$14</f>
        <v>7.2911270405397272E-2</v>
      </c>
      <c r="H11" s="320">
        <f t="shared" ref="H11:H13" si="0">(E11-I11)/I11</f>
        <v>0.15146458799276635</v>
      </c>
      <c r="I11" s="326">
        <v>1051.183</v>
      </c>
      <c r="J11" s="130">
        <v>11225.779934</v>
      </c>
      <c r="K11" s="320">
        <f>I11/$I$14</f>
        <v>6.0421150043684188E-2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171945</v>
      </c>
      <c r="E12" s="130">
        <v>1868.7</v>
      </c>
      <c r="F12" s="130">
        <v>20312.5</v>
      </c>
      <c r="G12" s="320">
        <f>E12/$E$14</f>
        <v>0.11256550810192158</v>
      </c>
      <c r="H12" s="320">
        <f t="shared" si="0"/>
        <v>-0.2441451280184444</v>
      </c>
      <c r="I12" s="326">
        <v>2472.3000000000002</v>
      </c>
      <c r="J12" s="130">
        <v>26402.799999999999</v>
      </c>
      <c r="K12" s="320">
        <f>I12/$I$14</f>
        <v>0.1421058076976135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14</v>
      </c>
      <c r="E13" s="130">
        <v>363.37900000000002</v>
      </c>
      <c r="F13" s="130">
        <v>3949.85968</v>
      </c>
      <c r="G13" s="320">
        <f>E13/$E$14</f>
        <v>2.1888982591410158E-2</v>
      </c>
      <c r="H13" s="320">
        <f t="shared" si="0"/>
        <v>-6.1797404689734943E-2</v>
      </c>
      <c r="I13" s="326">
        <v>387.31400000000002</v>
      </c>
      <c r="J13" s="130">
        <v>4136.3239659999999</v>
      </c>
      <c r="K13" s="320">
        <f>I13/$I$14</f>
        <v>2.2262495976456527E-2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185672</v>
      </c>
      <c r="E14" s="332">
        <v>16601</v>
      </c>
      <c r="F14" s="332">
        <v>180449.61959000002</v>
      </c>
      <c r="G14" s="333">
        <f>SUM(G9:G13)</f>
        <v>0.99999999999999989</v>
      </c>
      <c r="H14" s="333">
        <f>(E14-I14)/I14</f>
        <v>-4.5787924771232731E-2</v>
      </c>
      <c r="I14" s="334">
        <v>17397.599999999999</v>
      </c>
      <c r="J14" s="332">
        <v>185797.40104999999</v>
      </c>
      <c r="K14" s="333">
        <f>SUM(K9:K13)</f>
        <v>1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115</v>
      </c>
      <c r="E15" s="321">
        <v>11828.156000000001</v>
      </c>
      <c r="F15" s="321">
        <v>128341.95899999996</v>
      </c>
      <c r="G15" s="322">
        <f>E15/$E$20</f>
        <v>0.71229064543713649</v>
      </c>
      <c r="H15" s="322">
        <f>(E15-I15)/I15</f>
        <v>-6.1731211589830602E-2</v>
      </c>
      <c r="I15" s="325">
        <v>12606.362000000001</v>
      </c>
      <c r="J15" s="321">
        <v>134376.91410000005</v>
      </c>
      <c r="K15" s="322">
        <f>I15/$I$20</f>
        <v>0.65433548393794216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354</v>
      </c>
      <c r="E16" s="130">
        <v>1423.306</v>
      </c>
      <c r="F16" s="130">
        <v>15443.683019999993</v>
      </c>
      <c r="G16" s="320">
        <f>E16/$E$20</f>
        <v>8.5711377952281745E-2</v>
      </c>
      <c r="H16" s="320">
        <f>(E16-I16)/I16</f>
        <v>-0.24330270156756298</v>
      </c>
      <c r="I16" s="326">
        <v>1880.9449999999997</v>
      </c>
      <c r="J16" s="130">
        <v>20049.456489999982</v>
      </c>
      <c r="K16" s="320">
        <f>I16/$I$20</f>
        <v>9.7630788076342109E-2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13233</v>
      </c>
      <c r="E17" s="130">
        <v>1187.4000000000001</v>
      </c>
      <c r="F17" s="130">
        <v>12884.3</v>
      </c>
      <c r="G17" s="320">
        <f>E17/$E$20</f>
        <v>7.1505136759445503E-2</v>
      </c>
      <c r="H17" s="320">
        <f t="shared" ref="H17:H20" si="1">(E17-I17)/I17</f>
        <v>-8.0125314914148205E-2</v>
      </c>
      <c r="I17" s="326">
        <v>1290.8280000000002</v>
      </c>
      <c r="J17" s="130">
        <v>13759.775692000001</v>
      </c>
      <c r="K17" s="320">
        <f>I17/$I$20</f>
        <v>6.7000659195781159E-2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171730</v>
      </c>
      <c r="E18" s="130">
        <v>1803.4</v>
      </c>
      <c r="F18" s="130">
        <v>19567.599999999999</v>
      </c>
      <c r="G18" s="320">
        <f>E18/$E$20</f>
        <v>0.10860060942562239</v>
      </c>
      <c r="H18" s="320">
        <f t="shared" si="1"/>
        <v>-0.41592175152221783</v>
      </c>
      <c r="I18" s="326">
        <v>3087.6</v>
      </c>
      <c r="J18" s="130">
        <v>32911.9</v>
      </c>
      <c r="K18" s="320">
        <f>I18/$I$20</f>
        <v>0.16026243258814796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15</v>
      </c>
      <c r="E19" s="130">
        <v>363.53800000000001</v>
      </c>
      <c r="F19" s="130">
        <v>3944.57933</v>
      </c>
      <c r="G19" s="320">
        <f>E19/$E$20</f>
        <v>2.189223042551398E-2</v>
      </c>
      <c r="H19" s="320">
        <f t="shared" si="1"/>
        <v>-9.1529743980608022E-2</v>
      </c>
      <c r="I19" s="326">
        <v>400.16500000000002</v>
      </c>
      <c r="J19" s="130">
        <v>4265.5462780000007</v>
      </c>
      <c r="K19" s="320">
        <f>I19/$I$20</f>
        <v>2.0770636201786576E-2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185447</v>
      </c>
      <c r="E20" s="332">
        <v>16605.8</v>
      </c>
      <c r="F20" s="332">
        <v>180182.12134999994</v>
      </c>
      <c r="G20" s="333">
        <f>SUM(G15:G19)</f>
        <v>1.0000000000000002</v>
      </c>
      <c r="H20" s="333">
        <f t="shared" si="1"/>
        <v>-0.13807296830150692</v>
      </c>
      <c r="I20" s="334">
        <v>19265.900000000001</v>
      </c>
      <c r="J20" s="332">
        <v>205363.59256000002</v>
      </c>
      <c r="K20" s="333">
        <f>SUM(K15:K19)</f>
        <v>0.99999999999999989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116</v>
      </c>
      <c r="E21" s="321">
        <v>12766.762999999999</v>
      </c>
      <c r="F21" s="321">
        <v>139624.16363000008</v>
      </c>
      <c r="G21" s="322">
        <f>E21/$E$26</f>
        <v>0.59289290855895593</v>
      </c>
      <c r="H21" s="322">
        <f>(E21-I21)/I21</f>
        <v>-3.3272124523707182E-2</v>
      </c>
      <c r="I21" s="325">
        <v>13206.16</v>
      </c>
      <c r="J21" s="321">
        <v>140799.06383000003</v>
      </c>
      <c r="K21" s="322">
        <f>I21/$I$26</f>
        <v>0.59298360626293745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355</v>
      </c>
      <c r="E22" s="130">
        <v>1979.1390000000001</v>
      </c>
      <c r="F22" s="130">
        <v>21644.973509999993</v>
      </c>
      <c r="G22" s="320">
        <f>E22/$E$26</f>
        <v>9.1911902661031913E-2</v>
      </c>
      <c r="H22" s="320">
        <f t="shared" ref="H22:H26" si="2">(E22-I22)/I22</f>
        <v>-0.18654176705737868</v>
      </c>
      <c r="I22" s="326">
        <v>2432.9940000000001</v>
      </c>
      <c r="J22" s="130">
        <v>25939.161840000012</v>
      </c>
      <c r="K22" s="320">
        <f>I22/$I$26</f>
        <v>0.10924640895885628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13198</v>
      </c>
      <c r="E23" s="130">
        <v>2455.9</v>
      </c>
      <c r="F23" s="130">
        <v>26859</v>
      </c>
      <c r="G23" s="320">
        <f>E23/$E$26</f>
        <v>0.11405284911531138</v>
      </c>
      <c r="H23" s="320">
        <f t="shared" si="2"/>
        <v>0.28576035717950493</v>
      </c>
      <c r="I23" s="326">
        <v>1910.076</v>
      </c>
      <c r="J23" s="130">
        <v>20364.108249000001</v>
      </c>
      <c r="K23" s="320">
        <f>I23/$I$26</f>
        <v>8.5766320771237553E-2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171517</v>
      </c>
      <c r="E24" s="130">
        <v>4016.9</v>
      </c>
      <c r="F24" s="130">
        <v>43931</v>
      </c>
      <c r="G24" s="320">
        <f>E24/$E$26</f>
        <v>0.18654623136581061</v>
      </c>
      <c r="H24" s="320">
        <f t="shared" si="2"/>
        <v>-7.3998939579058898E-2</v>
      </c>
      <c r="I24" s="326">
        <v>4337.8999999999996</v>
      </c>
      <c r="J24" s="130">
        <v>46248.7</v>
      </c>
      <c r="K24" s="320">
        <f>I24/$I$26</f>
        <v>0.19478058615131091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15</v>
      </c>
      <c r="E25" s="130">
        <v>314.298</v>
      </c>
      <c r="F25" s="130">
        <v>3437.3281399999996</v>
      </c>
      <c r="G25" s="320">
        <f>E25/$E$26</f>
        <v>1.4596108298890076E-2</v>
      </c>
      <c r="H25" s="320">
        <f t="shared" si="2"/>
        <v>-0.18059806554214353</v>
      </c>
      <c r="I25" s="326">
        <v>383.57</v>
      </c>
      <c r="J25" s="130">
        <v>4089.4689810000004</v>
      </c>
      <c r="K25" s="320">
        <f>I25/$I$26</f>
        <v>1.7223077855657885E-2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185201</v>
      </c>
      <c r="E26" s="332">
        <v>21533</v>
      </c>
      <c r="F26" s="332">
        <v>235496.46528000006</v>
      </c>
      <c r="G26" s="333">
        <f>SUM(G21:G25)</f>
        <v>1</v>
      </c>
      <c r="H26" s="333">
        <f t="shared" si="2"/>
        <v>-3.3124239471592591E-2</v>
      </c>
      <c r="I26" s="334">
        <v>22270.699999999997</v>
      </c>
      <c r="J26" s="332">
        <v>237440.50290000008</v>
      </c>
      <c r="K26" s="333">
        <f>SUM(K21:K25)</f>
        <v>1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116</v>
      </c>
      <c r="E27" s="321">
        <f>E9+E15+E21</f>
        <v>36544.141000000003</v>
      </c>
      <c r="F27" s="321">
        <f>F9+F15+F21</f>
        <v>397852.05776000005</v>
      </c>
      <c r="G27" s="322">
        <f>E27/$E$32</f>
        <v>0.66759726926294949</v>
      </c>
      <c r="H27" s="322">
        <f>(E27-I27)/I27</f>
        <v>-3.2060591332308576E-2</v>
      </c>
      <c r="I27" s="325">
        <f>I9+I15+I21</f>
        <v>37754.574999999997</v>
      </c>
      <c r="J27" s="321">
        <f>J9+J15+J21</f>
        <v>402711.50399000011</v>
      </c>
      <c r="K27" s="322">
        <f>I27/$I$32</f>
        <v>0.64062250781379915</v>
      </c>
    </row>
    <row r="28" spans="1:20" ht="11.1" customHeight="1">
      <c r="A28" s="428"/>
      <c r="B28" s="428"/>
      <c r="C28" s="155" t="s">
        <v>5</v>
      </c>
      <c r="D28" s="326">
        <f>D22</f>
        <v>355</v>
      </c>
      <c r="E28" s="130">
        <f t="shared" ref="E28:F31" si="3">E10+E16+E22</f>
        <v>4611.7440000000006</v>
      </c>
      <c r="F28" s="130">
        <f t="shared" si="3"/>
        <v>50233.18131</v>
      </c>
      <c r="G28" s="320">
        <f>E28/$E$32</f>
        <v>8.4248462727302631E-2</v>
      </c>
      <c r="H28" s="320">
        <f t="shared" ref="H28:H31" si="4">(E28-I28)/I28</f>
        <v>-0.21283686503926044</v>
      </c>
      <c r="I28" s="326">
        <f t="shared" ref="I28:J28" si="5">I10+I16+I22</f>
        <v>5858.6890000000003</v>
      </c>
      <c r="J28" s="130">
        <f t="shared" si="5"/>
        <v>62485.589420000004</v>
      </c>
      <c r="K28" s="320">
        <f>I28/$I$32</f>
        <v>9.9410681743368035E-2</v>
      </c>
    </row>
    <row r="29" spans="1:20" ht="11.1" customHeight="1">
      <c r="A29" s="428"/>
      <c r="B29" s="428"/>
      <c r="C29" s="155" t="s">
        <v>6</v>
      </c>
      <c r="D29" s="326">
        <f>D23</f>
        <v>13198</v>
      </c>
      <c r="E29" s="130">
        <f t="shared" si="3"/>
        <v>4853.7000000000007</v>
      </c>
      <c r="F29" s="130">
        <f t="shared" si="3"/>
        <v>52900.1</v>
      </c>
      <c r="G29" s="320">
        <f>E29/$E$32</f>
        <v>8.8668573871296577E-2</v>
      </c>
      <c r="H29" s="320">
        <f t="shared" si="4"/>
        <v>0.1414865217950621</v>
      </c>
      <c r="I29" s="326">
        <f t="shared" ref="I29:J29" si="6">I11+I17+I23</f>
        <v>4252.0870000000004</v>
      </c>
      <c r="J29" s="130">
        <f t="shared" si="6"/>
        <v>45349.663874999998</v>
      </c>
      <c r="K29" s="320">
        <f>I29/$I$32</f>
        <v>7.2149736485775676E-2</v>
      </c>
    </row>
    <row r="30" spans="1:20" ht="11.1" customHeight="1">
      <c r="A30" s="428"/>
      <c r="B30" s="428"/>
      <c r="C30" s="155" t="s">
        <v>7</v>
      </c>
      <c r="D30" s="326">
        <f>D24</f>
        <v>171517</v>
      </c>
      <c r="E30" s="130">
        <f t="shared" si="3"/>
        <v>7689</v>
      </c>
      <c r="F30" s="130">
        <f t="shared" si="3"/>
        <v>83811.100000000006</v>
      </c>
      <c r="G30" s="320">
        <f>E30/$E$32</f>
        <v>0.14046452489778916</v>
      </c>
      <c r="H30" s="320">
        <f t="shared" si="4"/>
        <v>-0.22316070237830624</v>
      </c>
      <c r="I30" s="326">
        <f t="shared" ref="I30:J30" si="7">I12+I18+I24</f>
        <v>9897.7999999999993</v>
      </c>
      <c r="J30" s="130">
        <f t="shared" si="7"/>
        <v>105563.4</v>
      </c>
      <c r="K30" s="320">
        <f>I30/$I$32</f>
        <v>0.16794662521931239</v>
      </c>
    </row>
    <row r="31" spans="1:20" ht="11.1" customHeight="1">
      <c r="A31" s="428"/>
      <c r="B31" s="428"/>
      <c r="C31" s="155" t="s">
        <v>93</v>
      </c>
      <c r="D31" s="326">
        <f>D25</f>
        <v>15</v>
      </c>
      <c r="E31" s="130">
        <f>E13+E19+E25</f>
        <v>1041.2150000000001</v>
      </c>
      <c r="F31" s="130">
        <f t="shared" si="3"/>
        <v>11331.76715</v>
      </c>
      <c r="G31" s="320">
        <f>E31/$E$32</f>
        <v>1.9021169240662189E-2</v>
      </c>
      <c r="H31" s="320">
        <f t="shared" si="4"/>
        <v>-0.11086982696710371</v>
      </c>
      <c r="I31" s="326">
        <f>I13+I19+I25</f>
        <v>1171.049</v>
      </c>
      <c r="J31" s="130">
        <f t="shared" ref="J31" si="8">J13+J19+J25</f>
        <v>12491.339225000002</v>
      </c>
      <c r="K31" s="320">
        <f>I31/$I$32</f>
        <v>1.9870448737744809E-2</v>
      </c>
    </row>
    <row r="32" spans="1:20" ht="11.1" customHeight="1">
      <c r="A32" s="433"/>
      <c r="B32" s="433"/>
      <c r="C32" s="331" t="s">
        <v>0</v>
      </c>
      <c r="D32" s="334">
        <f>SUM(D27:D31)</f>
        <v>185201</v>
      </c>
      <c r="E32" s="332">
        <f>SUM(E27:E31)</f>
        <v>54739.8</v>
      </c>
      <c r="F32" s="332">
        <f>SUM(F27:F31)</f>
        <v>596128.20622000005</v>
      </c>
      <c r="G32" s="333">
        <f>SUM(G27:G31)</f>
        <v>1</v>
      </c>
      <c r="H32" s="333">
        <f>(E32-I32)/I32</f>
        <v>-7.1170899070488694E-2</v>
      </c>
      <c r="I32" s="334">
        <f>SUM(I27:I31)</f>
        <v>58934.2</v>
      </c>
      <c r="J32" s="332">
        <f>SUM(J27:J31)</f>
        <v>628601.49651000008</v>
      </c>
      <c r="K32" s="333">
        <f>SUM(K27:K31)</f>
        <v>1.0000000000000002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42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79</v>
      </c>
      <c r="E39" s="321">
        <v>8668.3330000000005</v>
      </c>
      <c r="F39" s="321">
        <v>94222.666040000011</v>
      </c>
      <c r="G39" s="322">
        <f>E39/$E$44</f>
        <v>0.69300648369482665</v>
      </c>
      <c r="H39" s="322">
        <f>(E39-I39)/I39</f>
        <v>-0.1938228256559098</v>
      </c>
      <c r="I39" s="325">
        <v>10752.392</v>
      </c>
      <c r="J39" s="321">
        <v>114830.13493999993</v>
      </c>
      <c r="K39" s="322">
        <f>I39/$I$44</f>
        <v>0.69831156601310584</v>
      </c>
    </row>
    <row r="40" spans="1:11" ht="11.1" customHeight="1">
      <c r="A40" s="428"/>
      <c r="B40" s="428"/>
      <c r="C40" s="155" t="s">
        <v>5</v>
      </c>
      <c r="D40" s="326">
        <v>277</v>
      </c>
      <c r="E40" s="130">
        <v>1121.5530000000001</v>
      </c>
      <c r="F40" s="130">
        <v>12191.513059999999</v>
      </c>
      <c r="G40" s="320">
        <f t="shared" ref="G40" si="9">E40/$E$44</f>
        <v>8.9664702637448732E-2</v>
      </c>
      <c r="H40" s="320">
        <f>(E40-I40)/I40</f>
        <v>-0.29203691207596011</v>
      </c>
      <c r="I40" s="326">
        <v>1584.1969999999999</v>
      </c>
      <c r="J40" s="130">
        <v>16918.838680000001</v>
      </c>
      <c r="K40" s="320">
        <f t="shared" ref="K40:K43" si="10">I40/$I$44</f>
        <v>0.10288530105145574</v>
      </c>
    </row>
    <row r="41" spans="1:11" ht="11.1" customHeight="1">
      <c r="A41" s="428"/>
      <c r="B41" s="428"/>
      <c r="C41" s="155" t="s">
        <v>6</v>
      </c>
      <c r="D41" s="326">
        <v>11351</v>
      </c>
      <c r="E41" s="130">
        <v>987.82799999999997</v>
      </c>
      <c r="F41" s="130">
        <v>10737.02218</v>
      </c>
      <c r="G41" s="320">
        <f>E41/$E$44</f>
        <v>7.8973801395873136E-2</v>
      </c>
      <c r="H41" s="320">
        <f t="shared" ref="H41:H43" si="11">(E41-I41)/I41</f>
        <v>0.14399736881114739</v>
      </c>
      <c r="I41" s="326">
        <v>863.48799999999994</v>
      </c>
      <c r="J41" s="130">
        <v>9222.1483400000016</v>
      </c>
      <c r="K41" s="320">
        <f t="shared" si="10"/>
        <v>5.60790247894166E-2</v>
      </c>
    </row>
    <row r="42" spans="1:11" ht="11.1" customHeight="1">
      <c r="A42" s="428"/>
      <c r="B42" s="428"/>
      <c r="C42" s="155" t="s">
        <v>7</v>
      </c>
      <c r="D42" s="326">
        <v>124051</v>
      </c>
      <c r="E42" s="130">
        <v>1489.7</v>
      </c>
      <c r="F42" s="130">
        <v>16193.2</v>
      </c>
      <c r="G42" s="320">
        <f>E42/$E$44</f>
        <v>0.11909691964535547</v>
      </c>
      <c r="H42" s="320">
        <f t="shared" si="11"/>
        <v>-0.24415241767720333</v>
      </c>
      <c r="I42" s="326">
        <v>1970.9</v>
      </c>
      <c r="J42" s="130">
        <v>21048.3</v>
      </c>
      <c r="K42" s="320">
        <f t="shared" si="10"/>
        <v>0.12799963630931893</v>
      </c>
    </row>
    <row r="43" spans="1:11" ht="11.1" customHeight="1">
      <c r="A43" s="428"/>
      <c r="B43" s="428"/>
      <c r="C43" s="155" t="s">
        <v>93</v>
      </c>
      <c r="D43" s="326">
        <v>14</v>
      </c>
      <c r="E43" s="130">
        <v>240.886</v>
      </c>
      <c r="F43" s="130">
        <v>2618.39626</v>
      </c>
      <c r="G43" s="320">
        <f>E43/$E$44</f>
        <v>1.9258092626496005E-2</v>
      </c>
      <c r="H43" s="320">
        <f t="shared" si="11"/>
        <v>6.246829831997628E-2</v>
      </c>
      <c r="I43" s="326">
        <v>226.72300000000001</v>
      </c>
      <c r="J43" s="130">
        <v>2421.2896100000003</v>
      </c>
      <c r="K43" s="320">
        <f t="shared" si="10"/>
        <v>1.4724471836702887E-2</v>
      </c>
    </row>
    <row r="44" spans="1:11" ht="11.1" customHeight="1">
      <c r="A44" s="433"/>
      <c r="B44" s="433"/>
      <c r="C44" s="331" t="s">
        <v>0</v>
      </c>
      <c r="D44" s="334">
        <v>135772</v>
      </c>
      <c r="E44" s="332">
        <v>12508.300000000001</v>
      </c>
      <c r="F44" s="332">
        <v>135962.79754000003</v>
      </c>
      <c r="G44" s="333">
        <f>SUM(G39:G43)</f>
        <v>1</v>
      </c>
      <c r="H44" s="333">
        <f>(E44-I44)/I44</f>
        <v>-0.18765140248218876</v>
      </c>
      <c r="I44" s="334">
        <v>15397.699999999999</v>
      </c>
      <c r="J44" s="332">
        <v>164440.71156999996</v>
      </c>
      <c r="K44" s="333">
        <f>SUM(K39:K43)</f>
        <v>1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79</v>
      </c>
      <c r="E45" s="321">
        <v>8383.9570000000003</v>
      </c>
      <c r="F45" s="321">
        <v>90970.131060000014</v>
      </c>
      <c r="G45" s="322">
        <f>E45/$E$50</f>
        <v>0.68689992216623652</v>
      </c>
      <c r="H45" s="322">
        <f>(E45-I45)/I45</f>
        <v>-0.20288012373676195</v>
      </c>
      <c r="I45" s="325">
        <v>10517.812</v>
      </c>
      <c r="J45" s="321">
        <v>112114.07847000002</v>
      </c>
      <c r="K45" s="322">
        <f>I45/$I$50</f>
        <v>0.65680496577908787</v>
      </c>
    </row>
    <row r="46" spans="1:11" ht="11.1" customHeight="1">
      <c r="A46" s="428"/>
      <c r="B46" s="428"/>
      <c r="C46" s="155" t="s">
        <v>5</v>
      </c>
      <c r="D46" s="326">
        <v>277</v>
      </c>
      <c r="E46" s="130">
        <v>1170.461</v>
      </c>
      <c r="F46" s="130">
        <v>12700.444099999999</v>
      </c>
      <c r="G46" s="320">
        <f t="shared" ref="G46:G49" si="12">E46/$E$50</f>
        <v>9.5896194338617832E-2</v>
      </c>
      <c r="H46" s="320">
        <f>(E46-I46)/I46</f>
        <v>-0.32951575160609381</v>
      </c>
      <c r="I46" s="326">
        <v>1745.6949999999999</v>
      </c>
      <c r="J46" s="130">
        <v>18607.955730000005</v>
      </c>
      <c r="K46" s="320">
        <f t="shared" ref="K46:K49" si="13">I46/$I$50</f>
        <v>0.10901327621521707</v>
      </c>
    </row>
    <row r="47" spans="1:11" ht="11.1" customHeight="1">
      <c r="A47" s="428"/>
      <c r="B47" s="428"/>
      <c r="C47" s="155" t="s">
        <v>6</v>
      </c>
      <c r="D47" s="326">
        <v>11338</v>
      </c>
      <c r="E47" s="130">
        <v>969.43799999999999</v>
      </c>
      <c r="F47" s="130">
        <v>10519.33387</v>
      </c>
      <c r="G47" s="320">
        <f t="shared" si="12"/>
        <v>7.9426324198107412E-2</v>
      </c>
      <c r="H47" s="320">
        <f t="shared" ref="H47:H49" si="14">(E47-I47)/I47</f>
        <v>-8.1767249340525497E-2</v>
      </c>
      <c r="I47" s="326">
        <v>1055.7649999999999</v>
      </c>
      <c r="J47" s="130">
        <v>11253.38445</v>
      </c>
      <c r="K47" s="320">
        <f t="shared" si="13"/>
        <v>6.592927261827447E-2</v>
      </c>
    </row>
    <row r="48" spans="1:11" ht="11.1" customHeight="1">
      <c r="A48" s="428"/>
      <c r="B48" s="428"/>
      <c r="C48" s="155" t="s">
        <v>7</v>
      </c>
      <c r="D48" s="326">
        <v>123869</v>
      </c>
      <c r="E48" s="130">
        <v>1437.7</v>
      </c>
      <c r="F48" s="130">
        <v>15599.3</v>
      </c>
      <c r="G48" s="320">
        <f t="shared" si="12"/>
        <v>0.11779115972307566</v>
      </c>
      <c r="H48" s="320">
        <f t="shared" si="14"/>
        <v>-0.41590151946046966</v>
      </c>
      <c r="I48" s="326">
        <v>2461.4</v>
      </c>
      <c r="J48" s="130">
        <v>26237.4</v>
      </c>
      <c r="K48" s="320">
        <f t="shared" si="13"/>
        <v>0.15370684917819855</v>
      </c>
    </row>
    <row r="49" spans="1:11" ht="11.1" customHeight="1">
      <c r="A49" s="428"/>
      <c r="B49" s="428"/>
      <c r="C49" s="155" t="s">
        <v>93</v>
      </c>
      <c r="D49" s="326">
        <v>14</v>
      </c>
      <c r="E49" s="130">
        <v>243.94399999999999</v>
      </c>
      <c r="F49" s="130">
        <v>2646.93073</v>
      </c>
      <c r="G49" s="320">
        <f t="shared" si="12"/>
        <v>1.9986399573962556E-2</v>
      </c>
      <c r="H49" s="320">
        <f t="shared" si="14"/>
        <v>4.7293584283555394E-2</v>
      </c>
      <c r="I49" s="326">
        <v>232.928</v>
      </c>
      <c r="J49" s="130">
        <v>2482.87799</v>
      </c>
      <c r="K49" s="320">
        <f t="shared" si="13"/>
        <v>1.4545636209222163E-2</v>
      </c>
    </row>
    <row r="50" spans="1:11" ht="11.1" customHeight="1">
      <c r="A50" s="433"/>
      <c r="B50" s="433"/>
      <c r="C50" s="331" t="s">
        <v>0</v>
      </c>
      <c r="D50" s="334">
        <v>135577</v>
      </c>
      <c r="E50" s="332">
        <v>12205.5</v>
      </c>
      <c r="F50" s="332">
        <v>132436.13976000002</v>
      </c>
      <c r="G50" s="333">
        <f>SUM(G45:G49)</f>
        <v>0.99999999999999989</v>
      </c>
      <c r="H50" s="333">
        <f t="shared" ref="H50" si="15">(E50-I50)/I50</f>
        <v>-0.23780411650097411</v>
      </c>
      <c r="I50" s="334">
        <v>16013.599999999999</v>
      </c>
      <c r="J50" s="332">
        <v>170695.69664000004</v>
      </c>
      <c r="K50" s="333">
        <f>SUM(K45:K49)</f>
        <v>1.0000000000000002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79</v>
      </c>
      <c r="E51" s="321">
        <v>9430.1629999999986</v>
      </c>
      <c r="F51" s="321">
        <v>103133.65403999995</v>
      </c>
      <c r="G51" s="322">
        <f>E51/$E$56</f>
        <v>0.56948179863761528</v>
      </c>
      <c r="H51" s="322">
        <f>(E51-I51)/I51</f>
        <v>-6.393807844003771E-2</v>
      </c>
      <c r="I51" s="325">
        <v>10074.294</v>
      </c>
      <c r="J51" s="321">
        <v>107408.47423999995</v>
      </c>
      <c r="K51" s="322">
        <f>I51/$I$56</f>
        <v>0.5809523095553889</v>
      </c>
    </row>
    <row r="52" spans="1:11" ht="11.1" customHeight="1">
      <c r="A52" s="428"/>
      <c r="B52" s="428"/>
      <c r="C52" s="155" t="s">
        <v>5</v>
      </c>
      <c r="D52" s="326">
        <v>277</v>
      </c>
      <c r="E52" s="130">
        <v>1713.9009999999998</v>
      </c>
      <c r="F52" s="130">
        <v>18743.626329999996</v>
      </c>
      <c r="G52" s="320">
        <f t="shared" ref="G52:G55" si="16">E52/$E$56</f>
        <v>0.10350143726750083</v>
      </c>
      <c r="H52" s="320">
        <f t="shared" ref="H52:H55" si="17">(E52-I52)/I52</f>
        <v>-0.14438383341179434</v>
      </c>
      <c r="I52" s="326">
        <v>2003.1189999999999</v>
      </c>
      <c r="J52" s="130">
        <v>21356.179599999999</v>
      </c>
      <c r="K52" s="320">
        <f t="shared" ref="K52:K55" si="18">I52/$I$56</f>
        <v>0.11551346519808546</v>
      </c>
    </row>
    <row r="53" spans="1:11" ht="11.1" customHeight="1">
      <c r="A53" s="428"/>
      <c r="B53" s="428"/>
      <c r="C53" s="155" t="s">
        <v>6</v>
      </c>
      <c r="D53" s="326">
        <v>11307</v>
      </c>
      <c r="E53" s="130">
        <v>2007.9369999999999</v>
      </c>
      <c r="F53" s="130">
        <v>21959.58596</v>
      </c>
      <c r="G53" s="320">
        <f t="shared" si="16"/>
        <v>0.1212580921783661</v>
      </c>
      <c r="H53" s="320">
        <f t="shared" si="17"/>
        <v>0.28681327484386959</v>
      </c>
      <c r="I53" s="326">
        <v>1560.395</v>
      </c>
      <c r="J53" s="130">
        <v>16636.368989999999</v>
      </c>
      <c r="K53" s="320">
        <f t="shared" si="18"/>
        <v>8.9982988293639349E-2</v>
      </c>
    </row>
    <row r="54" spans="1:11" ht="11.1" customHeight="1">
      <c r="A54" s="428"/>
      <c r="B54" s="428"/>
      <c r="C54" s="155" t="s">
        <v>7</v>
      </c>
      <c r="D54" s="326">
        <v>123714</v>
      </c>
      <c r="E54" s="130">
        <v>3202.3</v>
      </c>
      <c r="F54" s="130">
        <v>35021.9</v>
      </c>
      <c r="G54" s="320">
        <f t="shared" si="16"/>
        <v>0.19338494613266341</v>
      </c>
      <c r="H54" s="320">
        <f t="shared" si="17"/>
        <v>-7.3998033659128923E-2</v>
      </c>
      <c r="I54" s="326">
        <v>3458.2</v>
      </c>
      <c r="J54" s="130">
        <v>36869.5</v>
      </c>
      <c r="K54" s="320">
        <f t="shared" si="18"/>
        <v>0.19942333198777462</v>
      </c>
    </row>
    <row r="55" spans="1:11" ht="11.1" customHeight="1">
      <c r="A55" s="428"/>
      <c r="B55" s="428"/>
      <c r="C55" s="155" t="s">
        <v>93</v>
      </c>
      <c r="D55" s="326">
        <v>14</v>
      </c>
      <c r="E55" s="130">
        <v>204.899</v>
      </c>
      <c r="F55" s="130">
        <v>2240.8886699999998</v>
      </c>
      <c r="G55" s="320">
        <f t="shared" si="16"/>
        <v>1.2373725783854293E-2</v>
      </c>
      <c r="H55" s="320">
        <f t="shared" si="17"/>
        <v>-0.16365024164054331</v>
      </c>
      <c r="I55" s="326">
        <v>244.99199999999999</v>
      </c>
      <c r="J55" s="130">
        <v>2612.0145600000001</v>
      </c>
      <c r="K55" s="320">
        <f t="shared" si="18"/>
        <v>1.4127904965111585E-2</v>
      </c>
    </row>
    <row r="56" spans="1:11" ht="11.1" customHeight="1">
      <c r="A56" s="433"/>
      <c r="B56" s="433"/>
      <c r="C56" s="331" t="s">
        <v>0</v>
      </c>
      <c r="D56" s="334">
        <v>135391</v>
      </c>
      <c r="E56" s="332">
        <v>16559.2</v>
      </c>
      <c r="F56" s="332">
        <v>181099.65499999994</v>
      </c>
      <c r="G56" s="333">
        <f>SUM(G51:G55)</f>
        <v>1</v>
      </c>
      <c r="H56" s="333">
        <f t="shared" ref="H56" si="19">(E56-I56)/I56</f>
        <v>-4.5083905195778748E-2</v>
      </c>
      <c r="I56" s="334">
        <v>17341</v>
      </c>
      <c r="J56" s="332">
        <v>184882.53738999995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79</v>
      </c>
      <c r="E57" s="321">
        <f>E39+E45+E51</f>
        <v>26482.453000000001</v>
      </c>
      <c r="F57" s="321">
        <f>F39+F45+F51</f>
        <v>288326.45113999996</v>
      </c>
      <c r="G57" s="322">
        <f>E57/$E$62</f>
        <v>0.64164109708526151</v>
      </c>
      <c r="H57" s="322">
        <f>(E57-I57)/I57</f>
        <v>-0.155116378000375</v>
      </c>
      <c r="I57" s="325">
        <f>I39+I45+I51</f>
        <v>31344.498</v>
      </c>
      <c r="J57" s="321">
        <f>J39+J45+J51</f>
        <v>334352.68764999992</v>
      </c>
      <c r="K57" s="322">
        <f>I57/$I$62</f>
        <v>0.64293372825487205</v>
      </c>
    </row>
    <row r="58" spans="1:11" ht="11.1" customHeight="1">
      <c r="A58" s="428"/>
      <c r="B58" s="428"/>
      <c r="C58" s="155" t="s">
        <v>5</v>
      </c>
      <c r="D58" s="326">
        <f>D52</f>
        <v>277</v>
      </c>
      <c r="E58" s="130">
        <f t="shared" ref="E58:F59" si="20">E40+E46+E52</f>
        <v>4005.915</v>
      </c>
      <c r="F58" s="130">
        <f t="shared" si="20"/>
        <v>43635.58348999999</v>
      </c>
      <c r="G58" s="320">
        <f t="shared" ref="G58:G61" si="21">E58/$E$62</f>
        <v>9.7058973178591315E-2</v>
      </c>
      <c r="H58" s="320">
        <f t="shared" ref="H58:H61" si="22">(E58-I58)/I58</f>
        <v>-0.24884553960229966</v>
      </c>
      <c r="I58" s="326">
        <f t="shared" ref="I58:J58" si="23">I40+I46+I52</f>
        <v>5333.0109999999995</v>
      </c>
      <c r="J58" s="130">
        <f t="shared" si="23"/>
        <v>56882.974010000005</v>
      </c>
      <c r="K58" s="320">
        <f t="shared" ref="K58:K61" si="24">I58/$I$62</f>
        <v>0.10938993647479195</v>
      </c>
    </row>
    <row r="59" spans="1:11" ht="11.1" customHeight="1">
      <c r="A59" s="428"/>
      <c r="B59" s="428"/>
      <c r="C59" s="155" t="s">
        <v>6</v>
      </c>
      <c r="D59" s="326">
        <f>D53</f>
        <v>11307</v>
      </c>
      <c r="E59" s="130">
        <f>E41+E47+E53</f>
        <v>3965.203</v>
      </c>
      <c r="F59" s="130">
        <f t="shared" si="20"/>
        <v>43215.942009999999</v>
      </c>
      <c r="G59" s="320">
        <f t="shared" si="21"/>
        <v>9.6072565599786774E-2</v>
      </c>
      <c r="H59" s="320">
        <f t="shared" si="22"/>
        <v>0.13954141338434242</v>
      </c>
      <c r="I59" s="326">
        <f>I41+I47+I53</f>
        <v>3479.6479999999997</v>
      </c>
      <c r="J59" s="130">
        <f t="shared" ref="J59" si="25">J41+J47+J53</f>
        <v>37111.90178</v>
      </c>
      <c r="K59" s="320">
        <f t="shared" si="24"/>
        <v>7.1374027481780331E-2</v>
      </c>
    </row>
    <row r="60" spans="1:11" ht="11.1" customHeight="1">
      <c r="A60" s="428"/>
      <c r="B60" s="428"/>
      <c r="C60" s="155" t="s">
        <v>7</v>
      </c>
      <c r="D60" s="326">
        <f>D54</f>
        <v>123714</v>
      </c>
      <c r="E60" s="130">
        <f t="shared" ref="E60:F61" si="26">E42+E48+E54</f>
        <v>6129.7000000000007</v>
      </c>
      <c r="F60" s="130">
        <f t="shared" si="26"/>
        <v>66814.399999999994</v>
      </c>
      <c r="G60" s="320">
        <f t="shared" si="21"/>
        <v>0.14851597896930196</v>
      </c>
      <c r="H60" s="320">
        <f t="shared" si="22"/>
        <v>-0.22315442620873194</v>
      </c>
      <c r="I60" s="326">
        <f t="shared" ref="I60:J60" si="27">I42+I48+I54</f>
        <v>7890.5</v>
      </c>
      <c r="J60" s="130">
        <f t="shared" si="27"/>
        <v>84155.199999999997</v>
      </c>
      <c r="K60" s="320">
        <f t="shared" si="24"/>
        <v>0.16184877431423747</v>
      </c>
    </row>
    <row r="61" spans="1:11" ht="11.1" customHeight="1">
      <c r="A61" s="428"/>
      <c r="B61" s="428"/>
      <c r="C61" s="155" t="s">
        <v>93</v>
      </c>
      <c r="D61" s="326">
        <f>D55</f>
        <v>14</v>
      </c>
      <c r="E61" s="130">
        <f>E43+E49+E55</f>
        <v>689.72900000000004</v>
      </c>
      <c r="F61" s="130">
        <f t="shared" si="26"/>
        <v>7506.2156599999998</v>
      </c>
      <c r="G61" s="320">
        <f t="shared" si="21"/>
        <v>1.6711385167058366E-2</v>
      </c>
      <c r="H61" s="320">
        <f t="shared" si="22"/>
        <v>-2.1165327690759701E-2</v>
      </c>
      <c r="I61" s="326">
        <f>I43+I49+I55</f>
        <v>704.64300000000003</v>
      </c>
      <c r="J61" s="130">
        <f t="shared" ref="J61" si="28">J43+J49+J55</f>
        <v>7516.1821600000003</v>
      </c>
      <c r="K61" s="320">
        <f t="shared" si="24"/>
        <v>1.4453533474318134E-2</v>
      </c>
    </row>
    <row r="62" spans="1:11" ht="11.1" customHeight="1">
      <c r="A62" s="433"/>
      <c r="B62" s="433"/>
      <c r="C62" s="331" t="s">
        <v>0</v>
      </c>
      <c r="D62" s="334">
        <f>SUM(D57:D61)</f>
        <v>135391</v>
      </c>
      <c r="E62" s="332">
        <f>SUM(E57:E61)</f>
        <v>41273.000000000007</v>
      </c>
      <c r="F62" s="332">
        <f>SUM(F57:F61)</f>
        <v>449498.5922999999</v>
      </c>
      <c r="G62" s="333">
        <f>SUM(G57:G61)</f>
        <v>1</v>
      </c>
      <c r="H62" s="333">
        <f>(E62-I62)/I62</f>
        <v>-0.15341430045351698</v>
      </c>
      <c r="I62" s="334">
        <f>SUM(I57:I61)</f>
        <v>48752.3</v>
      </c>
      <c r="J62" s="332">
        <f>SUM(J57:J61)</f>
        <v>520018.94559999998</v>
      </c>
      <c r="K62" s="333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310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43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85</v>
      </c>
      <c r="E9" s="321">
        <v>9309.7150000000001</v>
      </c>
      <c r="F9" s="321">
        <v>101194.72576999998</v>
      </c>
      <c r="G9" s="322">
        <f>E9/$E$14</f>
        <v>0.71563648243523703</v>
      </c>
      <c r="H9" s="322">
        <f>(E9-I9)/I9</f>
        <v>2.6199228292884623E-3</v>
      </c>
      <c r="I9" s="325">
        <v>9285.387999999999</v>
      </c>
      <c r="J9" s="321">
        <v>99163.259840000057</v>
      </c>
      <c r="K9" s="322">
        <f>I9/$I$14</f>
        <v>0.69184484248800404</v>
      </c>
    </row>
    <row r="10" spans="1:16" ht="11.1" customHeight="1">
      <c r="A10" s="428"/>
      <c r="B10" s="428"/>
      <c r="C10" s="155" t="s">
        <v>5</v>
      </c>
      <c r="D10" s="326">
        <v>331</v>
      </c>
      <c r="E10" s="130">
        <v>1093.2350000000001</v>
      </c>
      <c r="F10" s="130">
        <v>11883.370899999994</v>
      </c>
      <c r="G10" s="320">
        <f>E10/$E$14</f>
        <v>8.4036820662618181E-2</v>
      </c>
      <c r="H10" s="320">
        <f>(E10-I10)/I10</f>
        <v>-8.994686532027725E-2</v>
      </c>
      <c r="I10" s="326">
        <v>1201.287</v>
      </c>
      <c r="J10" s="130">
        <v>12828.79556</v>
      </c>
      <c r="K10" s="320">
        <f>I10/$I$14</f>
        <v>8.9506676005126226E-2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11905</v>
      </c>
      <c r="E11" s="130">
        <v>1079.8620000000001</v>
      </c>
      <c r="F11" s="130">
        <v>11738.23626</v>
      </c>
      <c r="G11" s="320">
        <f>E11/$E$14</f>
        <v>8.3008840033822737E-2</v>
      </c>
      <c r="H11" s="320">
        <f t="shared" ref="H11:H13" si="0">(E11-I11)/I11</f>
        <v>0.13555053372437734</v>
      </c>
      <c r="I11" s="326">
        <v>950.95899999999995</v>
      </c>
      <c r="J11" s="130">
        <v>10155.590689999999</v>
      </c>
      <c r="K11" s="320">
        <f>I11/$I$14</f>
        <v>7.0854990611867799E-2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146667</v>
      </c>
      <c r="E12" s="130">
        <v>1377.1</v>
      </c>
      <c r="F12" s="130">
        <v>14968.8</v>
      </c>
      <c r="G12" s="320">
        <f>E12/$E$14</f>
        <v>0.10585748328080558</v>
      </c>
      <c r="H12" s="320">
        <f t="shared" si="0"/>
        <v>-0.24414073220264568</v>
      </c>
      <c r="I12" s="326">
        <v>1821.9</v>
      </c>
      <c r="J12" s="130">
        <v>19456.900000000001</v>
      </c>
      <c r="K12" s="320">
        <f>I12/$I$14</f>
        <v>0.13574792119929666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14</v>
      </c>
      <c r="E13" s="130">
        <v>149.08799999999999</v>
      </c>
      <c r="F13" s="130">
        <v>1620.5561999999995</v>
      </c>
      <c r="G13" s="320">
        <f>E13/$E$14</f>
        <v>1.1460373587516334E-2</v>
      </c>
      <c r="H13" s="320">
        <f t="shared" si="0"/>
        <v>-7.7802382690237912E-2</v>
      </c>
      <c r="I13" s="326">
        <v>161.666</v>
      </c>
      <c r="J13" s="130">
        <v>1726.5072400000001</v>
      </c>
      <c r="K13" s="320">
        <f>I13/$I$14</f>
        <v>1.2045569695705303E-2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159002</v>
      </c>
      <c r="E14" s="332">
        <v>13009.000000000002</v>
      </c>
      <c r="F14" s="332">
        <v>141405.68912999996</v>
      </c>
      <c r="G14" s="333">
        <f>SUM(G9:G13)</f>
        <v>0.99999999999999978</v>
      </c>
      <c r="H14" s="333">
        <f>(E14-I14)/I14</f>
        <v>-3.0712603940034954E-2</v>
      </c>
      <c r="I14" s="334">
        <v>13421.199999999999</v>
      </c>
      <c r="J14" s="332">
        <v>143331.05333000005</v>
      </c>
      <c r="K14" s="333">
        <f>SUM(K9:K13)</f>
        <v>1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85</v>
      </c>
      <c r="E15" s="321">
        <v>10029.094999999999</v>
      </c>
      <c r="F15" s="321">
        <v>108821.20885000004</v>
      </c>
      <c r="G15" s="322">
        <f>E15/$E$20</f>
        <v>0.73106352735357372</v>
      </c>
      <c r="H15" s="322">
        <f>(E15-I15)/I15</f>
        <v>-9.3382031759623146E-2</v>
      </c>
      <c r="I15" s="325">
        <v>11062.096</v>
      </c>
      <c r="J15" s="321">
        <v>117915.85770999995</v>
      </c>
      <c r="K15" s="322">
        <f>I15/$I$20</f>
        <v>0.68615762507908551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333</v>
      </c>
      <c r="E16" s="130">
        <v>1149.212</v>
      </c>
      <c r="F16" s="130">
        <v>12469.220419999998</v>
      </c>
      <c r="G16" s="320">
        <f>E16/$E$20</f>
        <v>8.3770966213507311E-2</v>
      </c>
      <c r="H16" s="320">
        <f>(E16-I16)/I16</f>
        <v>-0.21075428768433796</v>
      </c>
      <c r="I16" s="326">
        <v>1456.0889999999999</v>
      </c>
      <c r="J16" s="130">
        <v>15521.630309999995</v>
      </c>
      <c r="K16" s="320">
        <f>I16/$I$20</f>
        <v>9.0318016598642831E-2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11890</v>
      </c>
      <c r="E17" s="130">
        <v>1065.3919999999998</v>
      </c>
      <c r="F17" s="130">
        <v>11560.08784</v>
      </c>
      <c r="G17" s="320">
        <f>E17/$E$20</f>
        <v>7.7660968764806645E-2</v>
      </c>
      <c r="H17" s="320">
        <f t="shared" ref="H17:H20" si="1">(E17-I17)/I17</f>
        <v>-7.7990603291530888E-2</v>
      </c>
      <c r="I17" s="326">
        <v>1155.511</v>
      </c>
      <c r="J17" s="130">
        <v>12316.621289999999</v>
      </c>
      <c r="K17" s="320">
        <f>I17/$I$20</f>
        <v>7.1673820541130639E-2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146452</v>
      </c>
      <c r="E18" s="130">
        <v>1329</v>
      </c>
      <c r="F18" s="130">
        <v>14419.9</v>
      </c>
      <c r="G18" s="320">
        <f>E18/$E$20</f>
        <v>9.6876480664795733E-2</v>
      </c>
      <c r="H18" s="320">
        <f t="shared" si="1"/>
        <v>-0.41590119984177915</v>
      </c>
      <c r="I18" s="326">
        <v>2275.3000000000002</v>
      </c>
      <c r="J18" s="130">
        <v>24253.599999999999</v>
      </c>
      <c r="K18" s="320">
        <f>I18/$I$20</f>
        <v>0.14113188353657782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14</v>
      </c>
      <c r="E19" s="130">
        <v>145.80099999999999</v>
      </c>
      <c r="F19" s="130">
        <v>1582.02226</v>
      </c>
      <c r="G19" s="320">
        <f>E19/$E$20</f>
        <v>1.062805700331669E-2</v>
      </c>
      <c r="H19" s="320">
        <f t="shared" si="1"/>
        <v>-0.15626374389481734</v>
      </c>
      <c r="I19" s="326">
        <v>172.804</v>
      </c>
      <c r="J19" s="130">
        <v>1841.9967000000001</v>
      </c>
      <c r="K19" s="320">
        <f>I19/$I$20</f>
        <v>1.0718654244563263E-2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158774</v>
      </c>
      <c r="E20" s="332">
        <v>13718.499999999998</v>
      </c>
      <c r="F20" s="332">
        <v>148852.43937000004</v>
      </c>
      <c r="G20" s="333">
        <f>SUM(G15:G19)</f>
        <v>1</v>
      </c>
      <c r="H20" s="333">
        <f t="shared" si="1"/>
        <v>-0.14907144363532615</v>
      </c>
      <c r="I20" s="334">
        <v>16121.8</v>
      </c>
      <c r="J20" s="332">
        <v>171849.70600999997</v>
      </c>
      <c r="K20" s="333">
        <f>SUM(K15:K19)</f>
        <v>1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84</v>
      </c>
      <c r="E21" s="321">
        <v>10895.047</v>
      </c>
      <c r="F21" s="321">
        <v>119154.36731</v>
      </c>
      <c r="G21" s="322">
        <f>E21/$E$26</f>
        <v>0.60913485891278707</v>
      </c>
      <c r="H21" s="322">
        <f>(E21-I21)/I21</f>
        <v>-5.8391651725162468E-2</v>
      </c>
      <c r="I21" s="325">
        <v>11570.678</v>
      </c>
      <c r="J21" s="321">
        <v>123362.17784</v>
      </c>
      <c r="K21" s="322">
        <f>I21/$I$26</f>
        <v>0.62760985240913214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332</v>
      </c>
      <c r="E22" s="130">
        <v>1713.6409999999998</v>
      </c>
      <c r="F22" s="130">
        <v>18741.336750000009</v>
      </c>
      <c r="G22" s="320">
        <f>E22/$E$26</f>
        <v>9.5808532883076808E-2</v>
      </c>
      <c r="H22" s="320">
        <f t="shared" ref="H22:H26" si="2">(E22-I22)/I22</f>
        <v>-3.8707154885838098E-2</v>
      </c>
      <c r="I22" s="326">
        <v>1782.6420000000001</v>
      </c>
      <c r="J22" s="130">
        <v>19005.363950000003</v>
      </c>
      <c r="K22" s="320">
        <f>I22/$I$26</f>
        <v>9.6693009909905037E-2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11858</v>
      </c>
      <c r="E23" s="130">
        <v>2201.9169999999999</v>
      </c>
      <c r="F23" s="130">
        <v>24081.150089999999</v>
      </c>
      <c r="G23" s="320">
        <f>E23/$E$26</f>
        <v>0.12310772052040411</v>
      </c>
      <c r="H23" s="320">
        <f t="shared" si="2"/>
        <v>0.28737865326463918</v>
      </c>
      <c r="I23" s="326">
        <v>1710.3880000000001</v>
      </c>
      <c r="J23" s="130">
        <v>18235.229619999998</v>
      </c>
      <c r="K23" s="320">
        <f>I23/$I$26</f>
        <v>9.2773851302607402E-2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146269</v>
      </c>
      <c r="E24" s="130">
        <v>2960.2</v>
      </c>
      <c r="F24" s="130">
        <v>32373.9</v>
      </c>
      <c r="G24" s="320">
        <f>E24/$E$26</f>
        <v>0.16550282062607277</v>
      </c>
      <c r="H24" s="320">
        <f t="shared" si="2"/>
        <v>-7.3982544499014619E-2</v>
      </c>
      <c r="I24" s="326">
        <v>3196.7</v>
      </c>
      <c r="J24" s="130">
        <v>34081.800000000003</v>
      </c>
      <c r="K24" s="320">
        <f>I24/$I$26</f>
        <v>0.17339350513394916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14</v>
      </c>
      <c r="E25" s="130">
        <v>115.295</v>
      </c>
      <c r="F25" s="130">
        <v>1260.9304000000002</v>
      </c>
      <c r="G25" s="320">
        <f>E25/$E$26</f>
        <v>6.4460670576593007E-3</v>
      </c>
      <c r="H25" s="320">
        <f t="shared" si="2"/>
        <v>-0.34376636386403481</v>
      </c>
      <c r="I25" s="326">
        <v>175.69200000000001</v>
      </c>
      <c r="J25" s="130">
        <v>1873.1607800000002</v>
      </c>
      <c r="K25" s="320">
        <f>I25/$I$26</f>
        <v>9.5297812444063556E-3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158557</v>
      </c>
      <c r="E26" s="332">
        <v>17886.099999999999</v>
      </c>
      <c r="F26" s="332">
        <v>195611.68455000003</v>
      </c>
      <c r="G26" s="333">
        <f>SUM(G21:G25)</f>
        <v>1</v>
      </c>
      <c r="H26" s="333">
        <f t="shared" si="2"/>
        <v>-2.9832773742819795E-2</v>
      </c>
      <c r="I26" s="334">
        <v>18436.099999999999</v>
      </c>
      <c r="J26" s="332">
        <v>196557.73219000004</v>
      </c>
      <c r="K26" s="333">
        <f>SUM(K21:K25)</f>
        <v>1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84</v>
      </c>
      <c r="E27" s="321">
        <f>E9+E15+E21</f>
        <v>30233.856999999996</v>
      </c>
      <c r="F27" s="321">
        <f>F9+F15+F21</f>
        <v>329170.30193000002</v>
      </c>
      <c r="G27" s="322">
        <f>E27/$E$32</f>
        <v>0.677682522818154</v>
      </c>
      <c r="H27" s="322">
        <f>(E27-I27)/I27</f>
        <v>-5.2769485912127413E-2</v>
      </c>
      <c r="I27" s="325">
        <f>I9+I15+I21</f>
        <v>31918.161999999997</v>
      </c>
      <c r="J27" s="321">
        <f>J9+J15+J21</f>
        <v>340441.29539000004</v>
      </c>
      <c r="K27" s="322">
        <f>I27/$I$32</f>
        <v>0.66525136986729638</v>
      </c>
    </row>
    <row r="28" spans="1:20" ht="11.1" customHeight="1">
      <c r="A28" s="428"/>
      <c r="B28" s="428"/>
      <c r="C28" s="155" t="s">
        <v>5</v>
      </c>
      <c r="D28" s="326">
        <f>D22</f>
        <v>332</v>
      </c>
      <c r="E28" s="130">
        <f t="shared" ref="E28:F31" si="3">E10+E16+E22</f>
        <v>3956.0879999999997</v>
      </c>
      <c r="F28" s="130">
        <f t="shared" si="3"/>
        <v>43093.928070000002</v>
      </c>
      <c r="G28" s="320">
        <f>E28/$E$32</f>
        <v>8.8674484910430895E-2</v>
      </c>
      <c r="H28" s="320">
        <f t="shared" ref="H28:H31" si="4">(E28-I28)/I28</f>
        <v>-0.10899280138053501</v>
      </c>
      <c r="I28" s="326">
        <f t="shared" ref="I28:J28" si="5">I10+I16+I22</f>
        <v>4440.018</v>
      </c>
      <c r="J28" s="130">
        <f t="shared" si="5"/>
        <v>47355.789819999998</v>
      </c>
      <c r="K28" s="320">
        <f>I28/$I$32</f>
        <v>9.2540668749518037E-2</v>
      </c>
    </row>
    <row r="29" spans="1:20" ht="11.1" customHeight="1">
      <c r="A29" s="428"/>
      <c r="B29" s="428"/>
      <c r="C29" s="155" t="s">
        <v>6</v>
      </c>
      <c r="D29" s="326">
        <f>D23</f>
        <v>11858</v>
      </c>
      <c r="E29" s="130">
        <f t="shared" si="3"/>
        <v>4347.1710000000003</v>
      </c>
      <c r="F29" s="130">
        <f t="shared" si="3"/>
        <v>47379.474189999994</v>
      </c>
      <c r="G29" s="320">
        <f>E29/$E$32</f>
        <v>9.7440488998870312E-2</v>
      </c>
      <c r="H29" s="320">
        <f t="shared" si="4"/>
        <v>0.13893967236926291</v>
      </c>
      <c r="I29" s="326">
        <f t="shared" ref="I29:J29" si="6">I11+I17+I23</f>
        <v>3816.8580000000002</v>
      </c>
      <c r="J29" s="130">
        <f t="shared" si="6"/>
        <v>40707.441599999998</v>
      </c>
      <c r="K29" s="320">
        <f>I29/$I$32</f>
        <v>7.9552513490248902E-2</v>
      </c>
    </row>
    <row r="30" spans="1:20" ht="11.1" customHeight="1">
      <c r="A30" s="428"/>
      <c r="B30" s="428"/>
      <c r="C30" s="155" t="s">
        <v>7</v>
      </c>
      <c r="D30" s="326">
        <f>D24</f>
        <v>146269</v>
      </c>
      <c r="E30" s="130">
        <f t="shared" si="3"/>
        <v>5666.2999999999993</v>
      </c>
      <c r="F30" s="130">
        <f t="shared" si="3"/>
        <v>61762.6</v>
      </c>
      <c r="G30" s="320">
        <f>E30/$E$32</f>
        <v>0.12700835619631681</v>
      </c>
      <c r="H30" s="320">
        <f t="shared" si="4"/>
        <v>-0.22314536804727253</v>
      </c>
      <c r="I30" s="326">
        <f t="shared" ref="I30:J30" si="7">I12+I18+I24</f>
        <v>7293.9000000000005</v>
      </c>
      <c r="J30" s="130">
        <f t="shared" si="7"/>
        <v>77792.3</v>
      </c>
      <c r="K30" s="320">
        <f>I30/$I$32</f>
        <v>0.15202244310543553</v>
      </c>
    </row>
    <row r="31" spans="1:20" ht="11.1" customHeight="1">
      <c r="A31" s="428"/>
      <c r="B31" s="428"/>
      <c r="C31" s="155" t="s">
        <v>93</v>
      </c>
      <c r="D31" s="326">
        <f>D25</f>
        <v>14</v>
      </c>
      <c r="E31" s="130">
        <f>E13+E19+E25</f>
        <v>410.18400000000003</v>
      </c>
      <c r="F31" s="130">
        <f t="shared" si="3"/>
        <v>4463.5088599999999</v>
      </c>
      <c r="G31" s="320">
        <f>E31/$E$32</f>
        <v>9.1941470762278779E-3</v>
      </c>
      <c r="H31" s="320">
        <f t="shared" si="4"/>
        <v>-0.19597304385665731</v>
      </c>
      <c r="I31" s="326">
        <f>I13+I19+I25</f>
        <v>510.16200000000003</v>
      </c>
      <c r="J31" s="130">
        <f t="shared" ref="J31" si="8">J13+J19+J25</f>
        <v>5441.6647200000007</v>
      </c>
      <c r="K31" s="320">
        <f>I31/$I$32</f>
        <v>1.0633004787501227E-2</v>
      </c>
    </row>
    <row r="32" spans="1:20" ht="11.1" customHeight="1">
      <c r="A32" s="433"/>
      <c r="B32" s="433"/>
      <c r="C32" s="331" t="s">
        <v>0</v>
      </c>
      <c r="D32" s="334">
        <f>SUM(D27:D31)</f>
        <v>158557</v>
      </c>
      <c r="E32" s="332">
        <f>SUM(E27:E31)</f>
        <v>44613.599999999999</v>
      </c>
      <c r="F32" s="332">
        <f>SUM(F27:F31)</f>
        <v>485869.81305</v>
      </c>
      <c r="G32" s="333">
        <f>SUM(G27:G31)</f>
        <v>0.99999999999999978</v>
      </c>
      <c r="H32" s="333">
        <f>(E32-I32)/I32</f>
        <v>-7.0145125690144111E-2</v>
      </c>
      <c r="I32" s="334">
        <f>SUM(I27:I31)</f>
        <v>47979.099999999991</v>
      </c>
      <c r="J32" s="332">
        <f>SUM(J27:J31)</f>
        <v>511738.49153000006</v>
      </c>
      <c r="K32" s="333">
        <f>SUM(K27:K31)</f>
        <v>1.0000000000000002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90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142</v>
      </c>
      <c r="E39" s="321">
        <v>7169.5079277696077</v>
      </c>
      <c r="F39" s="321">
        <v>78492.360530000005</v>
      </c>
      <c r="G39" s="322">
        <f>E39/$E$44</f>
        <v>0.3991405020604753</v>
      </c>
      <c r="H39" s="322">
        <f>(E39-I39)/I39</f>
        <v>-0.11295242657981124</v>
      </c>
      <c r="I39" s="325">
        <v>8082.4390287503302</v>
      </c>
      <c r="J39" s="321">
        <v>86246.379189999992</v>
      </c>
      <c r="K39" s="322">
        <f>I39/$I$44</f>
        <v>0.3970279190435046</v>
      </c>
    </row>
    <row r="40" spans="1:11" ht="11.1" customHeight="1">
      <c r="A40" s="428"/>
      <c r="B40" s="428"/>
      <c r="C40" s="155" t="s">
        <v>5</v>
      </c>
      <c r="D40" s="326">
        <v>1520</v>
      </c>
      <c r="E40" s="130">
        <v>3034.7524706894715</v>
      </c>
      <c r="F40" s="130">
        <v>33224.724369999996</v>
      </c>
      <c r="G40" s="320">
        <f t="shared" ref="G40" si="9">E40/$E$44</f>
        <v>0.16895059423654052</v>
      </c>
      <c r="H40" s="320">
        <f>(E40-I40)/I40</f>
        <v>-0.24236744373813984</v>
      </c>
      <c r="I40" s="326">
        <v>4005.5729464199153</v>
      </c>
      <c r="J40" s="130">
        <v>42742.81493</v>
      </c>
      <c r="K40" s="320">
        <f t="shared" ref="K40:K43" si="10">I40/$I$44</f>
        <v>0.19676291845036623</v>
      </c>
    </row>
    <row r="41" spans="1:11" ht="11.1" customHeight="1">
      <c r="A41" s="428"/>
      <c r="B41" s="428"/>
      <c r="C41" s="155" t="s">
        <v>6</v>
      </c>
      <c r="D41" s="326">
        <v>38062</v>
      </c>
      <c r="E41" s="130">
        <v>2549.2702093226212</v>
      </c>
      <c r="F41" s="130">
        <v>27909.623887760899</v>
      </c>
      <c r="G41" s="320">
        <f>E41/$E$44</f>
        <v>0.14192284902785338</v>
      </c>
      <c r="H41" s="320">
        <f t="shared" ref="H41:H43" si="11">(E41-I41)/I41</f>
        <v>-8.8677451531654045E-2</v>
      </c>
      <c r="I41" s="326">
        <v>2797.3303344761562</v>
      </c>
      <c r="J41" s="130">
        <v>29849.8552851108</v>
      </c>
      <c r="K41" s="320">
        <f t="shared" si="10"/>
        <v>0.13741127370385592</v>
      </c>
    </row>
    <row r="42" spans="1:11" ht="11.1" customHeight="1">
      <c r="A42" s="428"/>
      <c r="B42" s="428"/>
      <c r="C42" s="155" t="s">
        <v>7</v>
      </c>
      <c r="D42" s="326">
        <v>370903</v>
      </c>
      <c r="E42" s="130">
        <v>4287.2535425821588</v>
      </c>
      <c r="F42" s="130">
        <v>46937.211068234639</v>
      </c>
      <c r="G42" s="320">
        <f>E42/$E$44</f>
        <v>0.23867977393800632</v>
      </c>
      <c r="H42" s="320">
        <f t="shared" si="11"/>
        <v>1.2481953730510515E-2</v>
      </c>
      <c r="I42" s="326">
        <v>4234.3999582270926</v>
      </c>
      <c r="J42" s="130">
        <v>45184.590612902211</v>
      </c>
      <c r="K42" s="320">
        <f t="shared" si="10"/>
        <v>0.2080034254304472</v>
      </c>
    </row>
    <row r="43" spans="1:11" ht="11.1" customHeight="1">
      <c r="A43" s="428"/>
      <c r="B43" s="428"/>
      <c r="C43" s="155" t="s">
        <v>93</v>
      </c>
      <c r="D43" s="326">
        <v>38</v>
      </c>
      <c r="E43" s="130">
        <v>921.58221125215266</v>
      </c>
      <c r="F43" s="130">
        <v>10089.559279999999</v>
      </c>
      <c r="G43" s="320">
        <f>E43/$E$44</f>
        <v>5.1306280737124496E-2</v>
      </c>
      <c r="H43" s="320">
        <f t="shared" si="11"/>
        <v>-0.25535605188052779</v>
      </c>
      <c r="I43" s="326">
        <v>1237.614585574114</v>
      </c>
      <c r="J43" s="130">
        <v>13206.383179999999</v>
      </c>
      <c r="K43" s="320">
        <f t="shared" si="10"/>
        <v>6.0794463371826118E-2</v>
      </c>
    </row>
    <row r="44" spans="1:11" ht="11.1" customHeight="1">
      <c r="A44" s="433"/>
      <c r="B44" s="433"/>
      <c r="C44" s="331" t="s">
        <v>0</v>
      </c>
      <c r="D44" s="334">
        <v>410665</v>
      </c>
      <c r="E44" s="332">
        <v>17962.366361616012</v>
      </c>
      <c r="F44" s="332">
        <v>196653.47913599553</v>
      </c>
      <c r="G44" s="333">
        <f>SUM(G39:G43)</f>
        <v>1</v>
      </c>
      <c r="H44" s="333">
        <f>(E44-I44)/I44</f>
        <v>-0.11764741901775884</v>
      </c>
      <c r="I44" s="334">
        <v>20357.356853447607</v>
      </c>
      <c r="J44" s="332">
        <v>217230.02319801302</v>
      </c>
      <c r="K44" s="333">
        <f>SUM(K39:K43)</f>
        <v>1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142</v>
      </c>
      <c r="E45" s="321">
        <v>7053.3629586765264</v>
      </c>
      <c r="F45" s="321">
        <v>76904.776819999999</v>
      </c>
      <c r="G45" s="322">
        <f>E45/$E$50</f>
        <v>0.40209207147664883</v>
      </c>
      <c r="H45" s="322">
        <f>(E45-I45)/I45</f>
        <v>6.8921498099179954E-2</v>
      </c>
      <c r="I45" s="325">
        <v>6598.5790081116693</v>
      </c>
      <c r="J45" s="321">
        <v>70226.732780000006</v>
      </c>
      <c r="K45" s="322">
        <f>I45/$I$50</f>
        <v>0.31806106083572444</v>
      </c>
    </row>
    <row r="46" spans="1:11" ht="11.1" customHeight="1">
      <c r="A46" s="428"/>
      <c r="B46" s="428"/>
      <c r="C46" s="155" t="s">
        <v>5</v>
      </c>
      <c r="D46" s="326">
        <v>1526</v>
      </c>
      <c r="E46" s="130">
        <v>3102.4356851734974</v>
      </c>
      <c r="F46" s="130">
        <v>33826.704290000001</v>
      </c>
      <c r="G46" s="320">
        <f t="shared" ref="G46:G49" si="12">E46/$E$50</f>
        <v>0.17686099504349892</v>
      </c>
      <c r="H46" s="320">
        <f>(E46-I46)/I46</f>
        <v>-0.29067707459889652</v>
      </c>
      <c r="I46" s="326">
        <v>4373.7986946060591</v>
      </c>
      <c r="J46" s="130">
        <v>46549.054689999997</v>
      </c>
      <c r="K46" s="320">
        <f t="shared" ref="K46:K49" si="13">I46/$I$50</f>
        <v>0.2108234289501088</v>
      </c>
    </row>
    <row r="47" spans="1:11" ht="11.1" customHeight="1">
      <c r="A47" s="428"/>
      <c r="B47" s="428"/>
      <c r="C47" s="155" t="s">
        <v>6</v>
      </c>
      <c r="D47" s="326">
        <v>38052</v>
      </c>
      <c r="E47" s="130">
        <v>2510.6804145248434</v>
      </c>
      <c r="F47" s="130">
        <v>27374.634824727102</v>
      </c>
      <c r="G47" s="320">
        <f t="shared" si="12"/>
        <v>0.14312671765321575</v>
      </c>
      <c r="H47" s="320">
        <f t="shared" ref="H47:H49" si="14">(E47-I47)/I47</f>
        <v>-0.27789912404337663</v>
      </c>
      <c r="I47" s="326">
        <v>3476.9109110950035</v>
      </c>
      <c r="J47" s="130">
        <v>37003.741473610804</v>
      </c>
      <c r="K47" s="320">
        <f t="shared" si="13"/>
        <v>0.16759213937648243</v>
      </c>
    </row>
    <row r="48" spans="1:11" ht="11.1" customHeight="1">
      <c r="A48" s="428"/>
      <c r="B48" s="428"/>
      <c r="C48" s="155" t="s">
        <v>7</v>
      </c>
      <c r="D48" s="326">
        <v>370446</v>
      </c>
      <c r="E48" s="130">
        <v>4024.5539821553302</v>
      </c>
      <c r="F48" s="130">
        <v>43880.812132257655</v>
      </c>
      <c r="G48" s="320">
        <f t="shared" si="12"/>
        <v>0.22942832474880537</v>
      </c>
      <c r="H48" s="320">
        <f t="shared" si="14"/>
        <v>-0.19540595735570293</v>
      </c>
      <c r="I48" s="326">
        <v>5001.9684074824117</v>
      </c>
      <c r="J48" s="130">
        <v>53234.480417375999</v>
      </c>
      <c r="K48" s="320">
        <f t="shared" si="13"/>
        <v>0.24110211850080063</v>
      </c>
    </row>
    <row r="49" spans="1:11" ht="11.1" customHeight="1">
      <c r="A49" s="428"/>
      <c r="B49" s="428"/>
      <c r="C49" s="155" t="s">
        <v>93</v>
      </c>
      <c r="D49" s="326">
        <v>38</v>
      </c>
      <c r="E49" s="130">
        <v>850.62833263156119</v>
      </c>
      <c r="F49" s="130">
        <v>9274.6332199999997</v>
      </c>
      <c r="G49" s="320">
        <f t="shared" si="12"/>
        <v>4.8491891077831341E-2</v>
      </c>
      <c r="H49" s="320">
        <f t="shared" si="14"/>
        <v>-0.34314811803241624</v>
      </c>
      <c r="I49" s="326">
        <v>1295.0078335522535</v>
      </c>
      <c r="J49" s="130">
        <v>13782.387959999998</v>
      </c>
      <c r="K49" s="320">
        <f t="shared" si="13"/>
        <v>6.2421252336883816E-2</v>
      </c>
    </row>
    <row r="50" spans="1:11" ht="11.1" customHeight="1">
      <c r="A50" s="433"/>
      <c r="B50" s="433"/>
      <c r="C50" s="331" t="s">
        <v>0</v>
      </c>
      <c r="D50" s="334">
        <v>410204</v>
      </c>
      <c r="E50" s="332">
        <v>17541.661373161754</v>
      </c>
      <c r="F50" s="332">
        <v>191261.56128698474</v>
      </c>
      <c r="G50" s="333">
        <f>SUM(G45:G49)</f>
        <v>1.0000000000000002</v>
      </c>
      <c r="H50" s="333">
        <f t="shared" ref="H50" si="15">(E50-I50)/I50</f>
        <v>-0.15446652706435879</v>
      </c>
      <c r="I50" s="334">
        <v>20746.264854847395</v>
      </c>
      <c r="J50" s="332">
        <v>220796.39732098681</v>
      </c>
      <c r="K50" s="333">
        <f>SUM(K45:K49)</f>
        <v>1.0000000000000002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141</v>
      </c>
      <c r="E51" s="321">
        <v>8376.9050372697548</v>
      </c>
      <c r="F51" s="321">
        <v>92172.441930000001</v>
      </c>
      <c r="G51" s="322">
        <f>E51/$E$56</f>
        <v>0.28998434202133533</v>
      </c>
      <c r="H51" s="322">
        <f>(E51-I51)/I51</f>
        <v>3.801689656520877E-2</v>
      </c>
      <c r="I51" s="325">
        <v>8070.104701560138</v>
      </c>
      <c r="J51" s="321">
        <v>85930.487500000003</v>
      </c>
      <c r="K51" s="322">
        <f>I51/$I$56</f>
        <v>0.29737975687693663</v>
      </c>
    </row>
    <row r="52" spans="1:11" ht="11.1" customHeight="1">
      <c r="A52" s="428"/>
      <c r="B52" s="428"/>
      <c r="C52" s="155" t="s">
        <v>5</v>
      </c>
      <c r="D52" s="326">
        <v>1527</v>
      </c>
      <c r="E52" s="130">
        <v>5754.0270786165256</v>
      </c>
      <c r="F52" s="130">
        <v>63312.514560000003</v>
      </c>
      <c r="G52" s="320">
        <f t="shared" ref="G52:G55" si="16">E52/$E$56</f>
        <v>0.19918785624784774</v>
      </c>
      <c r="H52" s="320">
        <f t="shared" ref="H52:H55" si="17">(E52-I52)/I52</f>
        <v>0.10620647035395515</v>
      </c>
      <c r="I52" s="326">
        <v>5201.5850863495652</v>
      </c>
      <c r="J52" s="130">
        <v>55386.478170000002</v>
      </c>
      <c r="K52" s="320">
        <f t="shared" ref="K52:K55" si="18">I52/$I$56</f>
        <v>0.19167608916576909</v>
      </c>
    </row>
    <row r="53" spans="1:11" ht="11.1" customHeight="1">
      <c r="A53" s="428"/>
      <c r="B53" s="428"/>
      <c r="C53" s="155" t="s">
        <v>6</v>
      </c>
      <c r="D53" s="326">
        <v>37847</v>
      </c>
      <c r="E53" s="130">
        <v>5796.228106256578</v>
      </c>
      <c r="F53" s="130">
        <v>63776.859468427196</v>
      </c>
      <c r="G53" s="320">
        <f t="shared" si="16"/>
        <v>0.20064873436194575</v>
      </c>
      <c r="H53" s="320">
        <f t="shared" si="17"/>
        <v>0.11502247567909295</v>
      </c>
      <c r="I53" s="326">
        <v>5198.3060724640955</v>
      </c>
      <c r="J53" s="130">
        <v>55351.563230040003</v>
      </c>
      <c r="K53" s="320">
        <f t="shared" si="18"/>
        <v>0.19155525896738657</v>
      </c>
    </row>
    <row r="54" spans="1:11" ht="11.1" customHeight="1">
      <c r="A54" s="428"/>
      <c r="B54" s="428"/>
      <c r="C54" s="155" t="s">
        <v>7</v>
      </c>
      <c r="D54" s="326">
        <v>370006</v>
      </c>
      <c r="E54" s="130">
        <v>8212.5588543316826</v>
      </c>
      <c r="F54" s="130">
        <v>90364.147567541178</v>
      </c>
      <c r="G54" s="320">
        <f t="shared" si="16"/>
        <v>0.28429515018843521</v>
      </c>
      <c r="H54" s="320">
        <f t="shared" si="17"/>
        <v>0.11204639551820419</v>
      </c>
      <c r="I54" s="326">
        <v>7385.0865282510986</v>
      </c>
      <c r="J54" s="130">
        <v>78636.401594960276</v>
      </c>
      <c r="K54" s="320">
        <f t="shared" si="18"/>
        <v>0.27213714288761093</v>
      </c>
    </row>
    <row r="55" spans="1:11" ht="11.1" customHeight="1">
      <c r="A55" s="428"/>
      <c r="B55" s="428"/>
      <c r="C55" s="155" t="s">
        <v>93</v>
      </c>
      <c r="D55" s="326">
        <v>39</v>
      </c>
      <c r="E55" s="130">
        <v>747.7200827523103</v>
      </c>
      <c r="F55" s="130">
        <v>8227.2881200000011</v>
      </c>
      <c r="G55" s="320">
        <f t="shared" si="16"/>
        <v>2.5883917180435957E-2</v>
      </c>
      <c r="H55" s="320">
        <f t="shared" si="17"/>
        <v>-0.41688614400535046</v>
      </c>
      <c r="I55" s="326">
        <v>1282.2883131063363</v>
      </c>
      <c r="J55" s="130">
        <v>13653.806</v>
      </c>
      <c r="K55" s="320">
        <f t="shared" si="18"/>
        <v>4.7251752102296797E-2</v>
      </c>
    </row>
    <row r="56" spans="1:11" ht="11.1" customHeight="1">
      <c r="A56" s="433"/>
      <c r="B56" s="433"/>
      <c r="C56" s="331" t="s">
        <v>0</v>
      </c>
      <c r="D56" s="334">
        <v>409560</v>
      </c>
      <c r="E56" s="332">
        <v>28887.439159226851</v>
      </c>
      <c r="F56" s="332">
        <v>317853.25164596835</v>
      </c>
      <c r="G56" s="333">
        <f>SUM(G51:G55)</f>
        <v>1</v>
      </c>
      <c r="H56" s="333">
        <f t="shared" ref="H56" si="19">(E56-I56)/I56</f>
        <v>6.4489241670858399E-2</v>
      </c>
      <c r="I56" s="334">
        <v>27137.370701731234</v>
      </c>
      <c r="J56" s="332">
        <v>288958.73649500031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141</v>
      </c>
      <c r="E57" s="321">
        <f>E39+E45+E51</f>
        <v>22599.77592371589</v>
      </c>
      <c r="F57" s="321">
        <f>F39+F45+F51</f>
        <v>247569.57928000001</v>
      </c>
      <c r="G57" s="322">
        <f>E57/$E$62</f>
        <v>0.35097470229894884</v>
      </c>
      <c r="H57" s="322">
        <f>(E57-I57)/I57</f>
        <v>-6.6522789422893032E-3</v>
      </c>
      <c r="I57" s="325">
        <f>I39+I45+I51</f>
        <v>22751.122738422135</v>
      </c>
      <c r="J57" s="321">
        <f>J39+J45+J51</f>
        <v>242403.59947000002</v>
      </c>
      <c r="K57" s="322">
        <f>I57/$I$62</f>
        <v>0.33339378480491516</v>
      </c>
    </row>
    <row r="58" spans="1:11" ht="11.1" customHeight="1">
      <c r="A58" s="428"/>
      <c r="B58" s="428"/>
      <c r="C58" s="155" t="s">
        <v>5</v>
      </c>
      <c r="D58" s="326">
        <f>D52</f>
        <v>1527</v>
      </c>
      <c r="E58" s="130">
        <f t="shared" ref="E58:F59" si="20">E40+E46+E52</f>
        <v>11891.215234479494</v>
      </c>
      <c r="F58" s="130">
        <f t="shared" si="20"/>
        <v>130363.94322000002</v>
      </c>
      <c r="G58" s="320">
        <f t="shared" ref="G58:G61" si="21">E58/$E$62</f>
        <v>0.18467066846067867</v>
      </c>
      <c r="H58" s="320">
        <f t="shared" ref="H58:H61" si="22">(E58-I58)/I58</f>
        <v>-0.12441991582890355</v>
      </c>
      <c r="I58" s="326">
        <f t="shared" ref="I58:J58" si="23">I40+I46+I52</f>
        <v>13580.95672737554</v>
      </c>
      <c r="J58" s="130">
        <f t="shared" si="23"/>
        <v>144678.34779</v>
      </c>
      <c r="K58" s="320">
        <f t="shared" ref="K58:K61" si="24">I58/$I$62</f>
        <v>0.19901464277914244</v>
      </c>
    </row>
    <row r="59" spans="1:11" ht="11.1" customHeight="1">
      <c r="A59" s="428"/>
      <c r="B59" s="428"/>
      <c r="C59" s="155" t="s">
        <v>6</v>
      </c>
      <c r="D59" s="326">
        <f>D53</f>
        <v>37847</v>
      </c>
      <c r="E59" s="130">
        <f>E41+E47+E53</f>
        <v>10856.178730104042</v>
      </c>
      <c r="F59" s="130">
        <f t="shared" si="20"/>
        <v>119061.11818091519</v>
      </c>
      <c r="G59" s="320">
        <f t="shared" si="21"/>
        <v>0.16859654320306908</v>
      </c>
      <c r="H59" s="320">
        <f t="shared" si="22"/>
        <v>-5.3725521529317269E-2</v>
      </c>
      <c r="I59" s="326">
        <f>I41+I47+I53</f>
        <v>11472.547318035256</v>
      </c>
      <c r="J59" s="130">
        <f t="shared" ref="J59" si="25">J41+J47+J53</f>
        <v>122205.1599887616</v>
      </c>
      <c r="K59" s="320">
        <f t="shared" si="24"/>
        <v>0.16811811951828629</v>
      </c>
    </row>
    <row r="60" spans="1:11" ht="11.1" customHeight="1">
      <c r="A60" s="428"/>
      <c r="B60" s="428"/>
      <c r="C60" s="155" t="s">
        <v>7</v>
      </c>
      <c r="D60" s="326">
        <f>D54</f>
        <v>370006</v>
      </c>
      <c r="E60" s="130">
        <f t="shared" ref="E60:F61" si="26">E42+E48+E54</f>
        <v>16524.366379069172</v>
      </c>
      <c r="F60" s="130">
        <f t="shared" si="26"/>
        <v>181182.17076803348</v>
      </c>
      <c r="G60" s="320">
        <f t="shared" si="21"/>
        <v>0.2566235430894917</v>
      </c>
      <c r="H60" s="320">
        <f t="shared" si="22"/>
        <v>-5.8411562351685783E-3</v>
      </c>
      <c r="I60" s="326">
        <f t="shared" ref="I60:J60" si="27">I42+I48+I54</f>
        <v>16621.454893960603</v>
      </c>
      <c r="J60" s="130">
        <f t="shared" si="27"/>
        <v>177055.47262523847</v>
      </c>
      <c r="K60" s="320">
        <f t="shared" si="24"/>
        <v>0.24356994684500682</v>
      </c>
    </row>
    <row r="61" spans="1:11" ht="11.1" customHeight="1">
      <c r="A61" s="428"/>
      <c r="B61" s="428"/>
      <c r="C61" s="155" t="s">
        <v>93</v>
      </c>
      <c r="D61" s="326">
        <f>D55</f>
        <v>39</v>
      </c>
      <c r="E61" s="130">
        <f>E43+E49+E55</f>
        <v>2519.930626636024</v>
      </c>
      <c r="F61" s="130">
        <f t="shared" si="26"/>
        <v>27591.480619999998</v>
      </c>
      <c r="G61" s="320">
        <f t="shared" si="21"/>
        <v>3.9134542947811782E-2</v>
      </c>
      <c r="H61" s="320">
        <f t="shared" si="22"/>
        <v>-0.33945226939524825</v>
      </c>
      <c r="I61" s="326">
        <f>I43+I49+I55</f>
        <v>3814.9107322327036</v>
      </c>
      <c r="J61" s="130">
        <f t="shared" ref="J61" si="28">J43+J49+J55</f>
        <v>40642.577139999994</v>
      </c>
      <c r="K61" s="320">
        <f t="shared" si="24"/>
        <v>5.5903506052649411E-2</v>
      </c>
    </row>
    <row r="62" spans="1:11" ht="11.1" customHeight="1">
      <c r="A62" s="433"/>
      <c r="B62" s="433"/>
      <c r="C62" s="331" t="s">
        <v>0</v>
      </c>
      <c r="D62" s="334">
        <f>SUM(D57:D61)</f>
        <v>409560</v>
      </c>
      <c r="E62" s="332">
        <f>SUM(E57:E61)</f>
        <v>64391.466894004618</v>
      </c>
      <c r="F62" s="332">
        <f>SUM(F57:F61)</f>
        <v>705768.29206894874</v>
      </c>
      <c r="G62" s="333">
        <f>SUM(G57:G61)</f>
        <v>1</v>
      </c>
      <c r="H62" s="333">
        <f>(E62-I62)/I62</f>
        <v>-5.6410749317532261E-2</v>
      </c>
      <c r="I62" s="334">
        <f>SUM(I57:I61)</f>
        <v>68240.992410026229</v>
      </c>
      <c r="J62" s="332">
        <f>SUM(J57:J61)</f>
        <v>726985.157014</v>
      </c>
      <c r="K62" s="333">
        <f>SUM(K57:K61)</f>
        <v>1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311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44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188</v>
      </c>
      <c r="E9" s="321">
        <v>37637.226999999999</v>
      </c>
      <c r="F9" s="321">
        <v>409138.83188099996</v>
      </c>
      <c r="G9" s="322">
        <f>E9/$E$14</f>
        <v>0.79961384134110147</v>
      </c>
      <c r="H9" s="322">
        <f>(E9-I9)/I9</f>
        <v>2.0666051021930157E-2</v>
      </c>
      <c r="I9" s="325">
        <v>36875.163000000008</v>
      </c>
      <c r="J9" s="321">
        <v>393811.93336500012</v>
      </c>
      <c r="K9" s="322">
        <f>I9/$I$14</f>
        <v>0.74418460895395744</v>
      </c>
    </row>
    <row r="10" spans="1:16" ht="11.1" customHeight="1">
      <c r="A10" s="428"/>
      <c r="B10" s="428"/>
      <c r="C10" s="155" t="s">
        <v>5</v>
      </c>
      <c r="D10" s="326">
        <v>637</v>
      </c>
      <c r="E10" s="130">
        <v>3220.393</v>
      </c>
      <c r="F10" s="130">
        <v>35005.290989999987</v>
      </c>
      <c r="G10" s="320">
        <f>E10/$E$14</f>
        <v>6.8418186530001104E-2</v>
      </c>
      <c r="H10" s="320">
        <f>(E10-I10)/I10</f>
        <v>-0.4256927271076868</v>
      </c>
      <c r="I10" s="326">
        <v>5607.4390000000003</v>
      </c>
      <c r="J10" s="130">
        <v>59884.59189999997</v>
      </c>
      <c r="K10" s="320">
        <f>I10/$I$14</f>
        <v>0.11316478247020005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19331</v>
      </c>
      <c r="E11" s="130">
        <v>1858.174</v>
      </c>
      <c r="F11" s="130">
        <v>20197.691659999997</v>
      </c>
      <c r="G11" s="320">
        <f>E11/$E$14</f>
        <v>3.9477447422472431E-2</v>
      </c>
      <c r="H11" s="320">
        <f t="shared" ref="H11:H13" si="0">(E11-I11)/I11</f>
        <v>0.14385350196923835</v>
      </c>
      <c r="I11" s="326">
        <v>1624.4859999999999</v>
      </c>
      <c r="J11" s="130">
        <v>17349.040199999999</v>
      </c>
      <c r="K11" s="320">
        <f>I11/$I$14</f>
        <v>3.2784057894501457E-2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239117</v>
      </c>
      <c r="E12" s="130">
        <v>3389.2</v>
      </c>
      <c r="F12" s="130">
        <v>36840.1</v>
      </c>
      <c r="G12" s="320">
        <f>E12/$E$14</f>
        <v>7.2004540373637543E-2</v>
      </c>
      <c r="H12" s="320">
        <f t="shared" si="0"/>
        <v>-0.24414014585517071</v>
      </c>
      <c r="I12" s="326">
        <v>4483.8999999999996</v>
      </c>
      <c r="J12" s="130">
        <v>47885.8</v>
      </c>
      <c r="K12" s="320">
        <f>I12/$I$14</f>
        <v>9.0490430322671359E-2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35</v>
      </c>
      <c r="E13" s="130">
        <v>964.26</v>
      </c>
      <c r="F13" s="130">
        <v>10481.324699999999</v>
      </c>
      <c r="G13" s="320">
        <f>E13/$E$14</f>
        <v>2.0485984332787602E-2</v>
      </c>
      <c r="H13" s="320">
        <f t="shared" si="0"/>
        <v>4.3245134922321694E-3</v>
      </c>
      <c r="I13" s="326">
        <v>960.10799999999995</v>
      </c>
      <c r="J13" s="130">
        <v>10253.477579999999</v>
      </c>
      <c r="K13" s="320">
        <f>I13/$I$14</f>
        <v>1.9376120358669764E-2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259308</v>
      </c>
      <c r="E14" s="332">
        <v>47069.253999999994</v>
      </c>
      <c r="F14" s="332">
        <v>511663.23923099996</v>
      </c>
      <c r="G14" s="333">
        <f>SUM(G9:G13)</f>
        <v>1.0000000000000002</v>
      </c>
      <c r="H14" s="333">
        <f>(E14-I14)/I14</f>
        <v>-5.0086520790579715E-2</v>
      </c>
      <c r="I14" s="334">
        <v>49551.096000000005</v>
      </c>
      <c r="J14" s="332">
        <v>529184.84304499999</v>
      </c>
      <c r="K14" s="333">
        <f>SUM(K9:K13)</f>
        <v>1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188</v>
      </c>
      <c r="E15" s="321">
        <v>38051.364999999998</v>
      </c>
      <c r="F15" s="321">
        <v>412950.03429099999</v>
      </c>
      <c r="G15" s="322">
        <f>E15/$E$20</f>
        <v>0.80151317309683257</v>
      </c>
      <c r="H15" s="322">
        <f>(E15-I15)/I15</f>
        <v>-5.3014031240356918E-2</v>
      </c>
      <c r="I15" s="325">
        <v>40181.550999999992</v>
      </c>
      <c r="J15" s="321">
        <v>428304.01408200001</v>
      </c>
      <c r="K15" s="322">
        <f>I15/$I$20</f>
        <v>0.73855340177377216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638</v>
      </c>
      <c r="E16" s="130">
        <v>3295.5769999999998</v>
      </c>
      <c r="F16" s="130">
        <v>35758.773350000018</v>
      </c>
      <c r="G16" s="320">
        <f>E16/$E$20</f>
        <v>6.9417966437076317E-2</v>
      </c>
      <c r="H16" s="320">
        <f>(E16-I16)/I16</f>
        <v>-0.41790342739214814</v>
      </c>
      <c r="I16" s="326">
        <v>5661.5639999999994</v>
      </c>
      <c r="J16" s="130">
        <v>60349.128019999953</v>
      </c>
      <c r="K16" s="320">
        <f>I16/$I$20</f>
        <v>0.10406187037329456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19308</v>
      </c>
      <c r="E17" s="130">
        <v>1821.4360000000001</v>
      </c>
      <c r="F17" s="130">
        <v>19763.86205</v>
      </c>
      <c r="G17" s="320">
        <f>E17/$E$20</f>
        <v>3.8366690602368733E-2</v>
      </c>
      <c r="H17" s="320">
        <f t="shared" ref="H17:H20" si="1">(E17-I17)/I17</f>
        <v>-8.0771785187263676E-2</v>
      </c>
      <c r="I17" s="326">
        <v>1981.4840000000002</v>
      </c>
      <c r="J17" s="130">
        <v>21122.065780000001</v>
      </c>
      <c r="K17" s="320">
        <f>I17/$I$20</f>
        <v>3.6420489312627612E-2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238767</v>
      </c>
      <c r="E18" s="130">
        <v>3270.7</v>
      </c>
      <c r="F18" s="130">
        <v>35489</v>
      </c>
      <c r="G18" s="320">
        <f>E18/$E$20</f>
        <v>6.8893957818538451E-2</v>
      </c>
      <c r="H18" s="320">
        <f t="shared" si="1"/>
        <v>-0.41592556877031328</v>
      </c>
      <c r="I18" s="326">
        <v>5599.8</v>
      </c>
      <c r="J18" s="130">
        <v>59691.199999999997</v>
      </c>
      <c r="K18" s="320">
        <f>I18/$I$20</f>
        <v>0.10292662269937689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35</v>
      </c>
      <c r="E19" s="130">
        <v>1035.3320000000001</v>
      </c>
      <c r="F19" s="130">
        <v>11233.922710000001</v>
      </c>
      <c r="G19" s="320">
        <f>E19/$E$20</f>
        <v>2.1808212045183926E-2</v>
      </c>
      <c r="H19" s="320">
        <f t="shared" si="1"/>
        <v>5.500789728435327E-2</v>
      </c>
      <c r="I19" s="326">
        <v>981.35</v>
      </c>
      <c r="J19" s="130">
        <v>10460.66296</v>
      </c>
      <c r="K19" s="320">
        <f>I19/$I$20</f>
        <v>1.8037615840928875E-2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258936</v>
      </c>
      <c r="E20" s="332">
        <v>47474.409999999996</v>
      </c>
      <c r="F20" s="332">
        <v>515195.59240100003</v>
      </c>
      <c r="G20" s="333">
        <f>SUM(G15:G19)</f>
        <v>1</v>
      </c>
      <c r="H20" s="333">
        <f t="shared" si="1"/>
        <v>-0.12740085611173177</v>
      </c>
      <c r="I20" s="334">
        <v>54405.748999999989</v>
      </c>
      <c r="J20" s="332">
        <v>579927.07084199996</v>
      </c>
      <c r="K20" s="333">
        <f>SUM(K15:K19)</f>
        <v>1.0000000000000002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188</v>
      </c>
      <c r="E21" s="321">
        <v>38211.989999999991</v>
      </c>
      <c r="F21" s="321">
        <v>417918.56269600004</v>
      </c>
      <c r="G21" s="322">
        <f>E21/$E$26</f>
        <v>0.7053759641766677</v>
      </c>
      <c r="H21" s="322">
        <f>(E21-I21)/I21</f>
        <v>-0.1161305976829534</v>
      </c>
      <c r="I21" s="325">
        <v>43232.619999999995</v>
      </c>
      <c r="J21" s="321">
        <v>460920.93031800009</v>
      </c>
      <c r="K21" s="322">
        <f>I21/$I$26</f>
        <v>0.71731994713690617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637</v>
      </c>
      <c r="E22" s="130">
        <v>3931.5719999999997</v>
      </c>
      <c r="F22" s="130">
        <v>42997.45315999999</v>
      </c>
      <c r="G22" s="320">
        <f>E22/$E$26</f>
        <v>7.2575031821948827E-2</v>
      </c>
      <c r="H22" s="320">
        <f t="shared" ref="H22:H26" si="2">(E22-I22)/I22</f>
        <v>-0.24130410325099549</v>
      </c>
      <c r="I22" s="326">
        <v>5182.0130000000008</v>
      </c>
      <c r="J22" s="130">
        <v>55248.642180000003</v>
      </c>
      <c r="K22" s="320">
        <f>I22/$I$26</f>
        <v>8.5980477038466827E-2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19257</v>
      </c>
      <c r="E23" s="130">
        <v>3767.4349999999999</v>
      </c>
      <c r="F23" s="130">
        <v>41202.52837</v>
      </c>
      <c r="G23" s="320">
        <f>E23/$E$26</f>
        <v>6.9545137418855305E-2</v>
      </c>
      <c r="H23" s="320">
        <f t="shared" si="2"/>
        <v>0.28572754664618105</v>
      </c>
      <c r="I23" s="326">
        <v>2930.1970000000001</v>
      </c>
      <c r="J23" s="130">
        <v>31240.642960000001</v>
      </c>
      <c r="K23" s="320">
        <f>I23/$I$26</f>
        <v>4.8618121158068177E-2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238469</v>
      </c>
      <c r="E24" s="130">
        <v>7285.3</v>
      </c>
      <c r="F24" s="130">
        <v>79676.100000000006</v>
      </c>
      <c r="G24" s="320">
        <f>E24/$E$26</f>
        <v>0.13448332609257668</v>
      </c>
      <c r="H24" s="320">
        <f t="shared" si="2"/>
        <v>-7.3988865444746615E-2</v>
      </c>
      <c r="I24" s="326">
        <v>7867.4</v>
      </c>
      <c r="J24" s="130">
        <v>83879.5</v>
      </c>
      <c r="K24" s="320">
        <f>I24/$I$26</f>
        <v>0.1305366862361082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35</v>
      </c>
      <c r="E25" s="130">
        <v>976.21799999999996</v>
      </c>
      <c r="F25" s="130">
        <v>10676.447840000003</v>
      </c>
      <c r="G25" s="320">
        <f>E25/$E$26</f>
        <v>1.8020540489951411E-2</v>
      </c>
      <c r="H25" s="320">
        <f t="shared" si="2"/>
        <v>-7.6789951362612824E-2</v>
      </c>
      <c r="I25" s="326">
        <v>1057.4169999999999</v>
      </c>
      <c r="J25" s="130">
        <v>11273.74566</v>
      </c>
      <c r="K25" s="320">
        <f>I25/$I$26</f>
        <v>1.754476843045057E-2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258586</v>
      </c>
      <c r="E26" s="332">
        <v>54172.514999999992</v>
      </c>
      <c r="F26" s="332">
        <v>592471.0920660001</v>
      </c>
      <c r="G26" s="333">
        <f>SUM(G21:G25)</f>
        <v>0.99999999999999978</v>
      </c>
      <c r="H26" s="333">
        <f t="shared" si="2"/>
        <v>-0.10116422284670101</v>
      </c>
      <c r="I26" s="334">
        <v>60269.646999999997</v>
      </c>
      <c r="J26" s="332">
        <v>642563.46111800009</v>
      </c>
      <c r="K26" s="333">
        <f>SUM(K21:K25)</f>
        <v>1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188</v>
      </c>
      <c r="E27" s="321">
        <f>E9+E15+E21</f>
        <v>113900.58199999999</v>
      </c>
      <c r="F27" s="321">
        <f>F9+F15+F21</f>
        <v>1240007.4288679999</v>
      </c>
      <c r="G27" s="322">
        <f>E27/$E$32</f>
        <v>0.76589233777987253</v>
      </c>
      <c r="H27" s="322">
        <f>(E27-I27)/I27</f>
        <v>-5.3111541876190015E-2</v>
      </c>
      <c r="I27" s="325">
        <f>I9+I15+I21</f>
        <v>120289.334</v>
      </c>
      <c r="J27" s="321">
        <f>J9+J15+J21</f>
        <v>1283036.8777650001</v>
      </c>
      <c r="K27" s="322">
        <f>I27/$I$32</f>
        <v>0.73245998581032834</v>
      </c>
    </row>
    <row r="28" spans="1:20" ht="11.1" customHeight="1">
      <c r="A28" s="428"/>
      <c r="B28" s="428"/>
      <c r="C28" s="155" t="s">
        <v>5</v>
      </c>
      <c r="D28" s="326">
        <f>D22</f>
        <v>637</v>
      </c>
      <c r="E28" s="130">
        <f t="shared" ref="E28:F31" si="3">E10+E16+E22</f>
        <v>10447.541999999999</v>
      </c>
      <c r="F28" s="130">
        <f t="shared" si="3"/>
        <v>113761.5175</v>
      </c>
      <c r="G28" s="320">
        <f>E28/$E$32</f>
        <v>7.025154942960174E-2</v>
      </c>
      <c r="H28" s="320">
        <f t="shared" ref="H28:H31" si="4">(E28-I28)/I28</f>
        <v>-0.36493028758831692</v>
      </c>
      <c r="I28" s="326">
        <f t="shared" ref="I28:J28" si="5">I10+I16+I22</f>
        <v>16451.016000000003</v>
      </c>
      <c r="J28" s="130">
        <f t="shared" si="5"/>
        <v>175482.36209999991</v>
      </c>
      <c r="K28" s="320">
        <f>I28/$I$32</f>
        <v>0.10017272974447998</v>
      </c>
    </row>
    <row r="29" spans="1:20" ht="11.1" customHeight="1">
      <c r="A29" s="428"/>
      <c r="B29" s="428"/>
      <c r="C29" s="155" t="s">
        <v>6</v>
      </c>
      <c r="D29" s="326">
        <f>D23</f>
        <v>19257</v>
      </c>
      <c r="E29" s="130">
        <f t="shared" si="3"/>
        <v>7447.0450000000001</v>
      </c>
      <c r="F29" s="130">
        <f t="shared" si="3"/>
        <v>81164.082079999993</v>
      </c>
      <c r="G29" s="320">
        <f>E29/$E$32</f>
        <v>5.0075553649075399E-2</v>
      </c>
      <c r="H29" s="320">
        <f t="shared" si="4"/>
        <v>0.13935965834410285</v>
      </c>
      <c r="I29" s="326">
        <f t="shared" ref="I29:J29" si="6">I11+I17+I23</f>
        <v>6536.1670000000004</v>
      </c>
      <c r="J29" s="130">
        <f t="shared" si="6"/>
        <v>69711.748940000005</v>
      </c>
      <c r="K29" s="320">
        <f>I29/$I$32</f>
        <v>3.9799711486256432E-2</v>
      </c>
    </row>
    <row r="30" spans="1:20" ht="11.1" customHeight="1">
      <c r="A30" s="428"/>
      <c r="B30" s="428"/>
      <c r="C30" s="155" t="s">
        <v>7</v>
      </c>
      <c r="D30" s="326">
        <f>D24</f>
        <v>238469</v>
      </c>
      <c r="E30" s="130">
        <f t="shared" si="3"/>
        <v>13945.2</v>
      </c>
      <c r="F30" s="130">
        <f t="shared" si="3"/>
        <v>152005.20000000001</v>
      </c>
      <c r="G30" s="320">
        <f>E30/$E$32</f>
        <v>9.3770564129407874E-2</v>
      </c>
      <c r="H30" s="320">
        <f t="shared" si="4"/>
        <v>-0.22315624112171389</v>
      </c>
      <c r="I30" s="326">
        <f t="shared" ref="I30:J30" si="7">I12+I18+I24</f>
        <v>17951.099999999999</v>
      </c>
      <c r="J30" s="130">
        <f t="shared" si="7"/>
        <v>191456.5</v>
      </c>
      <c r="K30" s="320">
        <f>I30/$I$32</f>
        <v>0.10930696857362086</v>
      </c>
    </row>
    <row r="31" spans="1:20" ht="11.1" customHeight="1">
      <c r="A31" s="428"/>
      <c r="B31" s="428"/>
      <c r="C31" s="155" t="s">
        <v>93</v>
      </c>
      <c r="D31" s="326">
        <f>D25</f>
        <v>35</v>
      </c>
      <c r="E31" s="130">
        <f>E13+E19+E25</f>
        <v>2975.81</v>
      </c>
      <c r="F31" s="130">
        <f t="shared" si="3"/>
        <v>32391.695250000004</v>
      </c>
      <c r="G31" s="320">
        <f>E31/$E$32</f>
        <v>2.0009995012042366E-2</v>
      </c>
      <c r="H31" s="320">
        <f t="shared" si="4"/>
        <v>-7.6912175399108185E-3</v>
      </c>
      <c r="I31" s="326">
        <f>I13+I19+I25</f>
        <v>2998.875</v>
      </c>
      <c r="J31" s="130">
        <f t="shared" ref="J31" si="8">J13+J19+J25</f>
        <v>31987.886200000001</v>
      </c>
      <c r="K31" s="320">
        <f>I31/$I$32</f>
        <v>1.8260604385314398E-2</v>
      </c>
    </row>
    <row r="32" spans="1:20" ht="11.1" customHeight="1">
      <c r="A32" s="433"/>
      <c r="B32" s="433"/>
      <c r="C32" s="331" t="s">
        <v>0</v>
      </c>
      <c r="D32" s="334">
        <f>SUM(D27:D31)</f>
        <v>258586</v>
      </c>
      <c r="E32" s="332">
        <f>SUM(E27:E31)</f>
        <v>148716.179</v>
      </c>
      <c r="F32" s="332">
        <f>SUM(F27:F31)</f>
        <v>1619329.9236980001</v>
      </c>
      <c r="G32" s="333">
        <f>SUM(G27:G31)</f>
        <v>1</v>
      </c>
      <c r="H32" s="333">
        <f>(E32-I32)/I32</f>
        <v>-9.4444646604276219E-2</v>
      </c>
      <c r="I32" s="334">
        <f>SUM(I27:I31)</f>
        <v>164226.492</v>
      </c>
      <c r="J32" s="332">
        <f>SUM(J27:J31)</f>
        <v>1751675.375005</v>
      </c>
      <c r="K32" s="333">
        <f>SUM(K27:K31)</f>
        <v>1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45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128</v>
      </c>
      <c r="E39" s="321">
        <v>57251.790000000008</v>
      </c>
      <c r="F39" s="321">
        <v>623586.81385000015</v>
      </c>
      <c r="G39" s="322">
        <f>E39/$E$44</f>
        <v>0.92709137664538588</v>
      </c>
      <c r="H39" s="322">
        <f>(E39-I39)/I39</f>
        <v>-0.32640852750260341</v>
      </c>
      <c r="I39" s="325">
        <v>84994.826000000001</v>
      </c>
      <c r="J39" s="321">
        <v>907303.40417999984</v>
      </c>
      <c r="K39" s="322">
        <f>I39/$I$44</f>
        <v>0.94166220365471365</v>
      </c>
    </row>
    <row r="40" spans="1:11" ht="11.1" customHeight="1">
      <c r="A40" s="428"/>
      <c r="B40" s="428"/>
      <c r="C40" s="155" t="s">
        <v>5</v>
      </c>
      <c r="D40" s="326">
        <v>312</v>
      </c>
      <c r="E40" s="130">
        <v>1202.2559999999999</v>
      </c>
      <c r="F40" s="130">
        <v>13068.064170000014</v>
      </c>
      <c r="G40" s="320">
        <f t="shared" ref="G40" si="9">E40/$E$44</f>
        <v>1.946840736543215E-2</v>
      </c>
      <c r="H40" s="320">
        <f>(E40-I40)/I40</f>
        <v>-0.18072482917797594</v>
      </c>
      <c r="I40" s="326">
        <v>1467.463</v>
      </c>
      <c r="J40" s="130">
        <v>15672.276180000004</v>
      </c>
      <c r="K40" s="320">
        <f t="shared" ref="K40:K43" si="10">I40/$I$44</f>
        <v>1.6258100726763734E-2</v>
      </c>
    </row>
    <row r="41" spans="1:11" ht="11.1" customHeight="1">
      <c r="A41" s="428"/>
      <c r="B41" s="428"/>
      <c r="C41" s="155" t="s">
        <v>6</v>
      </c>
      <c r="D41" s="326">
        <v>13005</v>
      </c>
      <c r="E41" s="130">
        <v>1154.3210000000001</v>
      </c>
      <c r="F41" s="130">
        <v>12531.668310000001</v>
      </c>
      <c r="G41" s="320">
        <f>E41/$E$44</f>
        <v>1.8692184907767573E-2</v>
      </c>
      <c r="H41" s="320">
        <f t="shared" ref="H41:H43" si="11">(E41-I41)/I41</f>
        <v>0.10543321602145155</v>
      </c>
      <c r="I41" s="326">
        <v>1044.2249999999999</v>
      </c>
      <c r="J41" s="130">
        <v>11134.45112</v>
      </c>
      <c r="K41" s="320">
        <f t="shared" si="10"/>
        <v>1.1569024385217792E-2</v>
      </c>
    </row>
    <row r="42" spans="1:11" ht="11.1" customHeight="1">
      <c r="A42" s="428"/>
      <c r="B42" s="428"/>
      <c r="C42" s="155" t="s">
        <v>7</v>
      </c>
      <c r="D42" s="326">
        <v>207287</v>
      </c>
      <c r="E42" s="130">
        <v>1741.6</v>
      </c>
      <c r="F42" s="130">
        <v>18931.3</v>
      </c>
      <c r="G42" s="320">
        <f>E42/$E$44</f>
        <v>2.8202128554681065E-2</v>
      </c>
      <c r="H42" s="320">
        <f t="shared" si="11"/>
        <v>-0.24416283308740558</v>
      </c>
      <c r="I42" s="326">
        <v>2304.1999999999998</v>
      </c>
      <c r="J42" s="130">
        <v>24607.5</v>
      </c>
      <c r="K42" s="320">
        <f t="shared" si="10"/>
        <v>2.552835451020502E-2</v>
      </c>
    </row>
    <row r="43" spans="1:11" ht="11.1" customHeight="1">
      <c r="A43" s="428"/>
      <c r="B43" s="428"/>
      <c r="C43" s="155" t="s">
        <v>93</v>
      </c>
      <c r="D43" s="326">
        <v>19</v>
      </c>
      <c r="E43" s="130">
        <v>404.23700000000002</v>
      </c>
      <c r="F43" s="130">
        <v>4393.9867300000005</v>
      </c>
      <c r="G43" s="320">
        <f>E43/$E$44</f>
        <v>6.5459025267332396E-3</v>
      </c>
      <c r="H43" s="320">
        <f t="shared" si="11"/>
        <v>-0.1011082796315815</v>
      </c>
      <c r="I43" s="326">
        <v>449.70600000000002</v>
      </c>
      <c r="J43" s="130">
        <v>4802.6241399999999</v>
      </c>
      <c r="K43" s="320">
        <f t="shared" si="10"/>
        <v>4.9823167230996701E-3</v>
      </c>
    </row>
    <row r="44" spans="1:11" ht="11.1" customHeight="1">
      <c r="A44" s="433"/>
      <c r="B44" s="433"/>
      <c r="C44" s="331" t="s">
        <v>0</v>
      </c>
      <c r="D44" s="334">
        <v>220751</v>
      </c>
      <c r="E44" s="332">
        <v>61754.204000000012</v>
      </c>
      <c r="F44" s="332">
        <v>672511.83306000021</v>
      </c>
      <c r="G44" s="333">
        <f>SUM(G39:G43)</f>
        <v>0.99999999999999989</v>
      </c>
      <c r="H44" s="333">
        <f>(E44-I44)/I44</f>
        <v>-0.31582188516295401</v>
      </c>
      <c r="I44" s="334">
        <v>90260.420000000013</v>
      </c>
      <c r="J44" s="332">
        <v>963520.25561999984</v>
      </c>
      <c r="K44" s="333">
        <f>SUM(K39:K43)</f>
        <v>0.99999999999999989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128</v>
      </c>
      <c r="E45" s="321">
        <v>79572.447</v>
      </c>
      <c r="F45" s="321">
        <v>864289.59721000004</v>
      </c>
      <c r="G45" s="322">
        <f>E45/$E$50</f>
        <v>0.9450337326406606</v>
      </c>
      <c r="H45" s="322">
        <f>(E45-I45)/I45</f>
        <v>0.80271253563940548</v>
      </c>
      <c r="I45" s="325">
        <v>44140.396999999997</v>
      </c>
      <c r="J45" s="321">
        <v>470471.13987000013</v>
      </c>
      <c r="K45" s="322">
        <f>I45/$I$50</f>
        <v>0.87590535036831563</v>
      </c>
    </row>
    <row r="46" spans="1:11" ht="11.1" customHeight="1">
      <c r="A46" s="428"/>
      <c r="B46" s="428"/>
      <c r="C46" s="155" t="s">
        <v>5</v>
      </c>
      <c r="D46" s="326">
        <v>313</v>
      </c>
      <c r="E46" s="130">
        <v>1436.153</v>
      </c>
      <c r="F46" s="130">
        <v>15583.583069999997</v>
      </c>
      <c r="G46" s="320">
        <f t="shared" ref="G46:G49" si="12">E46/$E$50</f>
        <v>1.705631888174914E-2</v>
      </c>
      <c r="H46" s="320">
        <f>(E46-I46)/I46</f>
        <v>-0.13946596249406054</v>
      </c>
      <c r="I46" s="326">
        <v>1668.9090000000001</v>
      </c>
      <c r="J46" s="130">
        <v>17790.046969999996</v>
      </c>
      <c r="K46" s="320">
        <f t="shared" ref="K46:K49" si="13">I46/$I$50</f>
        <v>3.311719924897448E-2</v>
      </c>
    </row>
    <row r="47" spans="1:11" ht="11.1" customHeight="1">
      <c r="A47" s="428"/>
      <c r="B47" s="428"/>
      <c r="C47" s="155" t="s">
        <v>6</v>
      </c>
      <c r="D47" s="326">
        <v>12990</v>
      </c>
      <c r="E47" s="130">
        <v>1119.4939999999999</v>
      </c>
      <c r="F47" s="130">
        <v>12135.291799999999</v>
      </c>
      <c r="G47" s="320">
        <f t="shared" si="12"/>
        <v>1.3295551832015718E-2</v>
      </c>
      <c r="H47" s="320">
        <f t="shared" ref="H47:H49" si="14">(E47-I47)/I47</f>
        <v>-0.10545463843633127</v>
      </c>
      <c r="I47" s="326">
        <v>1251.4670000000001</v>
      </c>
      <c r="J47" s="130">
        <v>13324.749540000001</v>
      </c>
      <c r="K47" s="320">
        <f t="shared" si="13"/>
        <v>2.4833638018919153E-2</v>
      </c>
    </row>
    <row r="48" spans="1:11" ht="11.1" customHeight="1">
      <c r="A48" s="428"/>
      <c r="B48" s="428"/>
      <c r="C48" s="155" t="s">
        <v>7</v>
      </c>
      <c r="D48" s="326">
        <v>206983</v>
      </c>
      <c r="E48" s="130">
        <v>1680.8</v>
      </c>
      <c r="F48" s="130">
        <v>18237.099999999999</v>
      </c>
      <c r="G48" s="320">
        <f t="shared" si="12"/>
        <v>1.9961843046279855E-2</v>
      </c>
      <c r="H48" s="320">
        <f t="shared" si="14"/>
        <v>-0.41590214067278286</v>
      </c>
      <c r="I48" s="326">
        <v>2877.6</v>
      </c>
      <c r="J48" s="130">
        <v>30674</v>
      </c>
      <c r="K48" s="320">
        <f t="shared" si="13"/>
        <v>5.7102006495769964E-2</v>
      </c>
    </row>
    <row r="49" spans="1:11" ht="11.1" customHeight="1">
      <c r="A49" s="428"/>
      <c r="B49" s="428"/>
      <c r="C49" s="155" t="s">
        <v>93</v>
      </c>
      <c r="D49" s="326">
        <v>19</v>
      </c>
      <c r="E49" s="130">
        <v>391.74799999999999</v>
      </c>
      <c r="F49" s="130">
        <v>4250.6844600000004</v>
      </c>
      <c r="G49" s="320">
        <f t="shared" si="12"/>
        <v>4.6525535992944077E-3</v>
      </c>
      <c r="H49" s="320">
        <f t="shared" si="14"/>
        <v>-0.1402492686320512</v>
      </c>
      <c r="I49" s="326">
        <v>455.65300000000002</v>
      </c>
      <c r="J49" s="130">
        <v>4857.0161500000004</v>
      </c>
      <c r="K49" s="320">
        <f t="shared" si="13"/>
        <v>9.041805868020945E-3</v>
      </c>
    </row>
    <row r="50" spans="1:11" ht="11.1" customHeight="1">
      <c r="A50" s="433"/>
      <c r="B50" s="433"/>
      <c r="C50" s="331" t="s">
        <v>0</v>
      </c>
      <c r="D50" s="334">
        <v>220433</v>
      </c>
      <c r="E50" s="332">
        <v>84200.642000000022</v>
      </c>
      <c r="F50" s="332">
        <v>914496.25654000009</v>
      </c>
      <c r="G50" s="333">
        <f>SUM(G45:G49)</f>
        <v>0.99999999999999978</v>
      </c>
      <c r="H50" s="333">
        <f t="shared" ref="H50" si="15">(E50-I50)/I50</f>
        <v>0.67084570698915857</v>
      </c>
      <c r="I50" s="334">
        <v>50394.025999999991</v>
      </c>
      <c r="J50" s="332">
        <v>537116.95253000013</v>
      </c>
      <c r="K50" s="333">
        <f>SUM(K45:K49)</f>
        <v>1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128</v>
      </c>
      <c r="E51" s="321">
        <v>68591.004000000001</v>
      </c>
      <c r="F51" s="321">
        <v>752024.15427000006</v>
      </c>
      <c r="G51" s="322">
        <f>E51/$E$56</f>
        <v>0.89296885392620773</v>
      </c>
      <c r="H51" s="322">
        <f>(E51-I51)/I51</f>
        <v>4.5632779631157713E-3</v>
      </c>
      <c r="I51" s="325">
        <v>68279.426000000007</v>
      </c>
      <c r="J51" s="321">
        <v>727669.41004000022</v>
      </c>
      <c r="K51" s="322">
        <f>I51/$I$56</f>
        <v>0.88946631155802158</v>
      </c>
    </row>
    <row r="52" spans="1:11" ht="11.1" customHeight="1">
      <c r="A52" s="428"/>
      <c r="B52" s="428"/>
      <c r="C52" s="155" t="s">
        <v>5</v>
      </c>
      <c r="D52" s="326">
        <v>314</v>
      </c>
      <c r="E52" s="130">
        <v>1874.3130000000001</v>
      </c>
      <c r="F52" s="130">
        <v>20498.249800000001</v>
      </c>
      <c r="G52" s="320">
        <f t="shared" ref="G52:G55" si="16">E52/$E$56</f>
        <v>2.4401204733918054E-2</v>
      </c>
      <c r="H52" s="320">
        <f t="shared" ref="H52:H55" si="17">(E52-I52)/I52</f>
        <v>-0.16359776752704119</v>
      </c>
      <c r="I52" s="326">
        <v>2240.9229999999998</v>
      </c>
      <c r="J52" s="130">
        <v>23891.860079999999</v>
      </c>
      <c r="K52" s="320">
        <f t="shared" ref="K52:K55" si="18">I52/$I$56</f>
        <v>2.9192183239729285E-2</v>
      </c>
    </row>
    <row r="53" spans="1:11" ht="11.1" customHeight="1">
      <c r="A53" s="428"/>
      <c r="B53" s="428"/>
      <c r="C53" s="155" t="s">
        <v>6</v>
      </c>
      <c r="D53" s="326">
        <v>12955</v>
      </c>
      <c r="E53" s="130">
        <v>2243.4850000000001</v>
      </c>
      <c r="F53" s="130">
        <v>24522.499540000001</v>
      </c>
      <c r="G53" s="320">
        <f t="shared" si="16"/>
        <v>2.9207361205131774E-2</v>
      </c>
      <c r="H53" s="320">
        <f t="shared" si="17"/>
        <v>0.28869707173440778</v>
      </c>
      <c r="I53" s="326">
        <v>1740.894</v>
      </c>
      <c r="J53" s="130">
        <v>18555.169330000001</v>
      </c>
      <c r="K53" s="320">
        <f t="shared" si="18"/>
        <v>2.2678377012037128E-2</v>
      </c>
    </row>
    <row r="54" spans="1:11" ht="11.1" customHeight="1">
      <c r="A54" s="428"/>
      <c r="B54" s="428"/>
      <c r="C54" s="155" t="s">
        <v>7</v>
      </c>
      <c r="D54" s="326">
        <v>206724</v>
      </c>
      <c r="E54" s="130">
        <v>3743.8</v>
      </c>
      <c r="F54" s="130">
        <v>40943.800000000003</v>
      </c>
      <c r="G54" s="320">
        <f t="shared" si="16"/>
        <v>4.8739580999994356E-2</v>
      </c>
      <c r="H54" s="320">
        <f t="shared" si="17"/>
        <v>-7.3981547898785499E-2</v>
      </c>
      <c r="I54" s="326">
        <v>4042.9</v>
      </c>
      <c r="J54" s="130">
        <v>43103.9</v>
      </c>
      <c r="K54" s="320">
        <f t="shared" si="18"/>
        <v>5.2666279751647664E-2</v>
      </c>
    </row>
    <row r="55" spans="1:11" ht="11.1" customHeight="1">
      <c r="A55" s="428"/>
      <c r="B55" s="428"/>
      <c r="C55" s="155" t="s">
        <v>93</v>
      </c>
      <c r="D55" s="326">
        <v>19</v>
      </c>
      <c r="E55" s="130">
        <v>359.71199999999999</v>
      </c>
      <c r="F55" s="130">
        <v>3934.0026899999998</v>
      </c>
      <c r="G55" s="320">
        <f t="shared" si="16"/>
        <v>4.6829991347481078E-3</v>
      </c>
      <c r="H55" s="320">
        <f t="shared" si="17"/>
        <v>-0.21860343872530391</v>
      </c>
      <c r="I55" s="326">
        <v>460.34500000000003</v>
      </c>
      <c r="J55" s="130">
        <v>4908.01548</v>
      </c>
      <c r="K55" s="320">
        <f t="shared" si="18"/>
        <v>5.9968484385644573E-3</v>
      </c>
    </row>
    <row r="56" spans="1:11" ht="11.1" customHeight="1">
      <c r="A56" s="433"/>
      <c r="B56" s="433"/>
      <c r="C56" s="331" t="s">
        <v>0</v>
      </c>
      <c r="D56" s="334">
        <v>220140</v>
      </c>
      <c r="E56" s="332">
        <v>76812.313999999998</v>
      </c>
      <c r="F56" s="332">
        <v>841922.70630000008</v>
      </c>
      <c r="G56" s="333">
        <f>SUM(G51:G55)</f>
        <v>1</v>
      </c>
      <c r="H56" s="333">
        <f t="shared" ref="H56" si="19">(E56-I56)/I56</f>
        <v>6.2302245798865924E-4</v>
      </c>
      <c r="I56" s="334">
        <v>76764.487999999998</v>
      </c>
      <c r="J56" s="332">
        <v>818128.35493000015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128</v>
      </c>
      <c r="E57" s="321">
        <f>E39+E45+E51</f>
        <v>205415.24100000004</v>
      </c>
      <c r="F57" s="321">
        <f>F39+F45+F51</f>
        <v>2239900.5653300006</v>
      </c>
      <c r="G57" s="322">
        <f>E57/$E$62</f>
        <v>0.92210737435446055</v>
      </c>
      <c r="H57" s="322">
        <f>(E57-I57)/I57</f>
        <v>4.0526840538566276E-2</v>
      </c>
      <c r="I57" s="325">
        <f>I39+I45+I51</f>
        <v>197414.649</v>
      </c>
      <c r="J57" s="321">
        <f>J39+J45+J51</f>
        <v>2105443.9540900001</v>
      </c>
      <c r="K57" s="322">
        <f>I57/$I$62</f>
        <v>0.90799198288774596</v>
      </c>
    </row>
    <row r="58" spans="1:11" ht="11.1" customHeight="1">
      <c r="A58" s="428"/>
      <c r="B58" s="428"/>
      <c r="C58" s="155" t="s">
        <v>5</v>
      </c>
      <c r="D58" s="326">
        <f>D52</f>
        <v>314</v>
      </c>
      <c r="E58" s="130">
        <f t="shared" ref="E58:F59" si="20">E40+E46+E52</f>
        <v>4512.7219999999998</v>
      </c>
      <c r="F58" s="130">
        <f t="shared" si="20"/>
        <v>49149.897040000011</v>
      </c>
      <c r="G58" s="320">
        <f t="shared" ref="G58:G61" si="21">E58/$E$62</f>
        <v>2.0257572974400711E-2</v>
      </c>
      <c r="H58" s="320">
        <f t="shared" ref="H58:H61" si="22">(E58-I58)/I58</f>
        <v>-0.16078214046281639</v>
      </c>
      <c r="I58" s="326">
        <f t="shared" ref="I58:J58" si="23">I40+I46+I52</f>
        <v>5377.2950000000001</v>
      </c>
      <c r="J58" s="130">
        <f t="shared" si="23"/>
        <v>57354.183229999995</v>
      </c>
      <c r="K58" s="320">
        <f t="shared" ref="K58:K61" si="24">I58/$I$62</f>
        <v>2.4732413599268217E-2</v>
      </c>
    </row>
    <row r="59" spans="1:11" ht="11.1" customHeight="1">
      <c r="A59" s="428"/>
      <c r="B59" s="428"/>
      <c r="C59" s="155" t="s">
        <v>6</v>
      </c>
      <c r="D59" s="326">
        <f>D53</f>
        <v>12955</v>
      </c>
      <c r="E59" s="130">
        <f>E41+E47+E53</f>
        <v>4517.3</v>
      </c>
      <c r="F59" s="130">
        <f t="shared" si="20"/>
        <v>49189.459650000004</v>
      </c>
      <c r="G59" s="320">
        <f t="shared" si="21"/>
        <v>2.0278123579795151E-2</v>
      </c>
      <c r="H59" s="320">
        <f t="shared" si="22"/>
        <v>0.11908925017328999</v>
      </c>
      <c r="I59" s="326">
        <f>I41+I47+I53</f>
        <v>4036.5860000000002</v>
      </c>
      <c r="J59" s="130">
        <f t="shared" ref="J59" si="25">J41+J47+J53</f>
        <v>43014.369990000007</v>
      </c>
      <c r="K59" s="320">
        <f t="shared" si="24"/>
        <v>1.8565935936379854E-2</v>
      </c>
    </row>
    <row r="60" spans="1:11" ht="11.1" customHeight="1">
      <c r="A60" s="428"/>
      <c r="B60" s="428"/>
      <c r="C60" s="155" t="s">
        <v>7</v>
      </c>
      <c r="D60" s="326">
        <f>D54</f>
        <v>206724</v>
      </c>
      <c r="E60" s="130">
        <f t="shared" ref="E60:F61" si="26">E42+E48+E54</f>
        <v>7166.2</v>
      </c>
      <c r="F60" s="130">
        <f t="shared" si="26"/>
        <v>78112.2</v>
      </c>
      <c r="G60" s="320">
        <f t="shared" si="21"/>
        <v>3.2169014499264605E-2</v>
      </c>
      <c r="H60" s="320">
        <f t="shared" si="22"/>
        <v>-0.22315088837577365</v>
      </c>
      <c r="I60" s="326">
        <f t="shared" ref="I60:J60" si="27">I42+I48+I54</f>
        <v>9224.6999999999989</v>
      </c>
      <c r="J60" s="130">
        <f t="shared" si="27"/>
        <v>98385.4</v>
      </c>
      <c r="K60" s="320">
        <f t="shared" si="24"/>
        <v>4.2428227525023177E-2</v>
      </c>
    </row>
    <row r="61" spans="1:11" ht="11.1" customHeight="1">
      <c r="A61" s="428"/>
      <c r="B61" s="428"/>
      <c r="C61" s="155" t="s">
        <v>93</v>
      </c>
      <c r="D61" s="326">
        <f>D55</f>
        <v>19</v>
      </c>
      <c r="E61" s="130">
        <f>E43+E49+E55</f>
        <v>1155.6970000000001</v>
      </c>
      <c r="F61" s="130">
        <f t="shared" si="26"/>
        <v>12578.67388</v>
      </c>
      <c r="G61" s="320">
        <f t="shared" si="21"/>
        <v>5.1879145920790118E-3</v>
      </c>
      <c r="H61" s="320">
        <f t="shared" si="22"/>
        <v>-0.15377197401486709</v>
      </c>
      <c r="I61" s="326">
        <f>I43+I49+I55</f>
        <v>1365.7040000000002</v>
      </c>
      <c r="J61" s="130">
        <f t="shared" ref="J61" si="28">J43+J49+J55</f>
        <v>14567.655769999999</v>
      </c>
      <c r="K61" s="320">
        <f t="shared" si="24"/>
        <v>6.281440051582628E-3</v>
      </c>
    </row>
    <row r="62" spans="1:11" ht="11.1" customHeight="1">
      <c r="A62" s="433"/>
      <c r="B62" s="433"/>
      <c r="C62" s="331" t="s">
        <v>0</v>
      </c>
      <c r="D62" s="334">
        <f>SUM(D57:D61)</f>
        <v>220140</v>
      </c>
      <c r="E62" s="332">
        <f>SUM(E57:E61)</f>
        <v>222767.16000000003</v>
      </c>
      <c r="F62" s="332">
        <f>SUM(F57:F61)</f>
        <v>2428930.7959000012</v>
      </c>
      <c r="G62" s="333">
        <f>SUM(G57:G61)</f>
        <v>1</v>
      </c>
      <c r="H62" s="333">
        <f>(E62-I62)/I62</f>
        <v>2.4598713192108625E-2</v>
      </c>
      <c r="I62" s="334">
        <f>SUM(I57:I61)</f>
        <v>217418.93400000004</v>
      </c>
      <c r="J62" s="332">
        <f>SUM(J57:J61)</f>
        <v>2318765.5630800002</v>
      </c>
      <c r="K62" s="333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6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84" customWidth="1"/>
    <col min="2" max="2" width="3.85546875" style="84" customWidth="1"/>
    <col min="3" max="11" width="9.5703125" style="84" customWidth="1"/>
    <col min="12" max="13" width="9.140625" style="84"/>
    <col min="14" max="14" width="11.140625" style="84" customWidth="1"/>
    <col min="15" max="16384" width="9.140625" style="84"/>
  </cols>
  <sheetData>
    <row r="1" spans="1:16" s="103" customFormat="1" ht="18">
      <c r="A1" s="500" t="s">
        <v>312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6" s="103" customFormat="1" ht="3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6" ht="3" customHeight="1">
      <c r="A3" s="517"/>
      <c r="B3" s="517"/>
      <c r="C3" s="517"/>
      <c r="D3" s="313"/>
      <c r="E3" s="313"/>
      <c r="F3" s="314"/>
      <c r="G3" s="315"/>
      <c r="H3" s="315"/>
      <c r="I3" s="315"/>
      <c r="J3" s="76"/>
      <c r="K3" s="76"/>
    </row>
    <row r="4" spans="1:16" ht="12.95" customHeight="1">
      <c r="A4" s="478" t="s">
        <v>46</v>
      </c>
      <c r="B4" s="478"/>
      <c r="C4" s="478"/>
      <c r="D4" s="472">
        <f>'3.1'!A4</f>
        <v>2022</v>
      </c>
      <c r="E4" s="372"/>
      <c r="F4" s="361"/>
      <c r="G4" s="361"/>
      <c r="H4" s="361"/>
      <c r="I4" s="472">
        <f>D4-1</f>
        <v>2021</v>
      </c>
      <c r="J4" s="473"/>
      <c r="K4" s="473"/>
    </row>
    <row r="5" spans="1:16" ht="24.95" customHeight="1">
      <c r="A5" s="373"/>
      <c r="B5" s="373"/>
      <c r="C5" s="373"/>
      <c r="D5" s="474"/>
      <c r="E5" s="374"/>
      <c r="F5" s="375"/>
      <c r="G5" s="375"/>
      <c r="H5" s="376"/>
      <c r="I5" s="474"/>
      <c r="J5" s="475"/>
      <c r="K5" s="475"/>
    </row>
    <row r="6" spans="1:16" ht="24.95" customHeight="1">
      <c r="A6" s="317"/>
      <c r="B6" s="285"/>
      <c r="C6" s="318"/>
      <c r="D6" s="383" t="s">
        <v>160</v>
      </c>
      <c r="E6" s="470" t="s">
        <v>60</v>
      </c>
      <c r="F6" s="470"/>
      <c r="G6" s="471" t="s">
        <v>33</v>
      </c>
      <c r="H6" s="471" t="s">
        <v>273</v>
      </c>
      <c r="I6" s="469" t="s">
        <v>60</v>
      </c>
      <c r="J6" s="470"/>
      <c r="K6" s="471" t="s">
        <v>33</v>
      </c>
    </row>
    <row r="7" spans="1:16" ht="24.95" customHeight="1">
      <c r="A7" s="317"/>
      <c r="B7" s="319"/>
      <c r="D7" s="384"/>
      <c r="E7" s="470"/>
      <c r="F7" s="470"/>
      <c r="G7" s="471"/>
      <c r="H7" s="471"/>
      <c r="I7" s="469"/>
      <c r="J7" s="470"/>
      <c r="K7" s="471"/>
    </row>
    <row r="8" spans="1:16" ht="15" customHeight="1">
      <c r="A8" s="479" t="s">
        <v>159</v>
      </c>
      <c r="B8" s="479"/>
      <c r="C8" s="336" t="s">
        <v>185</v>
      </c>
      <c r="D8" s="362"/>
      <c r="E8" s="222" t="s">
        <v>264</v>
      </c>
      <c r="F8" s="222" t="s">
        <v>265</v>
      </c>
      <c r="G8" s="467"/>
      <c r="H8" s="467"/>
      <c r="I8" s="224" t="s">
        <v>264</v>
      </c>
      <c r="J8" s="222" t="s">
        <v>265</v>
      </c>
      <c r="K8" s="467"/>
    </row>
    <row r="9" spans="1:16" ht="11.1" customHeight="1">
      <c r="A9" s="434" t="str">
        <f>'3.1'!D5</f>
        <v>Červenec</v>
      </c>
      <c r="B9" s="434"/>
      <c r="C9" s="165" t="s">
        <v>4</v>
      </c>
      <c r="D9" s="325">
        <v>96</v>
      </c>
      <c r="E9" s="321">
        <v>5735.8429000000006</v>
      </c>
      <c r="F9" s="321">
        <v>62310.183520000013</v>
      </c>
      <c r="G9" s="322">
        <f>E9/$E$14</f>
        <v>0.62168661884665155</v>
      </c>
      <c r="H9" s="322">
        <f>(E9-I9)/I9</f>
        <v>-0.16568378974884884</v>
      </c>
      <c r="I9" s="325">
        <v>6874.9028600000001</v>
      </c>
      <c r="J9" s="321">
        <v>73425.544409999973</v>
      </c>
      <c r="K9" s="322">
        <f>I9/$I$14</f>
        <v>0.63454630346754837</v>
      </c>
    </row>
    <row r="10" spans="1:16" ht="11.1" customHeight="1">
      <c r="A10" s="428"/>
      <c r="B10" s="428"/>
      <c r="C10" s="155" t="s">
        <v>5</v>
      </c>
      <c r="D10" s="326">
        <v>314</v>
      </c>
      <c r="E10" s="130">
        <v>1074.7339100000002</v>
      </c>
      <c r="F10" s="130">
        <v>11673.432520000004</v>
      </c>
      <c r="G10" s="320">
        <f>E10/$E$14</f>
        <v>0.11648640004902183</v>
      </c>
      <c r="H10" s="320">
        <f>(E10-I10)/I10</f>
        <v>-0.11379487021252199</v>
      </c>
      <c r="I10" s="326">
        <v>1212.7371800000001</v>
      </c>
      <c r="J10" s="130">
        <v>12952.474409999999</v>
      </c>
      <c r="K10" s="320">
        <f>I10/$I$14</f>
        <v>0.11193436624741764</v>
      </c>
      <c r="L10" s="94"/>
      <c r="N10" s="94"/>
      <c r="O10" s="94"/>
      <c r="P10" s="94"/>
    </row>
    <row r="11" spans="1:16" ht="11.1" customHeight="1">
      <c r="A11" s="428"/>
      <c r="B11" s="428"/>
      <c r="C11" s="155" t="s">
        <v>6</v>
      </c>
      <c r="D11" s="326">
        <v>10817</v>
      </c>
      <c r="E11" s="130">
        <v>966.48690999999985</v>
      </c>
      <c r="F11" s="130">
        <v>10500.712380000001</v>
      </c>
      <c r="G11" s="320">
        <f>E11/$E$14</f>
        <v>0.10475391144995409</v>
      </c>
      <c r="H11" s="320">
        <f t="shared" ref="H11:H13" si="0">(E11-I11)/I11</f>
        <v>0.11608806907520439</v>
      </c>
      <c r="I11" s="326">
        <v>865.95936000000006</v>
      </c>
      <c r="J11" s="130">
        <v>9248.8559499999992</v>
      </c>
      <c r="K11" s="320">
        <f>I11/$I$14</f>
        <v>7.992713817648385E-2</v>
      </c>
      <c r="L11" s="94"/>
      <c r="N11" s="94"/>
      <c r="O11" s="94"/>
      <c r="P11" s="94"/>
    </row>
    <row r="12" spans="1:16" ht="11.1" customHeight="1">
      <c r="A12" s="428"/>
      <c r="B12" s="428"/>
      <c r="C12" s="155" t="s">
        <v>7</v>
      </c>
      <c r="D12" s="326">
        <v>108240</v>
      </c>
      <c r="E12" s="130">
        <v>1270.3881099999999</v>
      </c>
      <c r="F12" s="130">
        <v>13804.43527</v>
      </c>
      <c r="G12" s="320">
        <f>E12/$E$14</f>
        <v>0.13769262905176288</v>
      </c>
      <c r="H12" s="320">
        <f t="shared" si="0"/>
        <v>-0.23562975912773954</v>
      </c>
      <c r="I12" s="326">
        <v>1662.0062399999999</v>
      </c>
      <c r="J12" s="130">
        <v>17750.457060000001</v>
      </c>
      <c r="K12" s="320">
        <f>I12/$I$14</f>
        <v>0.15340142797770367</v>
      </c>
      <c r="L12" s="94"/>
      <c r="N12" s="94"/>
      <c r="O12" s="94"/>
      <c r="P12" s="94"/>
    </row>
    <row r="13" spans="1:16" ht="11.1" customHeight="1">
      <c r="A13" s="428"/>
      <c r="B13" s="428"/>
      <c r="C13" s="155" t="s">
        <v>93</v>
      </c>
      <c r="D13" s="326">
        <v>15</v>
      </c>
      <c r="E13" s="130">
        <v>178.809</v>
      </c>
      <c r="F13" s="130">
        <v>1941.0045299999997</v>
      </c>
      <c r="G13" s="320">
        <f>E13/$E$14</f>
        <v>1.9380440602609759E-2</v>
      </c>
      <c r="H13" s="320">
        <f t="shared" si="0"/>
        <v>-0.18260237527085216</v>
      </c>
      <c r="I13" s="326">
        <v>218.75399999999999</v>
      </c>
      <c r="J13" s="130">
        <v>2336.47831</v>
      </c>
      <c r="K13" s="320">
        <f>I13/$I$14</f>
        <v>2.0190764130846219E-2</v>
      </c>
      <c r="L13" s="94"/>
      <c r="N13" s="94"/>
      <c r="O13" s="94"/>
      <c r="P13" s="94"/>
    </row>
    <row r="14" spans="1:16" ht="11.1" customHeight="1">
      <c r="A14" s="433"/>
      <c r="B14" s="433"/>
      <c r="C14" s="331" t="s">
        <v>0</v>
      </c>
      <c r="D14" s="334">
        <v>119482</v>
      </c>
      <c r="E14" s="332">
        <v>9226.2608299999993</v>
      </c>
      <c r="F14" s="332">
        <v>100229.76822000003</v>
      </c>
      <c r="G14" s="333">
        <f>SUM(G9:G13)</f>
        <v>1</v>
      </c>
      <c r="H14" s="333">
        <f>(E14-I14)/I14</f>
        <v>-0.14842582888452122</v>
      </c>
      <c r="I14" s="334">
        <v>10834.359640000002</v>
      </c>
      <c r="J14" s="332">
        <v>115713.81013999997</v>
      </c>
      <c r="K14" s="333">
        <f>SUM(K9:K13)</f>
        <v>0.99999999999999967</v>
      </c>
      <c r="L14" s="94"/>
    </row>
    <row r="15" spans="1:16" ht="11.1" customHeight="1">
      <c r="A15" s="434" t="str">
        <f>'3.1'!E5</f>
        <v>Srpen</v>
      </c>
      <c r="B15" s="434"/>
      <c r="C15" s="165" t="s">
        <v>4</v>
      </c>
      <c r="D15" s="325">
        <v>96</v>
      </c>
      <c r="E15" s="321">
        <v>6465.8775400000004</v>
      </c>
      <c r="F15" s="321">
        <v>70172.428880000021</v>
      </c>
      <c r="G15" s="322">
        <f>E15/$E$20</f>
        <v>0.63915023309798735</v>
      </c>
      <c r="H15" s="322">
        <f>(E15-I15)/I15</f>
        <v>-0.12568569104217414</v>
      </c>
      <c r="I15" s="325">
        <v>7395.3696899999995</v>
      </c>
      <c r="J15" s="321">
        <v>78833.359700000015</v>
      </c>
      <c r="K15" s="322">
        <f>I15/$I$20</f>
        <v>0.59557527041927183</v>
      </c>
      <c r="L15" s="94"/>
      <c r="M15" s="94"/>
    </row>
    <row r="16" spans="1:16" ht="11.1" customHeight="1">
      <c r="A16" s="428"/>
      <c r="B16" s="428"/>
      <c r="C16" s="155" t="s">
        <v>5</v>
      </c>
      <c r="D16" s="326">
        <v>314</v>
      </c>
      <c r="E16" s="130">
        <v>1312.3667699999999</v>
      </c>
      <c r="F16" s="130">
        <v>14245.72985</v>
      </c>
      <c r="G16" s="320">
        <f>E16/$E$20</f>
        <v>0.12972709763933335</v>
      </c>
      <c r="H16" s="320">
        <f>(E16-I16)/I16</f>
        <v>-0.19692573994054277</v>
      </c>
      <c r="I16" s="326">
        <v>1634.1786000000002</v>
      </c>
      <c r="J16" s="130">
        <v>17420.182150000011</v>
      </c>
      <c r="K16" s="320">
        <f>I16/$I$20</f>
        <v>0.13160618094920243</v>
      </c>
      <c r="L16" s="98"/>
      <c r="M16" s="94"/>
    </row>
    <row r="17" spans="1:20" ht="11.1" customHeight="1">
      <c r="A17" s="428"/>
      <c r="B17" s="428"/>
      <c r="C17" s="155" t="s">
        <v>6</v>
      </c>
      <c r="D17" s="326">
        <v>10800</v>
      </c>
      <c r="E17" s="130">
        <v>943.38508999999999</v>
      </c>
      <c r="F17" s="130">
        <v>10237.169690000001</v>
      </c>
      <c r="G17" s="320">
        <f>E17/$E$20</f>
        <v>9.3253359106251446E-2</v>
      </c>
      <c r="H17" s="320">
        <f t="shared" ref="H17:H20" si="1">(E17-I17)/I17</f>
        <v>-0.11820589995193333</v>
      </c>
      <c r="I17" s="326">
        <v>1069.84736</v>
      </c>
      <c r="J17" s="130">
        <v>11404.19629</v>
      </c>
      <c r="K17" s="320">
        <f>I17/$I$20</f>
        <v>8.6158590773484922E-2</v>
      </c>
      <c r="L17" s="94"/>
      <c r="M17" s="94"/>
      <c r="N17" s="94"/>
      <c r="O17" s="94"/>
    </row>
    <row r="18" spans="1:20" ht="11.1" customHeight="1">
      <c r="A18" s="428"/>
      <c r="B18" s="428"/>
      <c r="C18" s="155" t="s">
        <v>7</v>
      </c>
      <c r="D18" s="326">
        <v>108089</v>
      </c>
      <c r="E18" s="130">
        <v>1222.1183700000001</v>
      </c>
      <c r="F18" s="130">
        <v>13262.554099999999</v>
      </c>
      <c r="G18" s="320">
        <f>E18/$E$20</f>
        <v>0.1208060678889431</v>
      </c>
      <c r="H18" s="320">
        <f t="shared" si="1"/>
        <v>-0.41396302894532194</v>
      </c>
      <c r="I18" s="326">
        <v>2085.3946599999999</v>
      </c>
      <c r="J18" s="130">
        <v>22229.472839999999</v>
      </c>
      <c r="K18" s="320">
        <f>I18/$I$20</f>
        <v>0.16794420571561791</v>
      </c>
      <c r="L18" s="94"/>
      <c r="M18" s="94"/>
      <c r="N18" s="94"/>
      <c r="O18" s="94"/>
    </row>
    <row r="19" spans="1:20" ht="11.1" customHeight="1">
      <c r="A19" s="428"/>
      <c r="B19" s="428"/>
      <c r="C19" s="155" t="s">
        <v>93</v>
      </c>
      <c r="D19" s="326">
        <v>15</v>
      </c>
      <c r="E19" s="130">
        <v>172.61799999999999</v>
      </c>
      <c r="F19" s="130">
        <v>1873.6717899999999</v>
      </c>
      <c r="G19" s="320">
        <f>E19/$E$20</f>
        <v>1.7063242267484759E-2</v>
      </c>
      <c r="H19" s="320">
        <f t="shared" si="1"/>
        <v>-0.25722793323493848</v>
      </c>
      <c r="I19" s="326">
        <v>232.39699999999999</v>
      </c>
      <c r="J19" s="130">
        <v>2477.3981100000005</v>
      </c>
      <c r="K19" s="320">
        <f>I19/$I$20</f>
        <v>1.8715752142422985E-2</v>
      </c>
      <c r="L19" s="94"/>
      <c r="M19" s="94"/>
      <c r="N19" s="94"/>
      <c r="O19" s="94"/>
    </row>
    <row r="20" spans="1:20" ht="11.1" customHeight="1">
      <c r="A20" s="433"/>
      <c r="B20" s="433"/>
      <c r="C20" s="331" t="s">
        <v>0</v>
      </c>
      <c r="D20" s="334">
        <v>119314</v>
      </c>
      <c r="E20" s="332">
        <v>10116.36577</v>
      </c>
      <c r="F20" s="332">
        <v>109791.55431000001</v>
      </c>
      <c r="G20" s="333">
        <f>SUM(G15:G19)</f>
        <v>1</v>
      </c>
      <c r="H20" s="333">
        <f t="shared" si="1"/>
        <v>-0.18529329408980294</v>
      </c>
      <c r="I20" s="334">
        <v>12417.187309999999</v>
      </c>
      <c r="J20" s="332">
        <v>132364.60909000004</v>
      </c>
      <c r="K20" s="333">
        <f>SUM(K15:K19)</f>
        <v>1.0000000000000002</v>
      </c>
      <c r="L20" s="94"/>
      <c r="M20" s="94"/>
      <c r="N20" s="94"/>
      <c r="O20" s="94"/>
    </row>
    <row r="21" spans="1:20" ht="11.1" customHeight="1">
      <c r="A21" s="434" t="str">
        <f>'3.1'!F5</f>
        <v>Září</v>
      </c>
      <c r="B21" s="434"/>
      <c r="C21" s="165" t="s">
        <v>4</v>
      </c>
      <c r="D21" s="325">
        <v>95</v>
      </c>
      <c r="E21" s="321">
        <v>6736.6751899999999</v>
      </c>
      <c r="F21" s="321">
        <v>73622.063370000018</v>
      </c>
      <c r="G21" s="322">
        <f>E21/$E$26</f>
        <v>0.50427439717311451</v>
      </c>
      <c r="H21" s="322">
        <f>(E21-I21)/I21</f>
        <v>-0.17790621434570589</v>
      </c>
      <c r="I21" s="325">
        <v>8194.5336499999994</v>
      </c>
      <c r="J21" s="321">
        <v>87382.800509999972</v>
      </c>
      <c r="K21" s="322">
        <f>I21/$I$26</f>
        <v>0.55458928917620665</v>
      </c>
      <c r="L21" s="88"/>
      <c r="M21" s="88"/>
      <c r="N21" s="88"/>
      <c r="O21" s="88"/>
      <c r="P21" s="88"/>
      <c r="Q21" s="88"/>
      <c r="R21" s="88"/>
      <c r="S21" s="88"/>
      <c r="T21" s="88"/>
    </row>
    <row r="22" spans="1:20" ht="11.1" customHeight="1">
      <c r="A22" s="428"/>
      <c r="B22" s="428"/>
      <c r="C22" s="155" t="s">
        <v>5</v>
      </c>
      <c r="D22" s="326">
        <v>314</v>
      </c>
      <c r="E22" s="130">
        <v>1667.62114</v>
      </c>
      <c r="F22" s="130">
        <v>18222.159999999993</v>
      </c>
      <c r="G22" s="320">
        <f>E22/$E$26</f>
        <v>0.12482992297668459</v>
      </c>
      <c r="H22" s="320">
        <f t="shared" ref="H22:H26" si="2">(E22-I22)/I22</f>
        <v>-6.3465618953544328E-2</v>
      </c>
      <c r="I22" s="326">
        <v>1780.6299200000001</v>
      </c>
      <c r="J22" s="130">
        <v>18988.207260000006</v>
      </c>
      <c r="K22" s="320">
        <f>I22/$I$26</f>
        <v>0.12050939367595198</v>
      </c>
      <c r="L22" s="88"/>
      <c r="M22" s="88"/>
      <c r="N22" s="88"/>
      <c r="O22" s="88"/>
      <c r="P22" s="88"/>
      <c r="Q22" s="88"/>
      <c r="R22" s="88"/>
      <c r="S22" s="88"/>
      <c r="T22" s="88"/>
    </row>
    <row r="23" spans="1:20" ht="11.1" customHeight="1">
      <c r="A23" s="428"/>
      <c r="B23" s="428"/>
      <c r="C23" s="155" t="s">
        <v>6</v>
      </c>
      <c r="D23" s="326">
        <v>10771</v>
      </c>
      <c r="E23" s="130">
        <v>2016.9325699999999</v>
      </c>
      <c r="F23" s="130">
        <v>22044.189780000001</v>
      </c>
      <c r="G23" s="320">
        <f>E23/$E$26</f>
        <v>0.15097765992716217</v>
      </c>
      <c r="H23" s="320">
        <f t="shared" si="2"/>
        <v>0.25534571867581007</v>
      </c>
      <c r="I23" s="326">
        <v>1606.67499</v>
      </c>
      <c r="J23" s="130">
        <v>17133.234239999998</v>
      </c>
      <c r="K23" s="320">
        <f>I23/$I$26</f>
        <v>0.10873647954832535</v>
      </c>
      <c r="L23" s="88"/>
      <c r="M23" s="88"/>
      <c r="N23" s="88"/>
      <c r="O23" s="88"/>
      <c r="P23" s="88"/>
      <c r="Q23" s="88"/>
      <c r="R23" s="88"/>
      <c r="S23" s="88"/>
      <c r="T23" s="88"/>
    </row>
    <row r="24" spans="1:20" ht="11.1" customHeight="1">
      <c r="A24" s="428"/>
      <c r="B24" s="428"/>
      <c r="C24" s="155" t="s">
        <v>7</v>
      </c>
      <c r="D24" s="326">
        <v>107956</v>
      </c>
      <c r="E24" s="130">
        <v>2780.3898899999999</v>
      </c>
      <c r="F24" s="130">
        <v>30393.232769999999</v>
      </c>
      <c r="G24" s="320">
        <f>E24/$E$26</f>
        <v>0.20812632287322319</v>
      </c>
      <c r="H24" s="320">
        <f t="shared" si="2"/>
        <v>-6.3309217669133E-2</v>
      </c>
      <c r="I24" s="326">
        <v>2968.3113600000001</v>
      </c>
      <c r="J24" s="130">
        <v>31650.450040000003</v>
      </c>
      <c r="K24" s="320">
        <f>I24/$I$26</f>
        <v>0.2008892461129938</v>
      </c>
      <c r="L24" s="88"/>
      <c r="M24" s="88"/>
      <c r="N24" s="88"/>
      <c r="O24" s="88"/>
      <c r="P24" s="88"/>
      <c r="Q24" s="88"/>
      <c r="R24" s="88"/>
      <c r="S24" s="88"/>
      <c r="T24" s="88"/>
    </row>
    <row r="25" spans="1:20" ht="11.1" customHeight="1">
      <c r="A25" s="428"/>
      <c r="B25" s="428"/>
      <c r="C25" s="155" t="s">
        <v>93</v>
      </c>
      <c r="D25" s="326">
        <v>15</v>
      </c>
      <c r="E25" s="130">
        <v>157.52699999999999</v>
      </c>
      <c r="F25" s="130">
        <v>1719.5150099999998</v>
      </c>
      <c r="G25" s="320">
        <f>E25/$E$26</f>
        <v>1.1791697049815638E-2</v>
      </c>
      <c r="H25" s="320">
        <f t="shared" si="2"/>
        <v>-0.30208231801869662</v>
      </c>
      <c r="I25" s="326">
        <v>225.71</v>
      </c>
      <c r="J25" s="130">
        <v>2407.19596</v>
      </c>
      <c r="K25" s="320">
        <f>I25/$I$26</f>
        <v>1.5275591486522433E-2</v>
      </c>
      <c r="L25" s="88"/>
      <c r="M25" s="88"/>
      <c r="N25" s="88"/>
      <c r="O25" s="88"/>
      <c r="P25" s="88"/>
      <c r="Q25" s="88"/>
      <c r="R25" s="88"/>
      <c r="S25" s="88"/>
      <c r="T25" s="88"/>
    </row>
    <row r="26" spans="1:20" ht="11.1" customHeight="1">
      <c r="A26" s="433"/>
      <c r="B26" s="433"/>
      <c r="C26" s="331" t="s">
        <v>0</v>
      </c>
      <c r="D26" s="334">
        <v>119151</v>
      </c>
      <c r="E26" s="332">
        <v>13359.145789999999</v>
      </c>
      <c r="F26" s="332">
        <v>146001.16093000001</v>
      </c>
      <c r="G26" s="333">
        <f>SUM(G21:G25)</f>
        <v>1</v>
      </c>
      <c r="H26" s="333">
        <f t="shared" si="2"/>
        <v>-9.5880316791741665E-2</v>
      </c>
      <c r="I26" s="334">
        <v>14775.859919999997</v>
      </c>
      <c r="J26" s="332">
        <v>157561.88801</v>
      </c>
      <c r="K26" s="333">
        <f>SUM(K21:K25)</f>
        <v>1</v>
      </c>
    </row>
    <row r="27" spans="1:20" ht="11.1" customHeight="1">
      <c r="A27" s="491" t="str">
        <f>'3.1'!G5</f>
        <v>III. čtvrtletí</v>
      </c>
      <c r="B27" s="434"/>
      <c r="C27" s="165" t="s">
        <v>4</v>
      </c>
      <c r="D27" s="325">
        <f>D21</f>
        <v>95</v>
      </c>
      <c r="E27" s="321">
        <f>E9+E15+E21</f>
        <v>18938.395629999999</v>
      </c>
      <c r="F27" s="321">
        <f>F9+F15+F21</f>
        <v>206104.67577000006</v>
      </c>
      <c r="G27" s="322">
        <f>E27/$E$32</f>
        <v>0.57912444023343645</v>
      </c>
      <c r="H27" s="322">
        <f>(E27-I27)/I27</f>
        <v>-0.15697489391206054</v>
      </c>
      <c r="I27" s="325">
        <f>I9+I15+I21</f>
        <v>22464.806199999999</v>
      </c>
      <c r="J27" s="321">
        <f>J9+J15+J21</f>
        <v>239641.70461999997</v>
      </c>
      <c r="K27" s="322">
        <f>I27/$I$32</f>
        <v>0.59075303969050252</v>
      </c>
    </row>
    <row r="28" spans="1:20" ht="11.1" customHeight="1">
      <c r="A28" s="428"/>
      <c r="B28" s="428"/>
      <c r="C28" s="155" t="s">
        <v>5</v>
      </c>
      <c r="D28" s="326">
        <f>D22</f>
        <v>314</v>
      </c>
      <c r="E28" s="130">
        <f t="shared" ref="E28:F31" si="3">E10+E16+E22</f>
        <v>4054.7218199999998</v>
      </c>
      <c r="F28" s="130">
        <f t="shared" si="3"/>
        <v>44141.322369999994</v>
      </c>
      <c r="G28" s="320">
        <f>E28/$E$32</f>
        <v>0.12399088867855702</v>
      </c>
      <c r="H28" s="320">
        <f t="shared" ref="H28:H31" si="4">(E28-I28)/I28</f>
        <v>-0.12378567757850577</v>
      </c>
      <c r="I28" s="326">
        <f t="shared" ref="I28:J28" si="5">I10+I16+I22</f>
        <v>4627.5457000000006</v>
      </c>
      <c r="J28" s="130">
        <f t="shared" si="5"/>
        <v>49360.863820000013</v>
      </c>
      <c r="K28" s="320">
        <f>I28/$I$32</f>
        <v>0.12168975170512332</v>
      </c>
    </row>
    <row r="29" spans="1:20" ht="11.1" customHeight="1">
      <c r="A29" s="428"/>
      <c r="B29" s="428"/>
      <c r="C29" s="155" t="s">
        <v>6</v>
      </c>
      <c r="D29" s="326">
        <f>D23</f>
        <v>10771</v>
      </c>
      <c r="E29" s="130">
        <f t="shared" si="3"/>
        <v>3926.8045699999998</v>
      </c>
      <c r="F29" s="130">
        <f t="shared" si="3"/>
        <v>42782.07185</v>
      </c>
      <c r="G29" s="320">
        <f>E29/$E$32</f>
        <v>0.12007925818726548</v>
      </c>
      <c r="H29" s="320">
        <f t="shared" si="4"/>
        <v>0.10848972315512669</v>
      </c>
      <c r="I29" s="326">
        <f t="shared" ref="I29:J29" si="6">I11+I17+I23</f>
        <v>3542.48171</v>
      </c>
      <c r="J29" s="130">
        <f t="shared" si="6"/>
        <v>37786.286479999995</v>
      </c>
      <c r="K29" s="320">
        <f>I29/$I$32</f>
        <v>9.3156015662868685E-2</v>
      </c>
    </row>
    <row r="30" spans="1:20" ht="11.1" customHeight="1">
      <c r="A30" s="428"/>
      <c r="B30" s="428"/>
      <c r="C30" s="155" t="s">
        <v>7</v>
      </c>
      <c r="D30" s="326">
        <f>D24</f>
        <v>107956</v>
      </c>
      <c r="E30" s="130">
        <f t="shared" si="3"/>
        <v>5272.8963700000004</v>
      </c>
      <c r="F30" s="130">
        <f t="shared" si="3"/>
        <v>57460.222139999998</v>
      </c>
      <c r="G30" s="320">
        <f>E30/$E$32</f>
        <v>0.16124191395853577</v>
      </c>
      <c r="H30" s="320">
        <f t="shared" si="4"/>
        <v>-0.21484182676998728</v>
      </c>
      <c r="I30" s="326">
        <f t="shared" ref="I30:J30" si="7">I12+I18+I24</f>
        <v>6715.7122600000002</v>
      </c>
      <c r="J30" s="130">
        <f t="shared" si="7"/>
        <v>71630.379940000013</v>
      </c>
      <c r="K30" s="320">
        <f>I30/$I$32</f>
        <v>0.17660189880835808</v>
      </c>
    </row>
    <row r="31" spans="1:20" ht="11.1" customHeight="1">
      <c r="A31" s="428"/>
      <c r="B31" s="428"/>
      <c r="C31" s="155" t="s">
        <v>93</v>
      </c>
      <c r="D31" s="326">
        <f>D25</f>
        <v>15</v>
      </c>
      <c r="E31" s="130">
        <f>E13+E19+E25</f>
        <v>508.95400000000001</v>
      </c>
      <c r="F31" s="130">
        <f t="shared" si="3"/>
        <v>5534.1913299999997</v>
      </c>
      <c r="G31" s="320">
        <f>E31/$E$32</f>
        <v>1.5563498942205193E-2</v>
      </c>
      <c r="H31" s="320">
        <f t="shared" si="4"/>
        <v>-0.24806718070623066</v>
      </c>
      <c r="I31" s="326">
        <f>I13+I19+I25</f>
        <v>676.86099999999999</v>
      </c>
      <c r="J31" s="130">
        <f t="shared" ref="J31" si="8">J13+J19+J25</f>
        <v>7221.0723800000005</v>
      </c>
      <c r="K31" s="320">
        <f>I31/$I$32</f>
        <v>1.7799294133147396E-2</v>
      </c>
    </row>
    <row r="32" spans="1:20" ht="11.1" customHeight="1">
      <c r="A32" s="433"/>
      <c r="B32" s="433"/>
      <c r="C32" s="331" t="s">
        <v>0</v>
      </c>
      <c r="D32" s="334">
        <f>SUM(D27:D31)</f>
        <v>119151</v>
      </c>
      <c r="E32" s="332">
        <f>SUM(E27:E31)</f>
        <v>32701.772390000002</v>
      </c>
      <c r="F32" s="332">
        <f>SUM(F27:F31)</f>
        <v>356022.48346000008</v>
      </c>
      <c r="G32" s="333">
        <f>SUM(G27:G31)</f>
        <v>0.99999999999999989</v>
      </c>
      <c r="H32" s="333">
        <f>(E32-I32)/I32</f>
        <v>-0.14004726901853029</v>
      </c>
      <c r="I32" s="334">
        <f>SUM(I27:I31)</f>
        <v>38027.406869999999</v>
      </c>
      <c r="J32" s="332">
        <f>SUM(J27:J31)</f>
        <v>405640.30724000005</v>
      </c>
      <c r="K32" s="333">
        <f>SUM(K27:K31)</f>
        <v>1</v>
      </c>
    </row>
    <row r="33" spans="1:11" ht="9.9499999999999993" customHeight="1">
      <c r="A33" s="377"/>
      <c r="B33" s="378"/>
      <c r="C33" s="379"/>
      <c r="D33" s="380"/>
      <c r="E33" s="380"/>
      <c r="F33" s="380"/>
      <c r="G33" s="381"/>
      <c r="H33" s="382"/>
      <c r="I33" s="380"/>
      <c r="J33" s="380"/>
      <c r="K33" s="381"/>
    </row>
    <row r="34" spans="1:11" ht="12.95" customHeight="1">
      <c r="A34" s="516" t="s">
        <v>47</v>
      </c>
      <c r="B34" s="516"/>
      <c r="C34" s="516"/>
      <c r="D34" s="472">
        <f>D4</f>
        <v>2022</v>
      </c>
      <c r="E34" s="372"/>
      <c r="F34" s="361"/>
      <c r="G34" s="361"/>
      <c r="H34" s="361"/>
      <c r="I34" s="472">
        <f>D34-1</f>
        <v>2021</v>
      </c>
      <c r="J34" s="473"/>
      <c r="K34" s="473"/>
    </row>
    <row r="35" spans="1:11" ht="24.95" customHeight="1">
      <c r="A35" s="317"/>
      <c r="B35" s="285"/>
      <c r="C35" s="151"/>
      <c r="D35" s="474"/>
      <c r="E35" s="374"/>
      <c r="F35" s="375"/>
      <c r="G35" s="375"/>
      <c r="H35" s="376"/>
      <c r="I35" s="474"/>
      <c r="J35" s="475"/>
      <c r="K35" s="475"/>
    </row>
    <row r="36" spans="1:11" ht="24.95" customHeight="1">
      <c r="A36" s="131"/>
      <c r="B36" s="132"/>
      <c r="C36" s="371"/>
      <c r="D36" s="383" t="s">
        <v>160</v>
      </c>
      <c r="E36" s="470" t="s">
        <v>60</v>
      </c>
      <c r="F36" s="470"/>
      <c r="G36" s="471" t="s">
        <v>33</v>
      </c>
      <c r="H36" s="471" t="s">
        <v>273</v>
      </c>
      <c r="I36" s="469" t="s">
        <v>60</v>
      </c>
      <c r="J36" s="470"/>
      <c r="K36" s="471" t="s">
        <v>33</v>
      </c>
    </row>
    <row r="37" spans="1:11" ht="24.95" customHeight="1">
      <c r="A37" s="131"/>
      <c r="B37" s="319"/>
      <c r="C37" s="319"/>
      <c r="D37" s="384"/>
      <c r="E37" s="470"/>
      <c r="F37" s="470"/>
      <c r="G37" s="471"/>
      <c r="H37" s="471"/>
      <c r="I37" s="469"/>
      <c r="J37" s="470"/>
      <c r="K37" s="471"/>
    </row>
    <row r="38" spans="1:11" ht="15" customHeight="1">
      <c r="A38" s="515" t="s">
        <v>159</v>
      </c>
      <c r="B38" s="515"/>
      <c r="C38" s="385" t="s">
        <v>185</v>
      </c>
      <c r="D38" s="362"/>
      <c r="E38" s="222" t="s">
        <v>264</v>
      </c>
      <c r="F38" s="222" t="s">
        <v>265</v>
      </c>
      <c r="G38" s="467"/>
      <c r="H38" s="467"/>
      <c r="I38" s="224" t="s">
        <v>264</v>
      </c>
      <c r="J38" s="222" t="s">
        <v>265</v>
      </c>
      <c r="K38" s="467"/>
    </row>
    <row r="39" spans="1:11" ht="11.1" customHeight="1">
      <c r="A39" s="434" t="str">
        <f>'3.1'!D5</f>
        <v>Červenec</v>
      </c>
      <c r="B39" s="434"/>
      <c r="C39" s="165" t="s">
        <v>4</v>
      </c>
      <c r="D39" s="325">
        <v>73</v>
      </c>
      <c r="E39" s="321">
        <v>8226.1470000000008</v>
      </c>
      <c r="F39" s="321">
        <v>89416.541079999981</v>
      </c>
      <c r="G39" s="322">
        <f>E39/$E$44</f>
        <v>0.65925732695405481</v>
      </c>
      <c r="H39" s="322">
        <f>(E39-I39)/I39</f>
        <v>-0.22841130889062319</v>
      </c>
      <c r="I39" s="325">
        <v>10661.311</v>
      </c>
      <c r="J39" s="321">
        <v>113857.78322999997</v>
      </c>
      <c r="K39" s="322">
        <f>I39/$I$44</f>
        <v>0.69103201301521233</v>
      </c>
    </row>
    <row r="40" spans="1:11" ht="11.1" customHeight="1">
      <c r="A40" s="428"/>
      <c r="B40" s="428"/>
      <c r="C40" s="155" t="s">
        <v>5</v>
      </c>
      <c r="D40" s="326">
        <v>308</v>
      </c>
      <c r="E40" s="130">
        <v>1076.6189999999999</v>
      </c>
      <c r="F40" s="130">
        <v>11703.068970000004</v>
      </c>
      <c r="G40" s="320">
        <f t="shared" ref="G40" si="9">E40/$E$44</f>
        <v>8.6282066693914819E-2</v>
      </c>
      <c r="H40" s="320">
        <f>(E40-I40)/I40</f>
        <v>-4.7625829531039776E-2</v>
      </c>
      <c r="I40" s="326">
        <v>1130.4580000000001</v>
      </c>
      <c r="J40" s="130">
        <v>12072.78454000001</v>
      </c>
      <c r="K40" s="320">
        <f t="shared" ref="K40:K43" si="10">I40/$I$44</f>
        <v>7.3272664812906313E-2</v>
      </c>
    </row>
    <row r="41" spans="1:11" ht="11.1" customHeight="1">
      <c r="A41" s="428"/>
      <c r="B41" s="428"/>
      <c r="C41" s="155" t="s">
        <v>6</v>
      </c>
      <c r="D41" s="326">
        <v>10850</v>
      </c>
      <c r="E41" s="130">
        <v>1135.626</v>
      </c>
      <c r="F41" s="130">
        <v>12344.53227</v>
      </c>
      <c r="G41" s="320">
        <f>E41/$E$44</f>
        <v>9.1010987425768741E-2</v>
      </c>
      <c r="H41" s="320">
        <f t="shared" ref="H41:H43" si="11">(E41-I41)/I41</f>
        <v>0.14280510164855612</v>
      </c>
      <c r="I41" s="326">
        <v>993.71800000000007</v>
      </c>
      <c r="J41" s="130">
        <v>10612.51964</v>
      </c>
      <c r="K41" s="320">
        <f t="shared" si="10"/>
        <v>6.4409616219754856E-2</v>
      </c>
    </row>
    <row r="42" spans="1:11" ht="11.1" customHeight="1">
      <c r="A42" s="428"/>
      <c r="B42" s="428"/>
      <c r="C42" s="155" t="s">
        <v>7</v>
      </c>
      <c r="D42" s="326">
        <v>144179</v>
      </c>
      <c r="E42" s="130">
        <v>1827.7</v>
      </c>
      <c r="F42" s="130">
        <v>19866.900000000001</v>
      </c>
      <c r="G42" s="320">
        <f>E42/$E$44</f>
        <v>0.14647496774296956</v>
      </c>
      <c r="H42" s="320">
        <f t="shared" si="11"/>
        <v>-0.24415863694636281</v>
      </c>
      <c r="I42" s="326">
        <v>2418.1</v>
      </c>
      <c r="J42" s="130">
        <v>25823.599999999999</v>
      </c>
      <c r="K42" s="320">
        <f t="shared" si="10"/>
        <v>0.15673349278264981</v>
      </c>
    </row>
    <row r="43" spans="1:11" ht="11.1" customHeight="1">
      <c r="A43" s="428"/>
      <c r="B43" s="428"/>
      <c r="C43" s="155" t="s">
        <v>93</v>
      </c>
      <c r="D43" s="326">
        <v>11</v>
      </c>
      <c r="E43" s="130">
        <v>211.80799999999999</v>
      </c>
      <c r="F43" s="130">
        <v>2302.3157999999999</v>
      </c>
      <c r="G43" s="320">
        <f>E43/$E$44</f>
        <v>1.6974651183292059E-2</v>
      </c>
      <c r="H43" s="320">
        <f t="shared" si="11"/>
        <v>-5.6589150739600878E-2</v>
      </c>
      <c r="I43" s="326">
        <v>224.51300000000001</v>
      </c>
      <c r="J43" s="130">
        <v>2397.6813999999999</v>
      </c>
      <c r="K43" s="320">
        <f t="shared" si="10"/>
        <v>1.4552213169476472E-2</v>
      </c>
    </row>
    <row r="44" spans="1:11" ht="11.1" customHeight="1">
      <c r="A44" s="433"/>
      <c r="B44" s="433"/>
      <c r="C44" s="331" t="s">
        <v>0</v>
      </c>
      <c r="D44" s="334">
        <v>155421</v>
      </c>
      <c r="E44" s="332">
        <v>12477.900000000001</v>
      </c>
      <c r="F44" s="332">
        <v>135633.35811999999</v>
      </c>
      <c r="G44" s="333">
        <f>SUM(G39:G43)</f>
        <v>1</v>
      </c>
      <c r="H44" s="333">
        <f>(E44-I44)/I44</f>
        <v>-0.19122250957668152</v>
      </c>
      <c r="I44" s="334">
        <v>15428.100000000002</v>
      </c>
      <c r="J44" s="332">
        <v>164764.36880999999</v>
      </c>
      <c r="K44" s="333">
        <f>SUM(K39:K43)</f>
        <v>0.99999999999999978</v>
      </c>
    </row>
    <row r="45" spans="1:11" ht="11.1" customHeight="1">
      <c r="A45" s="434" t="str">
        <f>'3.1'!E5</f>
        <v>Srpen</v>
      </c>
      <c r="B45" s="434"/>
      <c r="C45" s="165" t="s">
        <v>4</v>
      </c>
      <c r="D45" s="325">
        <v>73</v>
      </c>
      <c r="E45" s="321">
        <v>8888.6220000000012</v>
      </c>
      <c r="F45" s="321">
        <v>96446.203189999971</v>
      </c>
      <c r="G45" s="322">
        <f>E45/$E$50</f>
        <v>0.67793080830422392</v>
      </c>
      <c r="H45" s="322">
        <f>(E45-I45)/I45</f>
        <v>-0.1244237071106732</v>
      </c>
      <c r="I45" s="325">
        <v>10151.739</v>
      </c>
      <c r="J45" s="321">
        <v>108212.39369000004</v>
      </c>
      <c r="K45" s="322">
        <f>I45/$I$50</f>
        <v>0.63601011176824374</v>
      </c>
    </row>
    <row r="46" spans="1:11" ht="11.1" customHeight="1">
      <c r="A46" s="428"/>
      <c r="B46" s="428"/>
      <c r="C46" s="155" t="s">
        <v>5</v>
      </c>
      <c r="D46" s="326">
        <v>309</v>
      </c>
      <c r="E46" s="130">
        <v>1137.3440000000001</v>
      </c>
      <c r="F46" s="130">
        <v>12340.720250000002</v>
      </c>
      <c r="G46" s="320">
        <f t="shared" ref="G46:G49" si="12">E46/$E$50</f>
        <v>8.6744664948060476E-2</v>
      </c>
      <c r="H46" s="320">
        <f>(E46-I46)/I46</f>
        <v>-0.15094372019030422</v>
      </c>
      <c r="I46" s="326">
        <v>1339.539</v>
      </c>
      <c r="J46" s="130">
        <v>14278.673600000007</v>
      </c>
      <c r="K46" s="320">
        <f t="shared" ref="K46:K49" si="13">I46/$I$50</f>
        <v>8.3922601744186046E-2</v>
      </c>
    </row>
    <row r="47" spans="1:11" ht="11.1" customHeight="1">
      <c r="A47" s="428"/>
      <c r="B47" s="428"/>
      <c r="C47" s="155" t="s">
        <v>6</v>
      </c>
      <c r="D47" s="326">
        <v>10837</v>
      </c>
      <c r="E47" s="130">
        <v>1114.123</v>
      </c>
      <c r="F47" s="130">
        <v>12088.71128</v>
      </c>
      <c r="G47" s="320">
        <f t="shared" si="12"/>
        <v>8.4973610750949558E-2</v>
      </c>
      <c r="H47" s="320">
        <f t="shared" ref="H47:H49" si="14">(E47-I47)/I47</f>
        <v>-8.0994692794110951E-2</v>
      </c>
      <c r="I47" s="326">
        <v>1212.3139999999999</v>
      </c>
      <c r="J47" s="130">
        <v>12922.14753</v>
      </c>
      <c r="K47" s="320">
        <f t="shared" si="13"/>
        <v>7.5951909582999189E-2</v>
      </c>
    </row>
    <row r="48" spans="1:11" ht="11.1" customHeight="1">
      <c r="A48" s="428"/>
      <c r="B48" s="428"/>
      <c r="C48" s="155" t="s">
        <v>7</v>
      </c>
      <c r="D48" s="326">
        <v>143967</v>
      </c>
      <c r="E48" s="130">
        <v>1763.8</v>
      </c>
      <c r="F48" s="130">
        <v>19138.400000000001</v>
      </c>
      <c r="G48" s="320">
        <f t="shared" si="12"/>
        <v>0.13452415455252681</v>
      </c>
      <c r="H48" s="320">
        <f t="shared" si="14"/>
        <v>-0.41592158421087494</v>
      </c>
      <c r="I48" s="326">
        <v>3019.8</v>
      </c>
      <c r="J48" s="130">
        <v>32190</v>
      </c>
      <c r="K48" s="320">
        <f t="shared" si="13"/>
        <v>0.18919155974338414</v>
      </c>
    </row>
    <row r="49" spans="1:11" ht="11.1" customHeight="1">
      <c r="A49" s="428"/>
      <c r="B49" s="428"/>
      <c r="C49" s="155" t="s">
        <v>93</v>
      </c>
      <c r="D49" s="326">
        <v>11</v>
      </c>
      <c r="E49" s="130">
        <v>207.511</v>
      </c>
      <c r="F49" s="130">
        <v>2251.6007100000002</v>
      </c>
      <c r="G49" s="320">
        <f t="shared" si="12"/>
        <v>1.5826761444239366E-2</v>
      </c>
      <c r="H49" s="320">
        <f t="shared" si="14"/>
        <v>-0.12886636888769479</v>
      </c>
      <c r="I49" s="326">
        <v>238.208</v>
      </c>
      <c r="J49" s="130">
        <v>2539.1818600000001</v>
      </c>
      <c r="K49" s="320">
        <f t="shared" si="13"/>
        <v>1.4923817161186848E-2</v>
      </c>
    </row>
    <row r="50" spans="1:11" ht="11.1" customHeight="1">
      <c r="A50" s="433"/>
      <c r="B50" s="433"/>
      <c r="C50" s="331" t="s">
        <v>0</v>
      </c>
      <c r="D50" s="334">
        <v>155197</v>
      </c>
      <c r="E50" s="332">
        <v>13111.4</v>
      </c>
      <c r="F50" s="332">
        <v>142265.63542999997</v>
      </c>
      <c r="G50" s="333">
        <f>SUM(G45:G49)</f>
        <v>1</v>
      </c>
      <c r="H50" s="333">
        <f t="shared" ref="H50" si="15">(E50-I50)/I50</f>
        <v>-0.17856605854049723</v>
      </c>
      <c r="I50" s="334">
        <v>15961.6</v>
      </c>
      <c r="J50" s="332">
        <v>170142.39668000006</v>
      </c>
      <c r="K50" s="333">
        <f>SUM(K45:K49)</f>
        <v>1</v>
      </c>
    </row>
    <row r="51" spans="1:11" ht="11.1" customHeight="1">
      <c r="A51" s="434" t="str">
        <f>'3.1'!F5</f>
        <v>Září</v>
      </c>
      <c r="B51" s="434"/>
      <c r="C51" s="165" t="s">
        <v>4</v>
      </c>
      <c r="D51" s="325">
        <v>73</v>
      </c>
      <c r="E51" s="321">
        <v>8709.6470000000008</v>
      </c>
      <c r="F51" s="321">
        <v>95253.775890000019</v>
      </c>
      <c r="G51" s="322">
        <f>E51/$E$56</f>
        <v>0.52410291126596142</v>
      </c>
      <c r="H51" s="322">
        <f>(E51-I51)/I51</f>
        <v>-0.23232389382512184</v>
      </c>
      <c r="I51" s="325">
        <v>11345.471</v>
      </c>
      <c r="J51" s="321">
        <v>120960.65087</v>
      </c>
      <c r="K51" s="322">
        <f>I51/$I$56</f>
        <v>0.58876952537130645</v>
      </c>
    </row>
    <row r="52" spans="1:11" ht="11.1" customHeight="1">
      <c r="A52" s="428"/>
      <c r="B52" s="428"/>
      <c r="C52" s="155" t="s">
        <v>5</v>
      </c>
      <c r="D52" s="326">
        <v>308</v>
      </c>
      <c r="E52" s="130">
        <v>1498.115</v>
      </c>
      <c r="F52" s="130">
        <v>16383.952790000005</v>
      </c>
      <c r="G52" s="320">
        <f t="shared" ref="G52:G55" si="16">E52/$E$56</f>
        <v>9.0149053447425104E-2</v>
      </c>
      <c r="H52" s="320">
        <f t="shared" ref="H52:H55" si="17">(E52-I52)/I52</f>
        <v>-9.0313738729986104E-2</v>
      </c>
      <c r="I52" s="326">
        <v>1646.8480000000002</v>
      </c>
      <c r="J52" s="130">
        <v>17558.530130000003</v>
      </c>
      <c r="K52" s="320">
        <f t="shared" ref="K52:K55" si="18">I52/$I$56</f>
        <v>8.5462641023778152E-2</v>
      </c>
    </row>
    <row r="53" spans="1:11" ht="11.1" customHeight="1">
      <c r="A53" s="428"/>
      <c r="B53" s="428"/>
      <c r="C53" s="155" t="s">
        <v>6</v>
      </c>
      <c r="D53" s="326">
        <v>10808</v>
      </c>
      <c r="E53" s="130">
        <v>2300.6480000000001</v>
      </c>
      <c r="F53" s="130">
        <v>25161.502959999998</v>
      </c>
      <c r="G53" s="320">
        <f t="shared" si="16"/>
        <v>0.13844146778832847</v>
      </c>
      <c r="H53" s="320">
        <f t="shared" si="17"/>
        <v>0.28359806130857768</v>
      </c>
      <c r="I53" s="326">
        <v>1792.3430000000001</v>
      </c>
      <c r="J53" s="130">
        <v>19109.45852</v>
      </c>
      <c r="K53" s="320">
        <f t="shared" si="18"/>
        <v>9.3013056700121444E-2</v>
      </c>
    </row>
    <row r="54" spans="1:11" ht="10.5" customHeight="1">
      <c r="A54" s="428"/>
      <c r="B54" s="428"/>
      <c r="C54" s="155" t="s">
        <v>7</v>
      </c>
      <c r="D54" s="326">
        <v>143787</v>
      </c>
      <c r="E54" s="130">
        <v>3928.8</v>
      </c>
      <c r="F54" s="130">
        <v>42967.3</v>
      </c>
      <c r="G54" s="320">
        <f t="shared" si="16"/>
        <v>0.23641549626313318</v>
      </c>
      <c r="H54" s="320">
        <f t="shared" si="17"/>
        <v>-7.3985905201876076E-2</v>
      </c>
      <c r="I54" s="326">
        <v>4242.7</v>
      </c>
      <c r="J54" s="130">
        <v>45234.1</v>
      </c>
      <c r="K54" s="320">
        <f t="shared" si="18"/>
        <v>0.22017353579175705</v>
      </c>
    </row>
    <row r="55" spans="1:11" ht="11.1" customHeight="1">
      <c r="A55" s="428"/>
      <c r="B55" s="428"/>
      <c r="C55" s="155" t="s">
        <v>93</v>
      </c>
      <c r="D55" s="326">
        <v>11</v>
      </c>
      <c r="E55" s="130">
        <v>180.99</v>
      </c>
      <c r="F55" s="130">
        <v>1979.4058299999997</v>
      </c>
      <c r="G55" s="320">
        <f t="shared" si="16"/>
        <v>1.0891071235151822E-2</v>
      </c>
      <c r="H55" s="320">
        <f t="shared" si="17"/>
        <v>-0.25345861622352922</v>
      </c>
      <c r="I55" s="326">
        <v>242.43799999999999</v>
      </c>
      <c r="J55" s="130">
        <v>2584.7800200000001</v>
      </c>
      <c r="K55" s="320">
        <f t="shared" si="18"/>
        <v>1.2581241113036981E-2</v>
      </c>
    </row>
    <row r="56" spans="1:11" ht="11.1" customHeight="1">
      <c r="A56" s="433"/>
      <c r="B56" s="433"/>
      <c r="C56" s="331" t="s">
        <v>0</v>
      </c>
      <c r="D56" s="334">
        <v>154987</v>
      </c>
      <c r="E56" s="332">
        <v>16618.2</v>
      </c>
      <c r="F56" s="332">
        <v>181745.93747</v>
      </c>
      <c r="G56" s="333">
        <f>SUM(G51:G55)</f>
        <v>1</v>
      </c>
      <c r="H56" s="333">
        <f>(E56-I56)/I56</f>
        <v>-0.13760391908582334</v>
      </c>
      <c r="I56" s="334">
        <v>19269.8</v>
      </c>
      <c r="J56" s="332">
        <v>205447.51954000004</v>
      </c>
      <c r="K56" s="333">
        <f>SUM(K51:K55)</f>
        <v>1</v>
      </c>
    </row>
    <row r="57" spans="1:11" ht="11.1" customHeight="1">
      <c r="A57" s="491" t="str">
        <f>'3.1'!G5</f>
        <v>III. čtvrtletí</v>
      </c>
      <c r="B57" s="434"/>
      <c r="C57" s="165" t="s">
        <v>4</v>
      </c>
      <c r="D57" s="325">
        <f>D51</f>
        <v>73</v>
      </c>
      <c r="E57" s="321">
        <f>E39+E45+E51</f>
        <v>25824.416000000001</v>
      </c>
      <c r="F57" s="321">
        <f>F39+F45+F51</f>
        <v>281116.52015999996</v>
      </c>
      <c r="G57" s="322">
        <f>E57/$E$62</f>
        <v>0.61184424569093177</v>
      </c>
      <c r="H57" s="322">
        <f>(E57-I57)/I57</f>
        <v>-0.19696505943168219</v>
      </c>
      <c r="I57" s="325">
        <f>I39+I45+I51</f>
        <v>32158.521000000001</v>
      </c>
      <c r="J57" s="321">
        <f>J39+J45+J51</f>
        <v>343030.82779000001</v>
      </c>
      <c r="K57" s="322">
        <f>I57/$I$62</f>
        <v>0.63479744174340447</v>
      </c>
    </row>
    <row r="58" spans="1:11" ht="11.1" customHeight="1">
      <c r="A58" s="428"/>
      <c r="B58" s="428"/>
      <c r="C58" s="155" t="s">
        <v>5</v>
      </c>
      <c r="D58" s="326">
        <f>D52</f>
        <v>308</v>
      </c>
      <c r="E58" s="130">
        <f t="shared" ref="E58:F59" si="19">E40+E46+E52</f>
        <v>3712.0779999999995</v>
      </c>
      <c r="F58" s="130">
        <f t="shared" si="19"/>
        <v>40427.742010000009</v>
      </c>
      <c r="G58" s="320">
        <f t="shared" ref="G58:G61" si="20">E58/$E$62</f>
        <v>8.7948303026713248E-2</v>
      </c>
      <c r="H58" s="320">
        <f t="shared" ref="H58:H61" si="21">(E58-I58)/I58</f>
        <v>-9.8319708417489785E-2</v>
      </c>
      <c r="I58" s="326">
        <f t="shared" ref="I58:J58" si="22">I40+I46+I52</f>
        <v>4116.8450000000003</v>
      </c>
      <c r="J58" s="130">
        <f t="shared" si="22"/>
        <v>43909.988270000016</v>
      </c>
      <c r="K58" s="320">
        <f t="shared" ref="K58:K61" si="23">I58/$I$62</f>
        <v>8.1265014459282081E-2</v>
      </c>
    </row>
    <row r="59" spans="1:11" ht="11.1" customHeight="1">
      <c r="A59" s="428"/>
      <c r="B59" s="428"/>
      <c r="C59" s="155" t="s">
        <v>6</v>
      </c>
      <c r="D59" s="326">
        <f>D53</f>
        <v>10808</v>
      </c>
      <c r="E59" s="130">
        <f>E41+E47+E53</f>
        <v>4550.3969999999999</v>
      </c>
      <c r="F59" s="130">
        <f t="shared" si="19"/>
        <v>49594.746509999997</v>
      </c>
      <c r="G59" s="320">
        <f t="shared" si="20"/>
        <v>0.10781015222413078</v>
      </c>
      <c r="H59" s="320">
        <f t="shared" si="21"/>
        <v>0.13806158751992995</v>
      </c>
      <c r="I59" s="326">
        <f>I41+I47+I53</f>
        <v>3998.375</v>
      </c>
      <c r="J59" s="130">
        <f t="shared" ref="J59" si="24">J41+J47+J53</f>
        <v>42644.125690000001</v>
      </c>
      <c r="K59" s="320">
        <f t="shared" si="23"/>
        <v>7.8926459992696332E-2</v>
      </c>
    </row>
    <row r="60" spans="1:11" ht="11.1" customHeight="1">
      <c r="A60" s="428"/>
      <c r="B60" s="428"/>
      <c r="C60" s="155" t="s">
        <v>7</v>
      </c>
      <c r="D60" s="326">
        <f>D54</f>
        <v>143787</v>
      </c>
      <c r="E60" s="130">
        <f t="shared" ref="E60:F61" si="25">E42+E48+E54</f>
        <v>7520.3</v>
      </c>
      <c r="F60" s="130">
        <f t="shared" si="25"/>
        <v>81972.600000000006</v>
      </c>
      <c r="G60" s="320">
        <f t="shared" si="20"/>
        <v>0.17817449505419652</v>
      </c>
      <c r="H60" s="320">
        <f t="shared" si="21"/>
        <v>-0.22315765551721986</v>
      </c>
      <c r="I60" s="326">
        <f t="shared" ref="I60:J60" si="26">I42+I48+I54</f>
        <v>9680.5999999999985</v>
      </c>
      <c r="J60" s="130">
        <f t="shared" si="26"/>
        <v>103247.7</v>
      </c>
      <c r="K60" s="320">
        <f t="shared" si="23"/>
        <v>0.191091503074448</v>
      </c>
    </row>
    <row r="61" spans="1:11" ht="11.1" customHeight="1">
      <c r="A61" s="428"/>
      <c r="B61" s="428"/>
      <c r="C61" s="155" t="s">
        <v>93</v>
      </c>
      <c r="D61" s="326">
        <f>D55</f>
        <v>11</v>
      </c>
      <c r="E61" s="130">
        <f>E43+E49+E55</f>
        <v>600.30899999999997</v>
      </c>
      <c r="F61" s="130">
        <f t="shared" si="25"/>
        <v>6533.3223399999997</v>
      </c>
      <c r="G61" s="320">
        <f t="shared" si="20"/>
        <v>1.4222804004027719E-2</v>
      </c>
      <c r="H61" s="320">
        <f t="shared" si="21"/>
        <v>-0.14868986994422537</v>
      </c>
      <c r="I61" s="326">
        <f>I43+I49+I55</f>
        <v>705.15899999999999</v>
      </c>
      <c r="J61" s="130">
        <f t="shared" ref="J61" si="27">J43+J49+J55</f>
        <v>7521.6432800000002</v>
      </c>
      <c r="K61" s="320">
        <f t="shared" si="23"/>
        <v>1.391958073016907E-2</v>
      </c>
    </row>
    <row r="62" spans="1:11" ht="11.1" customHeight="1">
      <c r="A62" s="433"/>
      <c r="B62" s="433"/>
      <c r="C62" s="331" t="s">
        <v>0</v>
      </c>
      <c r="D62" s="334">
        <f>SUM(D57:D61)</f>
        <v>154987</v>
      </c>
      <c r="E62" s="332">
        <f>SUM(E57:E61)</f>
        <v>42207.5</v>
      </c>
      <c r="F62" s="332">
        <f>SUM(F57:F61)</f>
        <v>459644.93101999996</v>
      </c>
      <c r="G62" s="333">
        <f>SUM(G57:G61)</f>
        <v>1.0000000000000002</v>
      </c>
      <c r="H62" s="333">
        <f>(E62-I62)/I62</f>
        <v>-0.16683938846613172</v>
      </c>
      <c r="I62" s="334">
        <f>SUM(I57:I61)</f>
        <v>50659.5</v>
      </c>
      <c r="J62" s="332">
        <f>SUM(J57:J61)</f>
        <v>540354.28503000003</v>
      </c>
      <c r="K62" s="333">
        <f>SUM(K57:K61)</f>
        <v>0.99999999999999989</v>
      </c>
    </row>
    <row r="63" spans="1:11" ht="1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  <row r="64" spans="1:11" ht="1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</row>
    <row r="65" spans="1:11" ht="1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</row>
    <row r="66" spans="1:11" ht="1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</row>
    <row r="67" spans="1:11" ht="1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</row>
    <row r="68" spans="1:11" ht="1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ht="1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ht="1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</row>
    <row r="71" spans="1:11" ht="1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 ht="1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 ht="1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 ht="1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 ht="1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  <row r="76" spans="1:11" ht="1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</row>
    <row r="77" spans="1:11" ht="1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</row>
    <row r="78" spans="1:11" ht="1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</row>
    <row r="79" spans="1:11" ht="1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</row>
    <row r="80" spans="1:11" ht="1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</row>
    <row r="81" spans="1:11" ht="1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</row>
    <row r="82" spans="1:11" ht="1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</row>
    <row r="83" spans="1:11" ht="1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</row>
    <row r="84" spans="1:11" ht="1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</row>
    <row r="85" spans="1:11" ht="1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</row>
    <row r="86" spans="1:11" ht="1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</row>
    <row r="87" spans="1:11" ht="1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</row>
    <row r="88" spans="1:11" ht="1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</row>
    <row r="89" spans="1:11" ht="1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</row>
    <row r="90" spans="1:11" ht="1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</row>
    <row r="91" spans="1:11" ht="1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</row>
    <row r="92" spans="1:11" ht="1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</row>
    <row r="93" spans="1:11" ht="1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</row>
    <row r="94" spans="1:11" ht="1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ht="1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</row>
    <row r="96" spans="1:11" ht="1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</row>
    <row r="97" spans="1:11" ht="1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</row>
    <row r="98" spans="1:11" ht="1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</row>
    <row r="99" spans="1:11" ht="1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</row>
    <row r="100" spans="1:11" ht="1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</row>
    <row r="101" spans="1:11" ht="1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</row>
    <row r="102" spans="1:11" ht="1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</row>
    <row r="103" spans="1:11" ht="1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0" t="str">
        <f>"6.8 Spotřeba zemního plynu a teplota ovzduší podle krajů: "&amp;LOWER(A3)</f>
        <v>6.8 Spotřeba zemního plynu a teplota ovzduší podle krajů: červenec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20.100000000000001" customHeight="1">
      <c r="A3" s="463" t="str">
        <f>'3.1'!D5</f>
        <v>Červenec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9"/>
      <c r="B4" s="265">
        <f>'3.1'!A4</f>
        <v>2022</v>
      </c>
      <c r="C4" s="518" t="s">
        <v>60</v>
      </c>
      <c r="D4" s="519"/>
      <c r="E4" s="519"/>
      <c r="F4" s="520"/>
      <c r="G4" s="521" t="s">
        <v>187</v>
      </c>
      <c r="H4" s="521"/>
      <c r="I4" s="521"/>
      <c r="J4" s="521"/>
      <c r="K4" s="521"/>
    </row>
    <row r="5" spans="1:11" ht="49.5" customHeight="1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88" t="s">
        <v>62</v>
      </c>
      <c r="H5" s="388" t="s">
        <v>174</v>
      </c>
      <c r="I5" s="388" t="s">
        <v>175</v>
      </c>
      <c r="J5" s="388" t="s">
        <v>287</v>
      </c>
      <c r="K5" s="388" t="s">
        <v>288</v>
      </c>
    </row>
    <row r="6" spans="1:11" ht="15" customHeight="1">
      <c r="A6" s="222" t="s">
        <v>188</v>
      </c>
      <c r="B6" s="467"/>
      <c r="C6" s="224" t="s">
        <v>264</v>
      </c>
      <c r="D6" s="222" t="s">
        <v>265</v>
      </c>
      <c r="E6" s="467"/>
      <c r="F6" s="506"/>
      <c r="G6" s="222" t="s">
        <v>233</v>
      </c>
      <c r="H6" s="222" t="s">
        <v>233</v>
      </c>
      <c r="I6" s="222" t="s">
        <v>233</v>
      </c>
      <c r="J6" s="222" t="s">
        <v>233</v>
      </c>
      <c r="K6" s="222" t="s">
        <v>233</v>
      </c>
    </row>
    <row r="7" spans="1:11" ht="14.1" customHeight="1">
      <c r="A7" s="155" t="s">
        <v>8</v>
      </c>
      <c r="B7" s="130">
        <f>'6.1'!D14</f>
        <v>104419</v>
      </c>
      <c r="C7" s="326">
        <f>'6.1'!E14</f>
        <v>8958.2241600000016</v>
      </c>
      <c r="D7" s="130">
        <f>'6.1'!F14</f>
        <v>96912.711830000015</v>
      </c>
      <c r="E7" s="320">
        <f>D7/$D$21</f>
        <v>3.0948827076770612E-2</v>
      </c>
      <c r="F7" s="345">
        <f>'6.1'!H14</f>
        <v>-9.236400813193929E-2</v>
      </c>
      <c r="G7" s="339">
        <v>18.238709677419354</v>
      </c>
      <c r="H7" s="340">
        <v>23.8</v>
      </c>
      <c r="I7" s="340">
        <v>12.7</v>
      </c>
      <c r="J7" s="340">
        <v>17.199999999999996</v>
      </c>
      <c r="K7" s="339">
        <v>1.0387096774193587</v>
      </c>
    </row>
    <row r="8" spans="1:11" ht="14.1" customHeight="1">
      <c r="A8" s="155" t="s">
        <v>9</v>
      </c>
      <c r="B8" s="130">
        <f>'6.1'!D44</f>
        <v>379886</v>
      </c>
      <c r="C8" s="326">
        <f>'6.1'!E44</f>
        <v>26518.400000000001</v>
      </c>
      <c r="D8" s="130">
        <f>'6.1'!F44</f>
        <v>288249.81235000002</v>
      </c>
      <c r="E8" s="320">
        <f t="shared" ref="E8:E20" si="0">D8/$D$21</f>
        <v>9.205184158896039E-2</v>
      </c>
      <c r="F8" s="345">
        <f>'6.1'!H44</f>
        <v>-7.5095478087996742E-2</v>
      </c>
      <c r="G8" s="339">
        <v>20.764516129032259</v>
      </c>
      <c r="H8" s="340">
        <v>27.3</v>
      </c>
      <c r="I8" s="340">
        <v>15.9</v>
      </c>
      <c r="J8" s="340">
        <v>18.899999999999988</v>
      </c>
      <c r="K8" s="339">
        <v>1.8645161290322712</v>
      </c>
    </row>
    <row r="9" spans="1:11" ht="14.1" customHeight="1">
      <c r="A9" s="155" t="s">
        <v>10</v>
      </c>
      <c r="B9" s="130">
        <f>'6.2'!D14</f>
        <v>83531</v>
      </c>
      <c r="C9" s="326">
        <f>'6.2'!E14</f>
        <v>8082.6</v>
      </c>
      <c r="D9" s="130">
        <f>'6.2'!F14</f>
        <v>87855.708340000012</v>
      </c>
      <c r="E9" s="320">
        <f t="shared" si="0"/>
        <v>2.8056496137384517E-2</v>
      </c>
      <c r="F9" s="345">
        <f>'6.2'!H14</f>
        <v>-0.84069268506126826</v>
      </c>
      <c r="G9" s="339">
        <v>17.754838709677422</v>
      </c>
      <c r="H9" s="340">
        <v>25.6</v>
      </c>
      <c r="I9" s="340">
        <v>12.2</v>
      </c>
      <c r="J9" s="340">
        <v>16.5</v>
      </c>
      <c r="K9" s="339">
        <v>1.2548387096774221</v>
      </c>
    </row>
    <row r="10" spans="1:11" ht="14.1" customHeight="1">
      <c r="A10" s="155" t="s">
        <v>92</v>
      </c>
      <c r="B10" s="130">
        <f>'6.2'!D44</f>
        <v>117155</v>
      </c>
      <c r="C10" s="326">
        <f>'6.2'!E44</f>
        <v>10030</v>
      </c>
      <c r="D10" s="130">
        <f>'6.2'!F44</f>
        <v>109023.80092999998</v>
      </c>
      <c r="E10" s="320">
        <f t="shared" si="0"/>
        <v>3.4816472457747674E-2</v>
      </c>
      <c r="F10" s="345">
        <f>'6.2'!H44</f>
        <v>-3.0917874396135265E-2</v>
      </c>
      <c r="G10" s="339">
        <v>18.180645161290325</v>
      </c>
      <c r="H10" s="340">
        <v>25.1</v>
      </c>
      <c r="I10" s="340">
        <v>12.6</v>
      </c>
      <c r="J10" s="340">
        <v>16.899999999999991</v>
      </c>
      <c r="K10" s="339">
        <v>1.2806451612903338</v>
      </c>
    </row>
    <row r="11" spans="1:11" ht="14.1" customHeight="1">
      <c r="A11" s="155" t="s">
        <v>11</v>
      </c>
      <c r="B11" s="130">
        <f>'6.3'!D14</f>
        <v>92527</v>
      </c>
      <c r="C11" s="326">
        <f>'6.3'!E14</f>
        <v>9220.5999999999985</v>
      </c>
      <c r="D11" s="130">
        <f>'6.3'!F14</f>
        <v>100225.70615999997</v>
      </c>
      <c r="E11" s="320">
        <f t="shared" si="0"/>
        <v>3.2006823357024844E-2</v>
      </c>
      <c r="F11" s="345">
        <f>'6.3'!H14</f>
        <v>-0.11494418368032576</v>
      </c>
      <c r="G11" s="339">
        <v>17.951612903225808</v>
      </c>
      <c r="H11" s="340">
        <v>24.4</v>
      </c>
      <c r="I11" s="340">
        <v>11.8</v>
      </c>
      <c r="J11" s="340">
        <v>16.600000000000009</v>
      </c>
      <c r="K11" s="339">
        <v>1.3516129032257993</v>
      </c>
    </row>
    <row r="12" spans="1:11" ht="14.1" customHeight="1">
      <c r="A12" s="155" t="s">
        <v>12</v>
      </c>
      <c r="B12" s="130">
        <f>'6.3'!D44</f>
        <v>375057</v>
      </c>
      <c r="C12" s="326">
        <f>'6.3'!E44</f>
        <v>34479.811999999998</v>
      </c>
      <c r="D12" s="130">
        <f>'6.3'!F44</f>
        <v>374608.08879999991</v>
      </c>
      <c r="E12" s="320">
        <f t="shared" si="0"/>
        <v>0.11963013667564942</v>
      </c>
      <c r="F12" s="345">
        <f>'6.3'!H44</f>
        <v>-0.13609821995425073</v>
      </c>
      <c r="G12" s="339">
        <v>19.003225806451614</v>
      </c>
      <c r="H12" s="340">
        <v>25.2</v>
      </c>
      <c r="I12" s="340">
        <v>14.2</v>
      </c>
      <c r="J12" s="340">
        <v>17.199999999999996</v>
      </c>
      <c r="K12" s="339">
        <v>1.8032258064516178</v>
      </c>
    </row>
    <row r="13" spans="1:11" ht="14.1" customHeight="1">
      <c r="A13" s="155" t="s">
        <v>13</v>
      </c>
      <c r="B13" s="130">
        <f>'6.4'!D14</f>
        <v>185672</v>
      </c>
      <c r="C13" s="326">
        <f>'6.4'!E14</f>
        <v>16601</v>
      </c>
      <c r="D13" s="130">
        <f>'6.4'!F14</f>
        <v>180449.61959000002</v>
      </c>
      <c r="E13" s="320">
        <f t="shared" si="0"/>
        <v>5.7626125276077196E-2</v>
      </c>
      <c r="F13" s="345">
        <f>'6.4'!H14</f>
        <v>-4.5787924771232731E-2</v>
      </c>
      <c r="G13" s="339">
        <v>18.64516129032258</v>
      </c>
      <c r="H13" s="340">
        <v>25.7</v>
      </c>
      <c r="I13" s="340">
        <v>13.1</v>
      </c>
      <c r="J13" s="340">
        <v>16.699999999999996</v>
      </c>
      <c r="K13" s="339">
        <v>1.9451612903225843</v>
      </c>
    </row>
    <row r="14" spans="1:11" ht="14.1" customHeight="1">
      <c r="A14" s="155" t="s">
        <v>14</v>
      </c>
      <c r="B14" s="130">
        <f>'6.4'!D44</f>
        <v>135772</v>
      </c>
      <c r="C14" s="326">
        <f>'6.4'!E44</f>
        <v>12508.300000000001</v>
      </c>
      <c r="D14" s="130">
        <f>'6.4'!F44</f>
        <v>135962.79754000003</v>
      </c>
      <c r="E14" s="320">
        <f t="shared" si="0"/>
        <v>4.3419372242113362E-2</v>
      </c>
      <c r="F14" s="345">
        <f>'6.4'!H44</f>
        <v>-0.18765140248218876</v>
      </c>
      <c r="G14" s="339">
        <v>18.435483870967733</v>
      </c>
      <c r="H14" s="340">
        <v>25</v>
      </c>
      <c r="I14" s="340">
        <v>12.9</v>
      </c>
      <c r="J14" s="340">
        <v>17.7</v>
      </c>
      <c r="K14" s="339">
        <v>0.73548387096773382</v>
      </c>
    </row>
    <row r="15" spans="1:11" ht="14.1" customHeight="1">
      <c r="A15" s="155" t="s">
        <v>15</v>
      </c>
      <c r="B15" s="130">
        <f>'6.5'!D14</f>
        <v>159002</v>
      </c>
      <c r="C15" s="326">
        <f>'6.5'!E14</f>
        <v>13009.000000000002</v>
      </c>
      <c r="D15" s="130">
        <f>'6.5'!F14</f>
        <v>141405.68912999996</v>
      </c>
      <c r="E15" s="320">
        <f t="shared" si="0"/>
        <v>4.5157545774105801E-2</v>
      </c>
      <c r="F15" s="345">
        <f>'6.5'!H14</f>
        <v>-3.0712603940034954E-2</v>
      </c>
      <c r="G15" s="339">
        <v>19.29354838709677</v>
      </c>
      <c r="H15" s="340">
        <v>26.3</v>
      </c>
      <c r="I15" s="340">
        <v>13.9</v>
      </c>
      <c r="J15" s="340">
        <v>17.5</v>
      </c>
      <c r="K15" s="339">
        <v>1.7935483870967701</v>
      </c>
    </row>
    <row r="16" spans="1:11" ht="14.1" customHeight="1">
      <c r="A16" s="155" t="s">
        <v>1</v>
      </c>
      <c r="B16" s="130">
        <f>'6.5'!D44</f>
        <v>410665</v>
      </c>
      <c r="C16" s="326">
        <f>'6.5'!E44</f>
        <v>17962.366361616012</v>
      </c>
      <c r="D16" s="130">
        <f>'6.5'!F44</f>
        <v>196653.47913599553</v>
      </c>
      <c r="E16" s="320">
        <f t="shared" si="0"/>
        <v>6.2800786448958076E-2</v>
      </c>
      <c r="F16" s="345">
        <f>'6.5'!H44</f>
        <v>-0.11764741901775884</v>
      </c>
      <c r="G16" s="339">
        <v>20.845161290322579</v>
      </c>
      <c r="H16" s="340">
        <v>27.7</v>
      </c>
      <c r="I16" s="340">
        <v>15.5</v>
      </c>
      <c r="J16" s="340">
        <v>18.7</v>
      </c>
      <c r="K16" s="339">
        <v>2.1451612903225801</v>
      </c>
    </row>
    <row r="17" spans="1:16" ht="14.1" customHeight="1">
      <c r="A17" s="155" t="s">
        <v>16</v>
      </c>
      <c r="B17" s="130">
        <f>'6.6'!D14</f>
        <v>259308</v>
      </c>
      <c r="C17" s="326">
        <f>'6.6'!E14</f>
        <v>47069.253999999994</v>
      </c>
      <c r="D17" s="130">
        <f>'6.6'!F14</f>
        <v>511663.23923099996</v>
      </c>
      <c r="E17" s="320">
        <f t="shared" si="0"/>
        <v>0.16339834902441125</v>
      </c>
      <c r="F17" s="345">
        <f>'6.6'!H14</f>
        <v>-5.0086520790579715E-2</v>
      </c>
      <c r="G17" s="339">
        <v>19.216129032258067</v>
      </c>
      <c r="H17" s="340">
        <v>25.3</v>
      </c>
      <c r="I17" s="340">
        <v>13.7</v>
      </c>
      <c r="J17" s="340">
        <v>18.3</v>
      </c>
      <c r="K17" s="339">
        <v>0.91612903225806619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'6.6'!D44</f>
        <v>220751</v>
      </c>
      <c r="C18" s="326">
        <f>'6.6'!E44</f>
        <v>61754.204000000012</v>
      </c>
      <c r="D18" s="130">
        <f>'6.6'!F44</f>
        <v>672511.83306000021</v>
      </c>
      <c r="E18" s="320">
        <f t="shared" si="0"/>
        <v>0.21476493677079236</v>
      </c>
      <c r="F18" s="345">
        <f>'6.6'!H44</f>
        <v>-0.31582188516295401</v>
      </c>
      <c r="G18" s="339">
        <v>19.180645161290322</v>
      </c>
      <c r="H18" s="340">
        <v>26.3</v>
      </c>
      <c r="I18" s="340">
        <v>14</v>
      </c>
      <c r="J18" s="340">
        <v>18.5</v>
      </c>
      <c r="K18" s="339">
        <v>0.68064516129032171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'6.7'!D14</f>
        <v>119482</v>
      </c>
      <c r="C19" s="326">
        <f>'6.7'!E14</f>
        <v>9226.2608299999993</v>
      </c>
      <c r="D19" s="130">
        <f>'6.7'!F14</f>
        <v>100229.76822000003</v>
      </c>
      <c r="E19" s="320">
        <f t="shared" si="0"/>
        <v>3.2008120565514248E-2</v>
      </c>
      <c r="F19" s="345">
        <f>'6.7'!H14</f>
        <v>-0.14842582888452122</v>
      </c>
      <c r="G19" s="339">
        <v>18.412903225806449</v>
      </c>
      <c r="H19" s="340">
        <v>24.4</v>
      </c>
      <c r="I19" s="340">
        <v>12.4</v>
      </c>
      <c r="J19" s="340">
        <v>17</v>
      </c>
      <c r="K19" s="339">
        <v>1.4129032258064491</v>
      </c>
      <c r="L19" s="94"/>
      <c r="N19" s="94"/>
      <c r="O19" s="94"/>
      <c r="P19" s="94"/>
    </row>
    <row r="20" spans="1:16" ht="14.1" customHeight="1">
      <c r="A20" s="205" t="s">
        <v>19</v>
      </c>
      <c r="B20" s="323">
        <f>'6.7'!D44</f>
        <v>155421</v>
      </c>
      <c r="C20" s="327">
        <f>'6.7'!E44</f>
        <v>12477.900000000001</v>
      </c>
      <c r="D20" s="323">
        <f>'6.7'!F44</f>
        <v>135633.35811999999</v>
      </c>
      <c r="E20" s="324">
        <f t="shared" si="0"/>
        <v>4.3314166604490327E-2</v>
      </c>
      <c r="F20" s="346">
        <f>'6.7'!H44</f>
        <v>-0.19122250957668152</v>
      </c>
      <c r="G20" s="341">
        <v>18.7741935483871</v>
      </c>
      <c r="H20" s="342">
        <v>25.3</v>
      </c>
      <c r="I20" s="342">
        <v>13.3</v>
      </c>
      <c r="J20" s="342">
        <v>18.2</v>
      </c>
      <c r="K20" s="341">
        <v>0.57419354838710035</v>
      </c>
      <c r="L20" s="94"/>
    </row>
    <row r="21" spans="1:16" ht="14.1" customHeight="1">
      <c r="A21" s="155" t="s">
        <v>0</v>
      </c>
      <c r="B21" s="157">
        <f>SUM(B7:B20)</f>
        <v>2798648</v>
      </c>
      <c r="C21" s="326">
        <f>SUM(C7:C20)</f>
        <v>287897.92135161604</v>
      </c>
      <c r="D21" s="130">
        <f>SUM(D7:D20)</f>
        <v>3131385.6124369954</v>
      </c>
      <c r="E21" s="386">
        <f>SUM(E7:E20)</f>
        <v>1.0000000000000002</v>
      </c>
      <c r="F21" s="345"/>
      <c r="G21" s="269">
        <v>18.874193548387094</v>
      </c>
      <c r="H21" s="269">
        <v>24.9</v>
      </c>
      <c r="I21" s="269">
        <v>13.3</v>
      </c>
      <c r="J21" s="269">
        <v>18.522580645161291</v>
      </c>
      <c r="K21" s="269">
        <v>0.35161290322580285</v>
      </c>
    </row>
    <row r="22" spans="1:16" ht="14.1" customHeight="1">
      <c r="A22" s="205" t="s">
        <v>94</v>
      </c>
      <c r="B22" s="387"/>
      <c r="C22" s="327">
        <f>'5.1'!E13</f>
        <v>671.28885591643552</v>
      </c>
      <c r="D22" s="323">
        <f>'5.1'!F13</f>
        <v>7580.0914519999405</v>
      </c>
      <c r="E22" s="387"/>
      <c r="F22" s="346">
        <f>'5.1'!H13</f>
        <v>-2.9895308752016181</v>
      </c>
      <c r="G22" s="275">
        <v>18.874193548387094</v>
      </c>
      <c r="H22" s="275">
        <v>24.9</v>
      </c>
      <c r="I22" s="275">
        <v>13.3</v>
      </c>
      <c r="J22" s="275">
        <v>18.522580645161291</v>
      </c>
      <c r="K22" s="275">
        <v>0.35161290322580285</v>
      </c>
    </row>
    <row r="23" spans="1:16" ht="14.1" customHeight="1">
      <c r="A23" s="205" t="s">
        <v>55</v>
      </c>
      <c r="B23" s="162">
        <f>B21+B22</f>
        <v>2798648</v>
      </c>
      <c r="C23" s="327">
        <f>C21+C22</f>
        <v>288569.21020753245</v>
      </c>
      <c r="D23" s="323">
        <f>D21+D22</f>
        <v>3138965.7038889951</v>
      </c>
      <c r="E23" s="387"/>
      <c r="F23" s="346">
        <f>'5.1'!H14</f>
        <v>-0.24511182135802911</v>
      </c>
      <c r="G23" s="275">
        <v>18.874193548387094</v>
      </c>
      <c r="H23" s="275">
        <v>24.9</v>
      </c>
      <c r="I23" s="275">
        <v>13.3</v>
      </c>
      <c r="J23" s="275">
        <v>18.522580645161291</v>
      </c>
      <c r="K23" s="275">
        <v>0.35161290322580285</v>
      </c>
    </row>
    <row r="24" spans="1:16" ht="15" customHeight="1">
      <c r="A24" s="102"/>
      <c r="B24" s="95"/>
      <c r="C24" s="495" t="s">
        <v>247</v>
      </c>
      <c r="D24" s="495"/>
      <c r="E24" s="495"/>
      <c r="F24" s="495"/>
      <c r="G24" s="498" t="s">
        <v>245</v>
      </c>
      <c r="H24" s="498"/>
      <c r="I24" s="498"/>
      <c r="J24" s="498"/>
      <c r="K24" s="498"/>
    </row>
    <row r="25" spans="1:16" ht="15" customHeight="1">
      <c r="A25" s="95"/>
      <c r="B25" s="95"/>
      <c r="C25" s="495"/>
      <c r="D25" s="495"/>
      <c r="E25" s="495"/>
      <c r="F25" s="495"/>
      <c r="G25" s="498" t="s">
        <v>246</v>
      </c>
      <c r="H25" s="498"/>
      <c r="I25" s="498"/>
      <c r="J25" s="498"/>
      <c r="K25" s="498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80" t="s">
        <v>260</v>
      </c>
      <c r="B29" s="480"/>
      <c r="C29" s="480"/>
      <c r="D29" s="480"/>
      <c r="E29" s="480"/>
      <c r="F29" s="480" t="s">
        <v>61</v>
      </c>
      <c r="G29" s="480"/>
      <c r="H29" s="480"/>
      <c r="I29" s="480"/>
      <c r="J29" s="480"/>
      <c r="K29" s="480"/>
    </row>
    <row r="30" spans="1:16" ht="15" customHeight="1">
      <c r="A30" s="121"/>
      <c r="B30" s="496"/>
      <c r="C30" s="496"/>
      <c r="D30" s="121"/>
      <c r="E30" s="121"/>
      <c r="F30" s="121"/>
      <c r="G30" s="121"/>
      <c r="H30" s="496"/>
      <c r="I30" s="496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3:K3"/>
    <mergeCell ref="C24:F25"/>
    <mergeCell ref="C4:F4"/>
    <mergeCell ref="G4:K4"/>
    <mergeCell ref="A2:B2"/>
    <mergeCell ref="F5:F6"/>
    <mergeCell ref="E5:E6"/>
    <mergeCell ref="B30:C30"/>
    <mergeCell ref="H30:I30"/>
    <mergeCell ref="F29:K29"/>
    <mergeCell ref="A29:E29"/>
    <mergeCell ref="B5:B6"/>
    <mergeCell ref="G25:K25"/>
    <mergeCell ref="G24:K2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0" t="str">
        <f>"6.9 Spotřeba zemního plynu a teplota ovzduší podle krajů: "&amp;LOWER(A3)</f>
        <v>6.9 Spotřeba zemního plynu a teplota ovzduší podle krajů: srpen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20.100000000000001" customHeight="1">
      <c r="A3" s="463" t="str">
        <f>'3.1'!E5</f>
        <v>Srpen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9"/>
      <c r="B4" s="265">
        <f>'3.1'!A4</f>
        <v>2022</v>
      </c>
      <c r="C4" s="518" t="s">
        <v>60</v>
      </c>
      <c r="D4" s="519"/>
      <c r="E4" s="519"/>
      <c r="F4" s="520"/>
      <c r="G4" s="521" t="s">
        <v>187</v>
      </c>
      <c r="H4" s="521"/>
      <c r="I4" s="521"/>
      <c r="J4" s="521"/>
      <c r="K4" s="521"/>
    </row>
    <row r="5" spans="1:11" ht="49.5" customHeight="1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88" t="s">
        <v>62</v>
      </c>
      <c r="H5" s="388" t="s">
        <v>174</v>
      </c>
      <c r="I5" s="388" t="s">
        <v>175</v>
      </c>
      <c r="J5" s="388" t="s">
        <v>287</v>
      </c>
      <c r="K5" s="388" t="s">
        <v>288</v>
      </c>
    </row>
    <row r="6" spans="1:11" ht="15" customHeight="1">
      <c r="A6" s="222" t="s">
        <v>188</v>
      </c>
      <c r="B6" s="467"/>
      <c r="C6" s="224" t="s">
        <v>264</v>
      </c>
      <c r="D6" s="222" t="s">
        <v>265</v>
      </c>
      <c r="E6" s="467"/>
      <c r="F6" s="506"/>
      <c r="G6" s="222" t="s">
        <v>233</v>
      </c>
      <c r="H6" s="222" t="s">
        <v>233</v>
      </c>
      <c r="I6" s="222" t="s">
        <v>233</v>
      </c>
      <c r="J6" s="222" t="s">
        <v>233</v>
      </c>
      <c r="K6" s="222" t="s">
        <v>233</v>
      </c>
    </row>
    <row r="7" spans="1:11" ht="14.1" customHeight="1">
      <c r="A7" s="155" t="s">
        <v>8</v>
      </c>
      <c r="B7" s="130">
        <f>'6.1'!D20</f>
        <v>104230</v>
      </c>
      <c r="C7" s="326">
        <f>'6.1'!E20</f>
        <v>9119.3572300000014</v>
      </c>
      <c r="D7" s="130">
        <f>'6.1'!F20</f>
        <v>99108.259180000008</v>
      </c>
      <c r="E7" s="320">
        <f>D7/$D$21</f>
        <v>2.9411221974685903E-2</v>
      </c>
      <c r="F7" s="345">
        <f>'6.1'!H20</f>
        <v>-0.17551505967854536</v>
      </c>
      <c r="G7" s="339">
        <v>18.235483870967741</v>
      </c>
      <c r="H7" s="340">
        <v>23.2</v>
      </c>
      <c r="I7" s="340">
        <v>13.5</v>
      </c>
      <c r="J7" s="340">
        <v>16.899999999999991</v>
      </c>
      <c r="K7" s="339">
        <v>1.3354838709677495</v>
      </c>
    </row>
    <row r="8" spans="1:11" ht="14.1" customHeight="1">
      <c r="A8" s="155" t="s">
        <v>9</v>
      </c>
      <c r="B8" s="130">
        <f>'6.1'!D50</f>
        <v>379341</v>
      </c>
      <c r="C8" s="326">
        <f>'6.1'!E50</f>
        <v>26438.600000000002</v>
      </c>
      <c r="D8" s="130">
        <f>'6.1'!F50</f>
        <v>286872.40368000016</v>
      </c>
      <c r="E8" s="320">
        <f t="shared" ref="E8:E20" si="0">D8/$D$21</f>
        <v>8.513183475173805E-2</v>
      </c>
      <c r="F8" s="345">
        <f>'6.1'!H50</f>
        <v>-0.17735682325925814</v>
      </c>
      <c r="G8" s="339">
        <v>20.948387096774194</v>
      </c>
      <c r="H8" s="340">
        <v>26</v>
      </c>
      <c r="I8" s="340">
        <v>16.100000000000001</v>
      </c>
      <c r="J8" s="340">
        <v>18.7</v>
      </c>
      <c r="K8" s="339">
        <v>2.248387096774195</v>
      </c>
    </row>
    <row r="9" spans="1:11" ht="14.1" customHeight="1">
      <c r="A9" s="155" t="s">
        <v>10</v>
      </c>
      <c r="B9" s="130">
        <f>'6.2'!D20</f>
        <v>83409</v>
      </c>
      <c r="C9" s="326">
        <f>'6.2'!E20</f>
        <v>8481.6999999999989</v>
      </c>
      <c r="D9" s="130">
        <f>'6.2'!F20</f>
        <v>92030.568500000023</v>
      </c>
      <c r="E9" s="320">
        <f t="shared" si="0"/>
        <v>2.7310856844877909E-2</v>
      </c>
      <c r="F9" s="345">
        <f>'6.2'!H20</f>
        <v>-0.83741721536942793</v>
      </c>
      <c r="G9" s="339">
        <v>18.045161290322582</v>
      </c>
      <c r="H9" s="340">
        <v>24.1</v>
      </c>
      <c r="I9" s="340">
        <v>14.9</v>
      </c>
      <c r="J9" s="340">
        <v>16.100000000000009</v>
      </c>
      <c r="K9" s="339">
        <v>1.9451612903225737</v>
      </c>
    </row>
    <row r="10" spans="1:11" ht="14.1" customHeight="1">
      <c r="A10" s="155" t="s">
        <v>92</v>
      </c>
      <c r="B10" s="130">
        <f>'6.2'!D50</f>
        <v>116991</v>
      </c>
      <c r="C10" s="326">
        <f>'6.2'!E50</f>
        <v>10294.5</v>
      </c>
      <c r="D10" s="130">
        <f>'6.2'!F50</f>
        <v>111700.32926999999</v>
      </c>
      <c r="E10" s="320">
        <f t="shared" si="0"/>
        <v>3.3148026269322617E-2</v>
      </c>
      <c r="F10" s="345">
        <f>'6.2'!H50</f>
        <v>-0.1347050961999143</v>
      </c>
      <c r="G10" s="339">
        <v>19.280645161290323</v>
      </c>
      <c r="H10" s="340">
        <v>26</v>
      </c>
      <c r="I10" s="340">
        <v>15.1</v>
      </c>
      <c r="J10" s="340">
        <v>16.899999999999991</v>
      </c>
      <c r="K10" s="339">
        <v>2.3806451612903317</v>
      </c>
    </row>
    <row r="11" spans="1:11" ht="14.1" customHeight="1">
      <c r="A11" s="155" t="s">
        <v>11</v>
      </c>
      <c r="B11" s="130">
        <f>'6.3'!D20</f>
        <v>92392</v>
      </c>
      <c r="C11" s="326">
        <f>'6.3'!E20</f>
        <v>9604.5999999999985</v>
      </c>
      <c r="D11" s="130">
        <f>'6.3'!F20</f>
        <v>104214.76005999999</v>
      </c>
      <c r="E11" s="320">
        <f t="shared" si="0"/>
        <v>3.092661970377765E-2</v>
      </c>
      <c r="F11" s="345">
        <f>'6.3'!H20</f>
        <v>-0.17517433272646088</v>
      </c>
      <c r="G11" s="339">
        <v>18.861290322580647</v>
      </c>
      <c r="H11" s="340">
        <v>25.9</v>
      </c>
      <c r="I11" s="340">
        <v>15</v>
      </c>
      <c r="J11" s="340">
        <v>16.300000000000008</v>
      </c>
      <c r="K11" s="339">
        <v>2.5612903225806392</v>
      </c>
    </row>
    <row r="12" spans="1:11" ht="14.1" customHeight="1">
      <c r="A12" s="155" t="s">
        <v>12</v>
      </c>
      <c r="B12" s="130">
        <f>'6.3'!D50</f>
        <v>374518</v>
      </c>
      <c r="C12" s="326">
        <f>'6.3'!E50</f>
        <v>31474.873000000003</v>
      </c>
      <c r="D12" s="130">
        <f>'6.3'!F50</f>
        <v>341335.37238000002</v>
      </c>
      <c r="E12" s="320">
        <f t="shared" si="0"/>
        <v>0.10129418565053491</v>
      </c>
      <c r="F12" s="345">
        <f>'6.3'!H50</f>
        <v>-0.1999172079374634</v>
      </c>
      <c r="G12" s="339">
        <v>19.580645161290324</v>
      </c>
      <c r="H12" s="340">
        <v>24.7</v>
      </c>
      <c r="I12" s="340">
        <v>15.6</v>
      </c>
      <c r="J12" s="340">
        <v>16.899999999999991</v>
      </c>
      <c r="K12" s="339">
        <v>2.6806451612903324</v>
      </c>
    </row>
    <row r="13" spans="1:11" ht="14.1" customHeight="1">
      <c r="A13" s="155" t="s">
        <v>13</v>
      </c>
      <c r="B13" s="130">
        <f>'6.4'!D20</f>
        <v>185447</v>
      </c>
      <c r="C13" s="326">
        <f>'6.4'!E20</f>
        <v>16605.8</v>
      </c>
      <c r="D13" s="130">
        <f>'6.4'!F20</f>
        <v>180182.12134999994</v>
      </c>
      <c r="E13" s="320">
        <f t="shared" si="0"/>
        <v>5.347058268140837E-2</v>
      </c>
      <c r="F13" s="345">
        <f>'6.4'!H20</f>
        <v>-0.13807296830150692</v>
      </c>
      <c r="G13" s="339">
        <v>19.270967741935483</v>
      </c>
      <c r="H13" s="340">
        <v>24.9</v>
      </c>
      <c r="I13" s="340">
        <v>15.4</v>
      </c>
      <c r="J13" s="340">
        <v>16.600000000000009</v>
      </c>
      <c r="K13" s="339">
        <v>2.670967741935474</v>
      </c>
    </row>
    <row r="14" spans="1:11" ht="14.1" customHeight="1">
      <c r="A14" s="155" t="s">
        <v>14</v>
      </c>
      <c r="B14" s="130">
        <f>'6.4'!D50</f>
        <v>135577</v>
      </c>
      <c r="C14" s="326">
        <f>'6.4'!E50</f>
        <v>12205.5</v>
      </c>
      <c r="D14" s="130">
        <f>'6.4'!F50</f>
        <v>132436.13976000002</v>
      </c>
      <c r="E14" s="320">
        <f t="shared" si="0"/>
        <v>3.9301555048783632E-2</v>
      </c>
      <c r="F14" s="345">
        <f>'6.4'!H50</f>
        <v>-0.23780411650097411</v>
      </c>
      <c r="G14" s="339">
        <v>19.348387096774193</v>
      </c>
      <c r="H14" s="340">
        <v>25.5</v>
      </c>
      <c r="I14" s="340">
        <v>14.8</v>
      </c>
      <c r="J14" s="340">
        <v>17.5</v>
      </c>
      <c r="K14" s="339">
        <v>1.8483870967741929</v>
      </c>
    </row>
    <row r="15" spans="1:11" ht="14.1" customHeight="1">
      <c r="A15" s="155" t="s">
        <v>15</v>
      </c>
      <c r="B15" s="130">
        <f>'6.5'!D20</f>
        <v>158774</v>
      </c>
      <c r="C15" s="326">
        <f>'6.5'!E20</f>
        <v>13718.499999999998</v>
      </c>
      <c r="D15" s="130">
        <f>'6.5'!F20</f>
        <v>148852.43937000004</v>
      </c>
      <c r="E15" s="320">
        <f t="shared" si="0"/>
        <v>4.417323209999445E-2</v>
      </c>
      <c r="F15" s="345">
        <f>'6.5'!H20</f>
        <v>-0.14907144363532615</v>
      </c>
      <c r="G15" s="339">
        <v>19.28387096774193</v>
      </c>
      <c r="H15" s="340">
        <v>25.9</v>
      </c>
      <c r="I15" s="340">
        <v>15.4</v>
      </c>
      <c r="J15" s="340">
        <v>17</v>
      </c>
      <c r="K15" s="339">
        <v>2.2838709677419295</v>
      </c>
    </row>
    <row r="16" spans="1:11" ht="14.1" customHeight="1">
      <c r="A16" s="155" t="s">
        <v>1</v>
      </c>
      <c r="B16" s="130">
        <f>'6.5'!D50</f>
        <v>410204</v>
      </c>
      <c r="C16" s="326">
        <f>'6.5'!E50</f>
        <v>17541.661373161754</v>
      </c>
      <c r="D16" s="130">
        <f>'6.5'!F50</f>
        <v>191261.56128698474</v>
      </c>
      <c r="E16" s="320">
        <f t="shared" si="0"/>
        <v>5.6758501065183375E-2</v>
      </c>
      <c r="F16" s="345">
        <f>'6.5'!H50</f>
        <v>-0.15446652706435879</v>
      </c>
      <c r="G16" s="339">
        <v>21.299999999999997</v>
      </c>
      <c r="H16" s="340">
        <v>27.6</v>
      </c>
      <c r="I16" s="340">
        <v>16</v>
      </c>
      <c r="J16" s="340">
        <v>18.5</v>
      </c>
      <c r="K16" s="339">
        <v>2.7999999999999972</v>
      </c>
    </row>
    <row r="17" spans="1:16" ht="14.1" customHeight="1">
      <c r="A17" s="155" t="s">
        <v>16</v>
      </c>
      <c r="B17" s="130">
        <f>'6.6'!D20</f>
        <v>258936</v>
      </c>
      <c r="C17" s="326">
        <f>'6.6'!E20</f>
        <v>47474.409999999996</v>
      </c>
      <c r="D17" s="130">
        <f>'6.6'!F20</f>
        <v>515195.59240100003</v>
      </c>
      <c r="E17" s="320">
        <f t="shared" si="0"/>
        <v>0.15288869014403381</v>
      </c>
      <c r="F17" s="345">
        <f>'6.6'!H20</f>
        <v>-0.12740085611173177</v>
      </c>
      <c r="G17" s="339">
        <v>19.719354838709677</v>
      </c>
      <c r="H17" s="340">
        <v>25.8</v>
      </c>
      <c r="I17" s="340">
        <v>15.1</v>
      </c>
      <c r="J17" s="340">
        <v>18.100000000000009</v>
      </c>
      <c r="K17" s="339">
        <v>1.6193548387096683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'6.6'!D50</f>
        <v>220433</v>
      </c>
      <c r="C18" s="326">
        <f>'6.6'!E50</f>
        <v>84200.642000000022</v>
      </c>
      <c r="D18" s="130">
        <f>'6.6'!F50</f>
        <v>914496.25654000009</v>
      </c>
      <c r="E18" s="320">
        <f t="shared" si="0"/>
        <v>0.27138457095960111</v>
      </c>
      <c r="F18" s="345">
        <f>'6.6'!H50</f>
        <v>0.67084570698915857</v>
      </c>
      <c r="G18" s="339">
        <v>19.909677419354836</v>
      </c>
      <c r="H18" s="340">
        <v>25.6</v>
      </c>
      <c r="I18" s="340">
        <v>15.9</v>
      </c>
      <c r="J18" s="340">
        <v>18</v>
      </c>
      <c r="K18" s="339">
        <v>1.9096774193548356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'6.7'!D20</f>
        <v>119314</v>
      </c>
      <c r="C19" s="326">
        <f>'6.7'!E20</f>
        <v>10116.36577</v>
      </c>
      <c r="D19" s="130">
        <f>'6.7'!F20</f>
        <v>109791.55431000001</v>
      </c>
      <c r="E19" s="320">
        <f t="shared" si="0"/>
        <v>3.2581581005196633E-2</v>
      </c>
      <c r="F19" s="345">
        <f>'6.7'!H20</f>
        <v>-0.18529329408980294</v>
      </c>
      <c r="G19" s="339">
        <v>19.041935483870969</v>
      </c>
      <c r="H19" s="340">
        <v>25.8</v>
      </c>
      <c r="I19" s="340">
        <v>13.5</v>
      </c>
      <c r="J19" s="340">
        <v>16.699999999999996</v>
      </c>
      <c r="K19" s="339">
        <v>2.3419354838709729</v>
      </c>
      <c r="L19" s="94"/>
      <c r="N19" s="94"/>
      <c r="O19" s="94"/>
      <c r="P19" s="94"/>
    </row>
    <row r="20" spans="1:16" ht="14.1" customHeight="1">
      <c r="A20" s="205" t="s">
        <v>19</v>
      </c>
      <c r="B20" s="323">
        <f>'6.7'!D50</f>
        <v>155197</v>
      </c>
      <c r="C20" s="327">
        <f>'6.7'!E50</f>
        <v>13111.4</v>
      </c>
      <c r="D20" s="323">
        <f>'6.7'!F50</f>
        <v>142265.63542999997</v>
      </c>
      <c r="E20" s="324">
        <f t="shared" si="0"/>
        <v>4.2218541800861729E-2</v>
      </c>
      <c r="F20" s="346">
        <f>'6.7'!H50</f>
        <v>-0.17856605854049723</v>
      </c>
      <c r="G20" s="341">
        <v>19.303225806451611</v>
      </c>
      <c r="H20" s="342">
        <v>24.1</v>
      </c>
      <c r="I20" s="342">
        <v>15.7</v>
      </c>
      <c r="J20" s="342">
        <v>17.899999999999991</v>
      </c>
      <c r="K20" s="341">
        <v>1.4032258064516192</v>
      </c>
      <c r="L20" s="94"/>
    </row>
    <row r="21" spans="1:16" ht="14.1" customHeight="1">
      <c r="A21" s="155" t="s">
        <v>0</v>
      </c>
      <c r="B21" s="157">
        <f>SUM(B7:B20)</f>
        <v>2794763</v>
      </c>
      <c r="C21" s="326">
        <f>SUM(C7:C20)</f>
        <v>310387.90937316179</v>
      </c>
      <c r="D21" s="130">
        <f>SUM(D7:D20)</f>
        <v>3369742.9935179846</v>
      </c>
      <c r="E21" s="386">
        <f>SUM(E7:E20)</f>
        <v>1.0000000000000002</v>
      </c>
      <c r="F21" s="345"/>
      <c r="G21" s="269">
        <v>19.361290322580643</v>
      </c>
      <c r="H21" s="269">
        <v>25.2</v>
      </c>
      <c r="I21" s="269">
        <v>15</v>
      </c>
      <c r="J21" s="269">
        <v>18.119354838709679</v>
      </c>
      <c r="K21" s="269">
        <v>1.2419354838709644</v>
      </c>
    </row>
    <row r="22" spans="1:16" ht="14.1" customHeight="1">
      <c r="A22" s="205" t="s">
        <v>94</v>
      </c>
      <c r="B22" s="387"/>
      <c r="C22" s="327">
        <f>'5.1'!E20</f>
        <v>716.80472523997037</v>
      </c>
      <c r="D22" s="323">
        <f>'5.1'!F20</f>
        <v>7879.4028009999456</v>
      </c>
      <c r="E22" s="387"/>
      <c r="F22" s="346">
        <f>'5.1'!H20</f>
        <v>-6.3412353927724778</v>
      </c>
      <c r="G22" s="275">
        <v>19.361290322580643</v>
      </c>
      <c r="H22" s="275">
        <v>25.2</v>
      </c>
      <c r="I22" s="275">
        <v>15</v>
      </c>
      <c r="J22" s="275">
        <v>18.119354838709679</v>
      </c>
      <c r="K22" s="275">
        <v>1.2419354838709644</v>
      </c>
    </row>
    <row r="23" spans="1:16" ht="14.1" customHeight="1">
      <c r="A23" s="205" t="s">
        <v>55</v>
      </c>
      <c r="B23" s="162">
        <f>B21+B22</f>
        <v>2794763</v>
      </c>
      <c r="C23" s="327">
        <f t="shared" ref="C23:D23" si="1">C21+C22</f>
        <v>311104.71409840178</v>
      </c>
      <c r="D23" s="323">
        <f t="shared" si="1"/>
        <v>3377622.3963189847</v>
      </c>
      <c r="E23" s="387"/>
      <c r="F23" s="346">
        <f>'5.1'!H21</f>
        <v>-0.14400148436927032</v>
      </c>
      <c r="G23" s="275">
        <v>19.361290322580643</v>
      </c>
      <c r="H23" s="275">
        <v>25.2</v>
      </c>
      <c r="I23" s="275">
        <v>15</v>
      </c>
      <c r="J23" s="275">
        <v>18.119354838709679</v>
      </c>
      <c r="K23" s="275">
        <v>1.2419354838709644</v>
      </c>
    </row>
    <row r="24" spans="1:16" ht="15" customHeight="1">
      <c r="A24" s="102"/>
      <c r="B24" s="95"/>
      <c r="C24" s="495" t="s">
        <v>247</v>
      </c>
      <c r="D24" s="495"/>
      <c r="E24" s="495"/>
      <c r="F24" s="495"/>
      <c r="G24" s="498" t="s">
        <v>245</v>
      </c>
      <c r="H24" s="498"/>
      <c r="I24" s="498"/>
      <c r="J24" s="498"/>
      <c r="K24" s="498"/>
    </row>
    <row r="25" spans="1:16" ht="15" customHeight="1">
      <c r="A25" s="95"/>
      <c r="B25" s="95"/>
      <c r="C25" s="495"/>
      <c r="D25" s="495"/>
      <c r="E25" s="495"/>
      <c r="F25" s="495"/>
      <c r="G25" s="498" t="s">
        <v>246</v>
      </c>
      <c r="H25" s="498"/>
      <c r="I25" s="498"/>
      <c r="J25" s="498"/>
      <c r="K25" s="498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80" t="s">
        <v>260</v>
      </c>
      <c r="B29" s="480"/>
      <c r="C29" s="480"/>
      <c r="D29" s="480"/>
      <c r="E29" s="480"/>
      <c r="F29" s="480" t="s">
        <v>61</v>
      </c>
      <c r="G29" s="480"/>
      <c r="H29" s="480"/>
      <c r="I29" s="480"/>
      <c r="J29" s="480"/>
      <c r="K29" s="480"/>
    </row>
    <row r="30" spans="1:16" ht="15" customHeight="1">
      <c r="A30" s="121"/>
      <c r="B30" s="496"/>
      <c r="C30" s="496"/>
      <c r="D30" s="121"/>
      <c r="E30" s="121"/>
      <c r="F30" s="121"/>
      <c r="G30" s="121"/>
      <c r="H30" s="496"/>
      <c r="I30" s="496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45" t="s">
        <v>249</v>
      </c>
      <c r="C1" s="3"/>
      <c r="D1" s="3"/>
    </row>
    <row r="2" spans="1:4" s="6" customFormat="1" ht="6" customHeight="1">
      <c r="A2" s="5"/>
      <c r="B2" s="5"/>
      <c r="C2" s="5"/>
      <c r="D2" s="5"/>
    </row>
    <row r="3" spans="1:4" ht="11.25" customHeight="1">
      <c r="A3" s="409" t="s">
        <v>316</v>
      </c>
      <c r="B3" s="409"/>
    </row>
    <row r="4" spans="1:4" ht="11.25" customHeight="1">
      <c r="A4" s="409"/>
      <c r="B4" s="409"/>
    </row>
    <row r="5" spans="1:4" ht="11.25" customHeight="1">
      <c r="A5" s="409"/>
      <c r="B5" s="409"/>
      <c r="C5" s="7"/>
      <c r="D5" s="7"/>
    </row>
    <row r="6" spans="1:4" ht="11.25" customHeight="1">
      <c r="A6" s="409"/>
      <c r="B6" s="409"/>
      <c r="C6" s="7"/>
      <c r="D6" s="7"/>
    </row>
    <row r="7" spans="1:4" ht="11.25" customHeight="1">
      <c r="A7" s="409"/>
      <c r="B7" s="409"/>
      <c r="C7" s="8"/>
      <c r="D7" s="7"/>
    </row>
    <row r="8" spans="1:4" ht="11.25" customHeight="1">
      <c r="A8" s="409"/>
      <c r="B8" s="409"/>
      <c r="C8" s="7"/>
      <c r="D8" s="7"/>
    </row>
    <row r="9" spans="1:4" ht="11.25" customHeight="1">
      <c r="A9" s="409"/>
      <c r="B9" s="409"/>
      <c r="C9" s="7"/>
      <c r="D9" s="7"/>
    </row>
    <row r="10" spans="1:4" ht="11.25" customHeight="1">
      <c r="A10" s="409"/>
      <c r="B10" s="409"/>
      <c r="C10" s="7"/>
      <c r="D10" s="7"/>
    </row>
    <row r="11" spans="1:4" ht="11.25" customHeight="1">
      <c r="A11" s="409"/>
      <c r="B11" s="409"/>
      <c r="C11" s="7"/>
      <c r="D11" s="7"/>
    </row>
    <row r="12" spans="1:4" ht="11.25" customHeight="1">
      <c r="A12" s="409"/>
      <c r="B12" s="409"/>
      <c r="C12" s="7"/>
      <c r="D12" s="7"/>
    </row>
    <row r="13" spans="1:4" ht="11.25" customHeight="1">
      <c r="A13" s="409"/>
      <c r="B13" s="409"/>
      <c r="C13" s="7"/>
      <c r="D13" s="7"/>
    </row>
    <row r="14" spans="1:4" ht="11.25" customHeight="1">
      <c r="A14" s="409"/>
      <c r="B14" s="409"/>
      <c r="C14" s="7"/>
      <c r="D14" s="7"/>
    </row>
    <row r="15" spans="1:4" ht="11.25" customHeight="1">
      <c r="A15" s="409"/>
      <c r="B15" s="409"/>
      <c r="C15" s="7"/>
      <c r="D15" s="7"/>
    </row>
    <row r="16" spans="1:4" ht="11.25" customHeight="1">
      <c r="A16" s="409"/>
      <c r="B16" s="409"/>
      <c r="C16" s="7"/>
      <c r="D16" s="7"/>
    </row>
    <row r="17" spans="1:6" ht="11.25" customHeight="1">
      <c r="A17" s="409"/>
      <c r="B17" s="409"/>
      <c r="C17" s="7"/>
      <c r="D17" s="7"/>
    </row>
    <row r="18" spans="1:6" ht="11.25" customHeight="1">
      <c r="A18" s="409"/>
      <c r="B18" s="409"/>
      <c r="C18" s="7"/>
      <c r="D18" s="7"/>
      <c r="F18" s="2"/>
    </row>
    <row r="19" spans="1:6" ht="11.25" customHeight="1">
      <c r="A19" s="409"/>
      <c r="B19" s="409"/>
      <c r="C19" s="7"/>
      <c r="D19" s="7"/>
      <c r="F19" s="2"/>
    </row>
    <row r="20" spans="1:6" ht="11.25" customHeight="1">
      <c r="A20" s="409"/>
      <c r="B20" s="409"/>
      <c r="C20" s="7"/>
      <c r="D20" s="7"/>
      <c r="F20" s="2"/>
    </row>
    <row r="21" spans="1:6" ht="11.25" customHeight="1">
      <c r="A21" s="409"/>
      <c r="B21" s="409"/>
      <c r="C21" s="7"/>
      <c r="D21" s="7"/>
      <c r="F21" s="2"/>
    </row>
    <row r="22" spans="1:6" ht="11.25" customHeight="1">
      <c r="A22" s="409"/>
      <c r="B22" s="409"/>
      <c r="C22" s="7"/>
      <c r="D22" s="7"/>
      <c r="F22" s="2"/>
    </row>
    <row r="23" spans="1:6" ht="11.25" customHeight="1">
      <c r="A23" s="409"/>
      <c r="B23" s="409"/>
      <c r="C23" s="7"/>
      <c r="D23" s="7"/>
      <c r="F23" s="2"/>
    </row>
    <row r="24" spans="1:6" ht="11.25" customHeight="1">
      <c r="A24" s="409"/>
      <c r="B24" s="409"/>
      <c r="C24" s="7"/>
      <c r="D24" s="7"/>
      <c r="F24" s="2"/>
    </row>
    <row r="25" spans="1:6" ht="11.25" customHeight="1">
      <c r="A25" s="409"/>
      <c r="B25" s="409"/>
      <c r="C25" s="7"/>
      <c r="D25" s="7"/>
      <c r="F25" s="2"/>
    </row>
    <row r="26" spans="1:6" ht="11.25" customHeight="1">
      <c r="A26" s="409"/>
      <c r="B26" s="409"/>
      <c r="C26" s="7"/>
      <c r="D26" s="7"/>
      <c r="F26" s="2"/>
    </row>
    <row r="27" spans="1:6" ht="11.25" customHeight="1">
      <c r="A27" s="409"/>
      <c r="B27" s="409"/>
      <c r="C27" s="7"/>
      <c r="D27" s="7"/>
      <c r="F27" s="2"/>
    </row>
    <row r="28" spans="1:6" ht="11.25" customHeight="1">
      <c r="A28" s="409"/>
      <c r="B28" s="409"/>
      <c r="C28" s="9"/>
      <c r="D28" s="9"/>
      <c r="F28" s="2"/>
    </row>
    <row r="29" spans="1:6" ht="11.25" customHeight="1">
      <c r="A29" s="409"/>
      <c r="B29" s="409"/>
      <c r="C29" s="7"/>
      <c r="D29" s="7"/>
      <c r="F29" s="2"/>
    </row>
    <row r="30" spans="1:6" ht="11.25" customHeight="1">
      <c r="A30" s="409"/>
      <c r="B30" s="409"/>
      <c r="C30" s="7"/>
      <c r="D30" s="7"/>
    </row>
    <row r="31" spans="1:6" ht="11.25" customHeight="1">
      <c r="A31" s="409"/>
      <c r="B31" s="409"/>
      <c r="C31" s="7"/>
      <c r="D31" s="7"/>
    </row>
    <row r="32" spans="1:6" ht="11.25" customHeight="1">
      <c r="A32" s="409"/>
      <c r="B32" s="409"/>
      <c r="C32" s="7"/>
      <c r="D32" s="7"/>
    </row>
    <row r="33" spans="1:4" ht="11.25" customHeight="1">
      <c r="A33" s="409"/>
      <c r="B33" s="409"/>
      <c r="C33" s="7"/>
      <c r="D33" s="7"/>
    </row>
    <row r="34" spans="1:4" ht="11.25" customHeight="1">
      <c r="A34" s="409"/>
      <c r="B34" s="409"/>
      <c r="C34" s="7"/>
      <c r="D34" s="7"/>
    </row>
    <row r="35" spans="1:4" ht="11.25" customHeight="1">
      <c r="A35" s="409"/>
      <c r="B35" s="409"/>
      <c r="C35" s="7"/>
      <c r="D35" s="7"/>
    </row>
    <row r="36" spans="1:4" ht="11.25" customHeight="1">
      <c r="A36" s="409"/>
      <c r="B36" s="409"/>
      <c r="C36" s="7"/>
      <c r="D36" s="7"/>
    </row>
    <row r="37" spans="1:4" ht="11.25" customHeight="1">
      <c r="A37" s="409"/>
      <c r="B37" s="409"/>
      <c r="C37" s="10"/>
      <c r="D37" s="10"/>
    </row>
    <row r="38" spans="1:4" ht="11.25" customHeight="1">
      <c r="A38" s="409"/>
      <c r="B38" s="409"/>
    </row>
    <row r="39" spans="1:4" ht="11.25" customHeight="1">
      <c r="A39" s="409"/>
      <c r="B39" s="409"/>
    </row>
    <row r="40" spans="1:4" ht="11.25" customHeight="1">
      <c r="A40" s="409"/>
      <c r="B40" s="409"/>
    </row>
    <row r="41" spans="1:4" ht="11.25" customHeight="1">
      <c r="A41" s="409"/>
      <c r="B41" s="409"/>
    </row>
    <row r="42" spans="1:4" ht="11.25" customHeight="1">
      <c r="A42" s="409"/>
      <c r="B42" s="409"/>
    </row>
    <row r="43" spans="1:4" ht="11.25" customHeight="1">
      <c r="A43" s="409"/>
      <c r="B43" s="409"/>
    </row>
    <row r="44" spans="1:4" ht="11.25" customHeight="1">
      <c r="A44" s="409"/>
      <c r="B44" s="409"/>
    </row>
    <row r="45" spans="1:4" ht="11.25" customHeight="1">
      <c r="A45" s="409"/>
      <c r="B45" s="409"/>
    </row>
    <row r="46" spans="1:4" ht="11.25" customHeight="1">
      <c r="A46" s="409"/>
      <c r="B46" s="409"/>
    </row>
    <row r="47" spans="1:4" ht="11.25" customHeight="1">
      <c r="A47" s="409"/>
      <c r="B47" s="409"/>
    </row>
    <row r="48" spans="1:4" ht="11.25" customHeight="1">
      <c r="A48" s="409"/>
      <c r="B48" s="409"/>
    </row>
    <row r="49" spans="1:2" ht="11.25" customHeight="1">
      <c r="A49" s="409"/>
      <c r="B49" s="409"/>
    </row>
    <row r="50" spans="1:2" ht="11.25" customHeight="1">
      <c r="A50" s="409"/>
      <c r="B50" s="409"/>
    </row>
    <row r="51" spans="1:2" ht="11.25" customHeight="1">
      <c r="A51" s="409"/>
      <c r="B51" s="409"/>
    </row>
    <row r="52" spans="1:2" ht="11.25" customHeight="1">
      <c r="A52" s="409"/>
      <c r="B52" s="409"/>
    </row>
    <row r="53" spans="1:2" ht="11.25" customHeight="1">
      <c r="A53" s="409"/>
      <c r="B53" s="409"/>
    </row>
    <row r="54" spans="1:2" ht="11.25" customHeight="1">
      <c r="A54" s="409"/>
      <c r="B54" s="409"/>
    </row>
    <row r="55" spans="1:2" ht="11.25" customHeight="1">
      <c r="A55" s="409"/>
      <c r="B55" s="409"/>
    </row>
    <row r="56" spans="1:2" ht="11.25" customHeight="1">
      <c r="A56" s="409"/>
      <c r="B56" s="409"/>
    </row>
    <row r="57" spans="1:2" ht="11.25" customHeight="1">
      <c r="A57" s="409"/>
      <c r="B57" s="409"/>
    </row>
    <row r="58" spans="1:2" ht="11.25" customHeight="1">
      <c r="A58" s="409"/>
      <c r="B58" s="409"/>
    </row>
    <row r="59" spans="1:2" ht="11.25" customHeight="1">
      <c r="A59" s="409"/>
      <c r="B59" s="409"/>
    </row>
    <row r="60" spans="1:2" ht="11.25" customHeight="1">
      <c r="A60" s="409"/>
      <c r="B60" s="409"/>
    </row>
    <row r="61" spans="1:2" ht="11.25" customHeight="1">
      <c r="A61" s="409"/>
      <c r="B61" s="409"/>
    </row>
    <row r="62" spans="1:2" ht="11.25" customHeight="1">
      <c r="A62" s="409"/>
      <c r="B62" s="409"/>
    </row>
    <row r="63" spans="1:2" ht="11.25" customHeight="1">
      <c r="A63" s="409"/>
      <c r="B63" s="409"/>
    </row>
    <row r="64" spans="1:2" ht="11.25" customHeight="1">
      <c r="A64" s="409"/>
      <c r="B64" s="409"/>
    </row>
    <row r="65" spans="1:2" ht="11.25" customHeight="1">
      <c r="A65" s="409"/>
      <c r="B65" s="409"/>
    </row>
    <row r="66" spans="1:2" ht="11.25" customHeight="1">
      <c r="A66" s="409"/>
      <c r="B66" s="409"/>
    </row>
    <row r="67" spans="1:2" ht="11.25" customHeight="1">
      <c r="A67" s="409"/>
      <c r="B67" s="409"/>
    </row>
    <row r="68" spans="1:2" ht="11.25" customHeight="1">
      <c r="A68" s="409"/>
      <c r="B68" s="409"/>
    </row>
    <row r="69" spans="1:2" ht="11.25" customHeight="1">
      <c r="A69" s="409"/>
      <c r="B69" s="409"/>
    </row>
    <row r="70" spans="1:2" ht="11.25" customHeight="1">
      <c r="A70" s="409"/>
      <c r="B70" s="409"/>
    </row>
    <row r="71" spans="1:2" ht="11.25" customHeight="1">
      <c r="A71" s="409"/>
      <c r="B71" s="409"/>
    </row>
    <row r="72" spans="1:2" ht="11.25" customHeight="1">
      <c r="A72" s="11"/>
      <c r="B72" s="11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0" t="str">
        <f>"6.10 Spotřeba zemního plynu a teplota ovzduší podle krajů: "&amp;LOWER(A3)</f>
        <v>6.10 Spotřeba zemního plynu a teplota ovzduší podle krajů: září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20.100000000000001" customHeight="1">
      <c r="A3" s="463" t="str">
        <f>'3.1'!F5</f>
        <v>Září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9"/>
      <c r="B4" s="265">
        <f>'3.1'!A4</f>
        <v>2022</v>
      </c>
      <c r="C4" s="518" t="s">
        <v>60</v>
      </c>
      <c r="D4" s="519"/>
      <c r="E4" s="519"/>
      <c r="F4" s="520"/>
      <c r="G4" s="521" t="s">
        <v>187</v>
      </c>
      <c r="H4" s="521"/>
      <c r="I4" s="521"/>
      <c r="J4" s="521"/>
      <c r="K4" s="521"/>
    </row>
    <row r="5" spans="1:11" ht="49.5" customHeight="1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88" t="s">
        <v>62</v>
      </c>
      <c r="H5" s="388" t="s">
        <v>174</v>
      </c>
      <c r="I5" s="388" t="s">
        <v>175</v>
      </c>
      <c r="J5" s="388" t="s">
        <v>287</v>
      </c>
      <c r="K5" s="388" t="s">
        <v>288</v>
      </c>
    </row>
    <row r="6" spans="1:11" ht="15" customHeight="1">
      <c r="A6" s="222" t="s">
        <v>188</v>
      </c>
      <c r="B6" s="467"/>
      <c r="C6" s="224" t="s">
        <v>264</v>
      </c>
      <c r="D6" s="222" t="s">
        <v>265</v>
      </c>
      <c r="E6" s="467"/>
      <c r="F6" s="506"/>
      <c r="G6" s="222" t="s">
        <v>233</v>
      </c>
      <c r="H6" s="222" t="s">
        <v>233</v>
      </c>
      <c r="I6" s="222" t="s">
        <v>233</v>
      </c>
      <c r="J6" s="222" t="s">
        <v>233</v>
      </c>
      <c r="K6" s="222" t="s">
        <v>233</v>
      </c>
    </row>
    <row r="7" spans="1:11" ht="14.1" customHeight="1">
      <c r="A7" s="155" t="s">
        <v>8</v>
      </c>
      <c r="B7" s="130">
        <f>'6.1'!D26</f>
        <v>104068</v>
      </c>
      <c r="C7" s="326">
        <f>'6.1'!E26</f>
        <v>13299.163200000001</v>
      </c>
      <c r="D7" s="130">
        <f>'6.1'!F26</f>
        <v>144652.26730000001</v>
      </c>
      <c r="E7" s="320">
        <f>D7/$D$21</f>
        <v>3.4728113601714683E-2</v>
      </c>
      <c r="F7" s="345">
        <f>'6.1'!H26</f>
        <v>6.036228780185727E-3</v>
      </c>
      <c r="G7" s="339">
        <v>18.235483870967741</v>
      </c>
      <c r="H7" s="340">
        <v>23.2</v>
      </c>
      <c r="I7" s="340">
        <v>13.5</v>
      </c>
      <c r="J7" s="340">
        <v>16.899999999999991</v>
      </c>
      <c r="K7" s="339">
        <v>1.3354838709677495</v>
      </c>
    </row>
    <row r="8" spans="1:11" ht="14.1" customHeight="1">
      <c r="A8" s="155" t="s">
        <v>9</v>
      </c>
      <c r="B8" s="130">
        <f>'6.1'!D56</f>
        <v>378835</v>
      </c>
      <c r="C8" s="326">
        <f>'6.1'!E56</f>
        <v>40772.200000000004</v>
      </c>
      <c r="D8" s="130">
        <f>'6.1'!F56</f>
        <v>445905.81092999992</v>
      </c>
      <c r="E8" s="320">
        <f t="shared" ref="E8:E20" si="0">D8/$D$21</f>
        <v>0.10705305866741673</v>
      </c>
      <c r="F8" s="345">
        <f>'6.1'!H56</f>
        <v>3.8464673220926199E-2</v>
      </c>
      <c r="G8" s="339">
        <v>20.948387096774194</v>
      </c>
      <c r="H8" s="340">
        <v>26</v>
      </c>
      <c r="I8" s="340">
        <v>16.100000000000001</v>
      </c>
      <c r="J8" s="340">
        <v>18.7</v>
      </c>
      <c r="K8" s="339">
        <v>2.248387096774195</v>
      </c>
    </row>
    <row r="9" spans="1:11" ht="14.1" customHeight="1">
      <c r="A9" s="155" t="s">
        <v>10</v>
      </c>
      <c r="B9" s="130">
        <f>'6.2'!D26</f>
        <v>83299</v>
      </c>
      <c r="C9" s="326">
        <f>'6.2'!E26</f>
        <v>9803.0999999999985</v>
      </c>
      <c r="D9" s="130">
        <f>'6.2'!F26</f>
        <v>107212.16309000002</v>
      </c>
      <c r="E9" s="320">
        <f t="shared" si="0"/>
        <v>2.5739494090011281E-2</v>
      </c>
      <c r="F9" s="345">
        <f>'6.2'!H26</f>
        <v>-0.76411607594022957</v>
      </c>
      <c r="G9" s="339">
        <v>18.045161290322582</v>
      </c>
      <c r="H9" s="340">
        <v>24.1</v>
      </c>
      <c r="I9" s="340">
        <v>14.9</v>
      </c>
      <c r="J9" s="340">
        <v>16.100000000000009</v>
      </c>
      <c r="K9" s="339">
        <v>1.9451612903225737</v>
      </c>
    </row>
    <row r="10" spans="1:11" ht="14.1" customHeight="1">
      <c r="A10" s="155" t="s">
        <v>92</v>
      </c>
      <c r="B10" s="130">
        <f>'6.2'!D56</f>
        <v>116829</v>
      </c>
      <c r="C10" s="326">
        <f>'6.2'!E56</f>
        <v>14654.399999999998</v>
      </c>
      <c r="D10" s="130">
        <f>'6.2'!F56</f>
        <v>160267.60735999997</v>
      </c>
      <c r="E10" s="320">
        <f t="shared" si="0"/>
        <v>3.8477044148433358E-2</v>
      </c>
      <c r="F10" s="345">
        <f>'6.2'!H56</f>
        <v>-1.9949574324369824E-2</v>
      </c>
      <c r="G10" s="339">
        <v>19.280645161290323</v>
      </c>
      <c r="H10" s="340">
        <v>26</v>
      </c>
      <c r="I10" s="340">
        <v>15.1</v>
      </c>
      <c r="J10" s="340">
        <v>16.899999999999991</v>
      </c>
      <c r="K10" s="339">
        <v>2.3806451612903317</v>
      </c>
    </row>
    <row r="11" spans="1:11" ht="14.1" customHeight="1">
      <c r="A11" s="155" t="s">
        <v>11</v>
      </c>
      <c r="B11" s="130">
        <f>'6.3'!D26</f>
        <v>92265</v>
      </c>
      <c r="C11" s="326">
        <f>'6.3'!E26</f>
        <v>14005.899999999998</v>
      </c>
      <c r="D11" s="130">
        <f>'6.3'!F26</f>
        <v>153177.17139000006</v>
      </c>
      <c r="E11" s="320">
        <f t="shared" si="0"/>
        <v>3.6774772414654315E-2</v>
      </c>
      <c r="F11" s="345">
        <f>'6.3'!H26</f>
        <v>-4.333897980929495E-2</v>
      </c>
      <c r="G11" s="339">
        <v>18.861290322580647</v>
      </c>
      <c r="H11" s="340">
        <v>25.9</v>
      </c>
      <c r="I11" s="340">
        <v>15</v>
      </c>
      <c r="J11" s="340">
        <v>16.300000000000008</v>
      </c>
      <c r="K11" s="339">
        <v>2.5612903225806392</v>
      </c>
    </row>
    <row r="12" spans="1:11" ht="14.1" customHeight="1">
      <c r="A12" s="155" t="s">
        <v>12</v>
      </c>
      <c r="B12" s="130">
        <f>'6.3'!D56</f>
        <v>374027</v>
      </c>
      <c r="C12" s="326">
        <f>'6.3'!E56</f>
        <v>42257.100000000006</v>
      </c>
      <c r="D12" s="130">
        <f>'6.3'!F56</f>
        <v>461861.59490999987</v>
      </c>
      <c r="E12" s="320">
        <f t="shared" si="0"/>
        <v>0.11088372298401991</v>
      </c>
      <c r="F12" s="345">
        <f>'6.3'!H56</f>
        <v>-8.4297103096651158E-2</v>
      </c>
      <c r="G12" s="339">
        <v>19.580645161290324</v>
      </c>
      <c r="H12" s="340">
        <v>24.7</v>
      </c>
      <c r="I12" s="340">
        <v>15.6</v>
      </c>
      <c r="J12" s="340">
        <v>16.899999999999991</v>
      </c>
      <c r="K12" s="339">
        <v>2.6806451612903324</v>
      </c>
    </row>
    <row r="13" spans="1:11" ht="14.1" customHeight="1">
      <c r="A13" s="155" t="s">
        <v>13</v>
      </c>
      <c r="B13" s="130">
        <f>'6.4'!D26</f>
        <v>185201</v>
      </c>
      <c r="C13" s="326">
        <f>'6.4'!E26</f>
        <v>21533</v>
      </c>
      <c r="D13" s="130">
        <f>'6.4'!F26</f>
        <v>235496.46528000006</v>
      </c>
      <c r="E13" s="320">
        <f t="shared" si="0"/>
        <v>5.653798693721615E-2</v>
      </c>
      <c r="F13" s="345">
        <f>'6.4'!H26</f>
        <v>-3.3124239471592591E-2</v>
      </c>
      <c r="G13" s="339">
        <v>19.270967741935483</v>
      </c>
      <c r="H13" s="340">
        <v>24.9</v>
      </c>
      <c r="I13" s="340">
        <v>15.4</v>
      </c>
      <c r="J13" s="340">
        <v>16.600000000000009</v>
      </c>
      <c r="K13" s="339">
        <v>2.670967741935474</v>
      </c>
    </row>
    <row r="14" spans="1:11" ht="14.1" customHeight="1">
      <c r="A14" s="155" t="s">
        <v>14</v>
      </c>
      <c r="B14" s="130">
        <f>'6.4'!D56</f>
        <v>135391</v>
      </c>
      <c r="C14" s="326">
        <f>'6.4'!E56</f>
        <v>16559.2</v>
      </c>
      <c r="D14" s="130">
        <f>'6.4'!F56</f>
        <v>181099.65499999994</v>
      </c>
      <c r="E14" s="320">
        <f t="shared" si="0"/>
        <v>4.3478401752444114E-2</v>
      </c>
      <c r="F14" s="345">
        <f>'6.4'!H56</f>
        <v>-4.5083905195778748E-2</v>
      </c>
      <c r="G14" s="339">
        <v>19.348387096774193</v>
      </c>
      <c r="H14" s="340">
        <v>25.5</v>
      </c>
      <c r="I14" s="340">
        <v>14.8</v>
      </c>
      <c r="J14" s="340">
        <v>17.5</v>
      </c>
      <c r="K14" s="339">
        <v>1.8483870967741929</v>
      </c>
    </row>
    <row r="15" spans="1:11" ht="14.1" customHeight="1">
      <c r="A15" s="155" t="s">
        <v>15</v>
      </c>
      <c r="B15" s="130">
        <f>'6.5'!D26</f>
        <v>158557</v>
      </c>
      <c r="C15" s="326">
        <f>'6.5'!E26</f>
        <v>17886.099999999999</v>
      </c>
      <c r="D15" s="130">
        <f>'6.5'!F26</f>
        <v>195611.68455000003</v>
      </c>
      <c r="E15" s="320">
        <f t="shared" si="0"/>
        <v>4.6962449532757362E-2</v>
      </c>
      <c r="F15" s="345">
        <f>'6.5'!H26</f>
        <v>-2.9832773742819795E-2</v>
      </c>
      <c r="G15" s="339">
        <v>19.28387096774193</v>
      </c>
      <c r="H15" s="340">
        <v>25.9</v>
      </c>
      <c r="I15" s="340">
        <v>15.4</v>
      </c>
      <c r="J15" s="340">
        <v>17</v>
      </c>
      <c r="K15" s="339">
        <v>2.2838709677419295</v>
      </c>
    </row>
    <row r="16" spans="1:11" ht="14.1" customHeight="1">
      <c r="A16" s="155" t="s">
        <v>1</v>
      </c>
      <c r="B16" s="130">
        <f>'6.5'!D56</f>
        <v>409560</v>
      </c>
      <c r="C16" s="326">
        <f>'6.5'!E56</f>
        <v>28887.439159226851</v>
      </c>
      <c r="D16" s="130">
        <f>'6.5'!F56</f>
        <v>317853.25164596835</v>
      </c>
      <c r="E16" s="320">
        <f t="shared" si="0"/>
        <v>7.6310202652700443E-2</v>
      </c>
      <c r="F16" s="345">
        <f>'6.5'!H56</f>
        <v>6.4489241670858399E-2</v>
      </c>
      <c r="G16" s="339">
        <v>21.299999999999997</v>
      </c>
      <c r="H16" s="340">
        <v>27.6</v>
      </c>
      <c r="I16" s="340">
        <v>16</v>
      </c>
      <c r="J16" s="340">
        <v>18.5</v>
      </c>
      <c r="K16" s="339">
        <v>2.7999999999999972</v>
      </c>
    </row>
    <row r="17" spans="1:16" ht="14.1" customHeight="1">
      <c r="A17" s="155" t="s">
        <v>16</v>
      </c>
      <c r="B17" s="130">
        <f>'6.6'!D26</f>
        <v>258586</v>
      </c>
      <c r="C17" s="326">
        <f>'6.6'!E26</f>
        <v>54172.514999999992</v>
      </c>
      <c r="D17" s="130">
        <f>'6.6'!F26</f>
        <v>592471.0920660001</v>
      </c>
      <c r="E17" s="320">
        <f t="shared" si="0"/>
        <v>0.14224044859475224</v>
      </c>
      <c r="F17" s="345">
        <f>'6.6'!H26</f>
        <v>-0.10116422284670101</v>
      </c>
      <c r="G17" s="339">
        <v>19.719354838709677</v>
      </c>
      <c r="H17" s="340">
        <v>25.8</v>
      </c>
      <c r="I17" s="340">
        <v>15.1</v>
      </c>
      <c r="J17" s="340">
        <v>18.100000000000009</v>
      </c>
      <c r="K17" s="339">
        <v>1.6193548387096683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'6.6'!D56</f>
        <v>220140</v>
      </c>
      <c r="C18" s="326">
        <f>'6.6'!E56</f>
        <v>76812.313999999998</v>
      </c>
      <c r="D18" s="130">
        <f>'6.6'!F56</f>
        <v>841922.70630000008</v>
      </c>
      <c r="E18" s="320">
        <f t="shared" si="0"/>
        <v>0.20212878742931026</v>
      </c>
      <c r="F18" s="345">
        <f>'6.6'!H56</f>
        <v>6.2302245798865924E-4</v>
      </c>
      <c r="G18" s="339">
        <v>19.909677419354836</v>
      </c>
      <c r="H18" s="340">
        <v>25.6</v>
      </c>
      <c r="I18" s="340">
        <v>15.9</v>
      </c>
      <c r="J18" s="340">
        <v>18</v>
      </c>
      <c r="K18" s="339">
        <v>1.9096774193548356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'6.7'!D26</f>
        <v>119151</v>
      </c>
      <c r="C19" s="326">
        <f>'6.7'!E26</f>
        <v>13359.145789999999</v>
      </c>
      <c r="D19" s="130">
        <f>'6.7'!F26</f>
        <v>146001.16093000001</v>
      </c>
      <c r="E19" s="320">
        <f t="shared" si="0"/>
        <v>3.5051955958932055E-2</v>
      </c>
      <c r="F19" s="345">
        <f>'6.7'!H26</f>
        <v>-9.5880316791741665E-2</v>
      </c>
      <c r="G19" s="339">
        <v>19.041935483870969</v>
      </c>
      <c r="H19" s="340">
        <v>25.8</v>
      </c>
      <c r="I19" s="340">
        <v>13.5</v>
      </c>
      <c r="J19" s="340">
        <v>16.699999999999996</v>
      </c>
      <c r="K19" s="339">
        <v>2.3419354838709729</v>
      </c>
      <c r="L19" s="94"/>
      <c r="N19" s="94"/>
      <c r="O19" s="94"/>
      <c r="P19" s="94"/>
    </row>
    <row r="20" spans="1:16" ht="14.1" customHeight="1">
      <c r="A20" s="205" t="s">
        <v>19</v>
      </c>
      <c r="B20" s="323">
        <f>'6.7'!D56</f>
        <v>154987</v>
      </c>
      <c r="C20" s="327">
        <f>'6.7'!E56</f>
        <v>16618.2</v>
      </c>
      <c r="D20" s="323">
        <f>'6.7'!F56</f>
        <v>181745.93747</v>
      </c>
      <c r="E20" s="324">
        <f t="shared" si="0"/>
        <v>4.3633561235637081E-2</v>
      </c>
      <c r="F20" s="346">
        <f>'6.7'!H56</f>
        <v>-0.13760391908582334</v>
      </c>
      <c r="G20" s="341">
        <v>19.303225806451611</v>
      </c>
      <c r="H20" s="342">
        <v>24.1</v>
      </c>
      <c r="I20" s="342">
        <v>15.7</v>
      </c>
      <c r="J20" s="342">
        <v>17.899999999999991</v>
      </c>
      <c r="K20" s="341">
        <v>1.4032258064516192</v>
      </c>
      <c r="L20" s="94"/>
    </row>
    <row r="21" spans="1:16" ht="14.1" customHeight="1">
      <c r="A21" s="155" t="s">
        <v>0</v>
      </c>
      <c r="B21" s="157">
        <f>SUM(B7:B20)</f>
        <v>2790896</v>
      </c>
      <c r="C21" s="326">
        <f>SUM(C7:C20)</f>
        <v>380619.77714922692</v>
      </c>
      <c r="D21" s="130">
        <f>SUM(D7:D20)</f>
        <v>4165278.5682219686</v>
      </c>
      <c r="E21" s="386">
        <f>SUM(E7:E20)</f>
        <v>1</v>
      </c>
      <c r="F21" s="345"/>
      <c r="G21" s="269">
        <v>19.361290322580643</v>
      </c>
      <c r="H21" s="269">
        <v>25.2</v>
      </c>
      <c r="I21" s="269">
        <v>15</v>
      </c>
      <c r="J21" s="269">
        <v>18.119354838709679</v>
      </c>
      <c r="K21" s="269">
        <v>1.2419354838709644</v>
      </c>
    </row>
    <row r="22" spans="1:16" ht="14.1" customHeight="1">
      <c r="A22" s="205" t="s">
        <v>94</v>
      </c>
      <c r="B22" s="387"/>
      <c r="C22" s="327">
        <f>'5.1'!E27</f>
        <v>2738.1834933099349</v>
      </c>
      <c r="D22" s="323">
        <f>'5.1'!F27</f>
        <v>30011.104936000011</v>
      </c>
      <c r="E22" s="387"/>
      <c r="F22" s="346">
        <f>'5.1'!H27</f>
        <v>-0.12195267148906801</v>
      </c>
      <c r="G22" s="275">
        <v>19.361290322580643</v>
      </c>
      <c r="H22" s="275">
        <v>25.2</v>
      </c>
      <c r="I22" s="275">
        <v>15</v>
      </c>
      <c r="J22" s="275">
        <v>18.119354838709679</v>
      </c>
      <c r="K22" s="275">
        <v>1.2419354838709644</v>
      </c>
    </row>
    <row r="23" spans="1:16" ht="14.1" customHeight="1">
      <c r="A23" s="205" t="s">
        <v>55</v>
      </c>
      <c r="B23" s="162">
        <f>B21+B22</f>
        <v>2790896</v>
      </c>
      <c r="C23" s="327">
        <f t="shared" ref="C23:D23" si="1">C21+C22</f>
        <v>383357.96064253687</v>
      </c>
      <c r="D23" s="323">
        <f t="shared" si="1"/>
        <v>4195289.6731579686</v>
      </c>
      <c r="E23" s="387"/>
      <c r="F23" s="346">
        <f>'5.1'!H28</f>
        <v>-0.10673338732488466</v>
      </c>
      <c r="G23" s="275">
        <v>19.361290322580643</v>
      </c>
      <c r="H23" s="275">
        <v>25.2</v>
      </c>
      <c r="I23" s="275">
        <v>15</v>
      </c>
      <c r="J23" s="275">
        <v>18.119354838709679</v>
      </c>
      <c r="K23" s="275">
        <v>1.2419354838709644</v>
      </c>
    </row>
    <row r="24" spans="1:16" ht="15" customHeight="1">
      <c r="A24" s="102"/>
      <c r="B24" s="95"/>
      <c r="C24" s="495" t="s">
        <v>247</v>
      </c>
      <c r="D24" s="495"/>
      <c r="E24" s="495"/>
      <c r="F24" s="495"/>
      <c r="G24" s="498" t="s">
        <v>245</v>
      </c>
      <c r="H24" s="498"/>
      <c r="I24" s="498"/>
      <c r="J24" s="498"/>
      <c r="K24" s="498"/>
    </row>
    <row r="25" spans="1:16" ht="15" customHeight="1">
      <c r="A25" s="95"/>
      <c r="B25" s="95"/>
      <c r="C25" s="495"/>
      <c r="D25" s="495"/>
      <c r="E25" s="495"/>
      <c r="F25" s="495"/>
      <c r="G25" s="498" t="s">
        <v>246</v>
      </c>
      <c r="H25" s="498"/>
      <c r="I25" s="498"/>
      <c r="J25" s="498"/>
      <c r="K25" s="498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80" t="s">
        <v>260</v>
      </c>
      <c r="B29" s="480"/>
      <c r="C29" s="480"/>
      <c r="D29" s="480"/>
      <c r="E29" s="480"/>
      <c r="F29" s="480" t="s">
        <v>61</v>
      </c>
      <c r="G29" s="480"/>
      <c r="H29" s="480"/>
      <c r="I29" s="480"/>
      <c r="J29" s="480"/>
      <c r="K29" s="480"/>
    </row>
    <row r="30" spans="1:16" ht="15" customHeight="1">
      <c r="A30" s="121"/>
      <c r="B30" s="496"/>
      <c r="C30" s="496"/>
      <c r="D30" s="121"/>
      <c r="E30" s="121"/>
      <c r="F30" s="121"/>
      <c r="G30" s="121"/>
      <c r="H30" s="496"/>
      <c r="I30" s="496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84" customWidth="1"/>
    <col min="2" max="2" width="10.28515625" style="84" customWidth="1"/>
    <col min="3" max="3" width="10" style="84" customWidth="1"/>
    <col min="4" max="4" width="10.7109375" style="84" customWidth="1"/>
    <col min="5" max="6" width="8.5703125" style="84" customWidth="1"/>
    <col min="7" max="10" width="6.7109375" style="84" customWidth="1"/>
    <col min="11" max="11" width="8.140625" style="84" customWidth="1"/>
    <col min="12" max="13" width="9.140625" style="84"/>
    <col min="14" max="14" width="11.140625" style="84" customWidth="1"/>
    <col min="15" max="16384" width="9.140625" style="84"/>
  </cols>
  <sheetData>
    <row r="1" spans="1:11" s="105" customFormat="1" ht="18">
      <c r="A1" s="500" t="str">
        <f>"6.11 Spotřeba zemního plynu a teplota ovzduší podle krajů: "&amp;(A3)</f>
        <v>6.11 Spotřeba zemního plynu a teplota ovzduší podle krajů: III. čtvrtletí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</row>
    <row r="2" spans="1:11" ht="6" customHeight="1">
      <c r="A2" s="504"/>
      <c r="B2" s="504"/>
      <c r="C2" s="313"/>
      <c r="D2" s="314"/>
      <c r="E2" s="315"/>
      <c r="F2" s="315"/>
      <c r="G2" s="315"/>
      <c r="H2" s="315"/>
      <c r="I2" s="76"/>
      <c r="J2" s="76"/>
      <c r="K2" s="76"/>
    </row>
    <row r="3" spans="1:11" ht="20.100000000000001" customHeight="1">
      <c r="A3" s="522" t="str">
        <f>'3.1'!G5</f>
        <v>III. čtvrtletí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20.100000000000001" customHeight="1">
      <c r="A4" s="129"/>
      <c r="B4" s="265">
        <f>'3.1'!A4</f>
        <v>2022</v>
      </c>
      <c r="C4" s="518" t="s">
        <v>60</v>
      </c>
      <c r="D4" s="519"/>
      <c r="E4" s="519"/>
      <c r="F4" s="520"/>
      <c r="G4" s="521" t="s">
        <v>187</v>
      </c>
      <c r="H4" s="521"/>
      <c r="I4" s="521"/>
      <c r="J4" s="521"/>
      <c r="K4" s="521"/>
    </row>
    <row r="5" spans="1:11" ht="49.5" customHeight="1">
      <c r="A5" s="285"/>
      <c r="B5" s="471" t="s">
        <v>186</v>
      </c>
      <c r="C5" s="364"/>
      <c r="D5" s="365"/>
      <c r="E5" s="471" t="s">
        <v>282</v>
      </c>
      <c r="F5" s="505" t="s">
        <v>285</v>
      </c>
      <c r="G5" s="388" t="s">
        <v>62</v>
      </c>
      <c r="H5" s="388" t="s">
        <v>174</v>
      </c>
      <c r="I5" s="388" t="s">
        <v>175</v>
      </c>
      <c r="J5" s="388" t="s">
        <v>287</v>
      </c>
      <c r="K5" s="388" t="s">
        <v>288</v>
      </c>
    </row>
    <row r="6" spans="1:11" ht="15" customHeight="1">
      <c r="A6" s="222" t="s">
        <v>188</v>
      </c>
      <c r="B6" s="467"/>
      <c r="C6" s="224" t="s">
        <v>264</v>
      </c>
      <c r="D6" s="222" t="s">
        <v>265</v>
      </c>
      <c r="E6" s="467"/>
      <c r="F6" s="506"/>
      <c r="G6" s="222" t="s">
        <v>233</v>
      </c>
      <c r="H6" s="222" t="s">
        <v>233</v>
      </c>
      <c r="I6" s="222" t="s">
        <v>233</v>
      </c>
      <c r="J6" s="222" t="s">
        <v>233</v>
      </c>
      <c r="K6" s="222" t="s">
        <v>233</v>
      </c>
    </row>
    <row r="7" spans="1:11" ht="14.1" customHeight="1">
      <c r="A7" s="155" t="s">
        <v>8</v>
      </c>
      <c r="B7" s="130">
        <f>'6.1'!D32</f>
        <v>104068</v>
      </c>
      <c r="C7" s="326">
        <f>'6.1'!E32</f>
        <v>31376.744589999998</v>
      </c>
      <c r="D7" s="130">
        <f>'6.1'!F32</f>
        <v>340673.23830999999</v>
      </c>
      <c r="E7" s="320">
        <f>D7/$D$21</f>
        <v>3.1938893082457953E-2</v>
      </c>
      <c r="F7" s="345">
        <f>'6.1'!H32</f>
        <v>-8.120489292078556E-2</v>
      </c>
      <c r="G7" s="339">
        <f>AVERAGE('6.8'!G7,'6.9'!G7,'6.10'!G7)</f>
        <v>18.236559139784944</v>
      </c>
      <c r="H7" s="340">
        <f>MAX('6.8'!H7,'6.9'!H7,'6.10'!H7)</f>
        <v>23.8</v>
      </c>
      <c r="I7" s="340">
        <f>MIN('6.8'!I7,'6.9'!I7,'6.10'!I7)</f>
        <v>12.7</v>
      </c>
      <c r="J7" s="340">
        <f>AVERAGE('6.8'!J7,'6.9'!J7,'6.10'!J7)</f>
        <v>16.999999999999993</v>
      </c>
      <c r="K7" s="339">
        <f>G7-J7</f>
        <v>1.2365591397849514</v>
      </c>
    </row>
    <row r="8" spans="1:11" ht="14.1" customHeight="1">
      <c r="A8" s="155" t="s">
        <v>9</v>
      </c>
      <c r="B8" s="130">
        <f>'6.1'!D62</f>
        <v>378835</v>
      </c>
      <c r="C8" s="326">
        <f>'6.1'!E62</f>
        <v>93729.2</v>
      </c>
      <c r="D8" s="130">
        <f>'6.1'!F62</f>
        <v>1021028.02696</v>
      </c>
      <c r="E8" s="320">
        <f t="shared" ref="E8:E20" si="0">D8/$D$21</f>
        <v>9.5723706238392839E-2</v>
      </c>
      <c r="F8" s="345">
        <f>'6.1'!H62</f>
        <v>-6.3383300640238338E-2</v>
      </c>
      <c r="G8" s="339">
        <f>AVERAGE('6.8'!G8,'6.9'!G8,'6.10'!G8)</f>
        <v>20.887096774193552</v>
      </c>
      <c r="H8" s="340">
        <f>MAX('6.8'!H8,'6.9'!H8,'6.10'!H8)</f>
        <v>27.3</v>
      </c>
      <c r="I8" s="340">
        <f>MIN('6.8'!I8,'6.9'!I8,'6.10'!I8)</f>
        <v>15.9</v>
      </c>
      <c r="J8" s="340">
        <f>AVERAGE('6.8'!J8,'6.9'!J8,'6.10'!J8)</f>
        <v>18.766666666666662</v>
      </c>
      <c r="K8" s="339">
        <f t="shared" ref="K8:K23" si="1">G8-J8</f>
        <v>2.1204301075268894</v>
      </c>
    </row>
    <row r="9" spans="1:11" ht="14.1" customHeight="1">
      <c r="A9" s="155" t="s">
        <v>10</v>
      </c>
      <c r="B9" s="130">
        <f>'6.2'!D32</f>
        <v>83299</v>
      </c>
      <c r="C9" s="326">
        <f>'6.2'!E32</f>
        <v>26367.399999999998</v>
      </c>
      <c r="D9" s="130">
        <f>'6.2'!F32</f>
        <v>287098.43993000005</v>
      </c>
      <c r="E9" s="320">
        <f t="shared" si="0"/>
        <v>2.6916133543547518E-2</v>
      </c>
      <c r="F9" s="345">
        <f>'6.2'!H32</f>
        <v>-0.81748041372416824</v>
      </c>
      <c r="G9" s="339">
        <f>AVERAGE('6.8'!G9,'6.9'!G9,'6.10'!G9)</f>
        <v>17.948387096774194</v>
      </c>
      <c r="H9" s="340">
        <f>MAX('6.8'!H9,'6.9'!H9,'6.10'!H9)</f>
        <v>25.6</v>
      </c>
      <c r="I9" s="340">
        <f>MIN('6.8'!I9,'6.9'!I9,'6.10'!I9)</f>
        <v>12.2</v>
      </c>
      <c r="J9" s="340">
        <f>AVERAGE('6.8'!J9,'6.9'!J9,'6.10'!J9)</f>
        <v>16.233333333333338</v>
      </c>
      <c r="K9" s="339">
        <f t="shared" si="1"/>
        <v>1.7150537634408565</v>
      </c>
    </row>
    <row r="10" spans="1:11" ht="14.1" customHeight="1">
      <c r="A10" s="155" t="s">
        <v>92</v>
      </c>
      <c r="B10" s="130">
        <f>'6.2'!D62</f>
        <v>116829</v>
      </c>
      <c r="C10" s="326">
        <f>'6.2'!E62</f>
        <v>34978.899999999994</v>
      </c>
      <c r="D10" s="130">
        <f>'6.2'!F62</f>
        <v>380991.73755999992</v>
      </c>
      <c r="E10" s="320">
        <f t="shared" si="0"/>
        <v>3.5718844343610799E-2</v>
      </c>
      <c r="F10" s="345">
        <f>'6.2'!H62</f>
        <v>-5.9701933881365368E-2</v>
      </c>
      <c r="G10" s="339">
        <f>AVERAGE('6.8'!G10,'6.9'!G10,'6.10'!G10)</f>
        <v>18.91397849462366</v>
      </c>
      <c r="H10" s="340">
        <f>MAX('6.8'!H10,'6.9'!H10,'6.10'!H10)</f>
        <v>26</v>
      </c>
      <c r="I10" s="340">
        <f>MIN('6.8'!I10,'6.9'!I10,'6.10'!I10)</f>
        <v>12.6</v>
      </c>
      <c r="J10" s="340">
        <f>AVERAGE('6.8'!J10,'6.9'!J10,'6.10'!J10)</f>
        <v>16.899999999999991</v>
      </c>
      <c r="K10" s="339">
        <f t="shared" si="1"/>
        <v>2.0139784946236681</v>
      </c>
    </row>
    <row r="11" spans="1:11" ht="14.1" customHeight="1">
      <c r="A11" s="155" t="s">
        <v>11</v>
      </c>
      <c r="B11" s="130">
        <f>'6.3'!D32</f>
        <v>92265</v>
      </c>
      <c r="C11" s="326">
        <f>'6.3'!E32</f>
        <v>32831.1</v>
      </c>
      <c r="D11" s="130">
        <f>'6.3'!F32</f>
        <v>357617.63761000003</v>
      </c>
      <c r="E11" s="320">
        <f t="shared" si="0"/>
        <v>3.3527469162791909E-2</v>
      </c>
      <c r="F11" s="345">
        <f>'6.3'!H32</f>
        <v>-0.10549030185625667</v>
      </c>
      <c r="G11" s="339">
        <f>AVERAGE('6.8'!G11,'6.9'!G11,'6.10'!G11)</f>
        <v>18.558064516129033</v>
      </c>
      <c r="H11" s="340">
        <f>MAX('6.8'!H11,'6.9'!H11,'6.10'!H11)</f>
        <v>25.9</v>
      </c>
      <c r="I11" s="340">
        <f>MIN('6.8'!I11,'6.9'!I11,'6.10'!I11)</f>
        <v>11.8</v>
      </c>
      <c r="J11" s="340">
        <f>AVERAGE('6.8'!J11,'6.9'!J11,'6.10'!J11)</f>
        <v>16.400000000000009</v>
      </c>
      <c r="K11" s="339">
        <f t="shared" si="1"/>
        <v>2.1580645161290235</v>
      </c>
    </row>
    <row r="12" spans="1:11" ht="14.1" customHeight="1">
      <c r="A12" s="155" t="s">
        <v>12</v>
      </c>
      <c r="B12" s="130">
        <f>'6.3'!D62</f>
        <v>374027</v>
      </c>
      <c r="C12" s="326">
        <f>'6.3'!E62</f>
        <v>108211.785</v>
      </c>
      <c r="D12" s="130">
        <f>'6.3'!F62</f>
        <v>1177805.0560899996</v>
      </c>
      <c r="E12" s="320">
        <f t="shared" si="0"/>
        <v>0.11042191028872687</v>
      </c>
      <c r="F12" s="345">
        <f>'6.3'!H62</f>
        <v>-0.13705623244694787</v>
      </c>
      <c r="G12" s="339">
        <f>AVERAGE('6.8'!G12,'6.9'!G12,'6.10'!G12)</f>
        <v>19.388172043010755</v>
      </c>
      <c r="H12" s="340">
        <f>MAX('6.8'!H12,'6.9'!H12,'6.10'!H12)</f>
        <v>25.2</v>
      </c>
      <c r="I12" s="340">
        <f>MIN('6.8'!I12,'6.9'!I12,'6.10'!I12)</f>
        <v>14.2</v>
      </c>
      <c r="J12" s="340">
        <f>AVERAGE('6.8'!J12,'6.9'!J12,'6.10'!J12)</f>
        <v>16.999999999999993</v>
      </c>
      <c r="K12" s="339">
        <f t="shared" si="1"/>
        <v>2.388172043010762</v>
      </c>
    </row>
    <row r="13" spans="1:11" ht="14.1" customHeight="1">
      <c r="A13" s="155" t="s">
        <v>13</v>
      </c>
      <c r="B13" s="130">
        <f>'6.4'!D32</f>
        <v>185201</v>
      </c>
      <c r="C13" s="326">
        <f>'6.4'!E32</f>
        <v>54739.8</v>
      </c>
      <c r="D13" s="130">
        <f>'6.4'!F32</f>
        <v>596128.20622000005</v>
      </c>
      <c r="E13" s="320">
        <f t="shared" si="0"/>
        <v>5.588837895324384E-2</v>
      </c>
      <c r="F13" s="345">
        <f>'6.4'!H32</f>
        <v>-7.1170899070488694E-2</v>
      </c>
      <c r="G13" s="339">
        <f>AVERAGE('6.8'!G13,'6.9'!G13,'6.10'!G13)</f>
        <v>19.06236559139785</v>
      </c>
      <c r="H13" s="340">
        <f>MAX('6.8'!H13,'6.9'!H13,'6.10'!H13)</f>
        <v>25.7</v>
      </c>
      <c r="I13" s="340">
        <f>MIN('6.8'!I13,'6.9'!I13,'6.10'!I13)</f>
        <v>13.1</v>
      </c>
      <c r="J13" s="340">
        <f>AVERAGE('6.8'!J13,'6.9'!J13,'6.10'!J13)</f>
        <v>16.633333333333336</v>
      </c>
      <c r="K13" s="339">
        <f t="shared" si="1"/>
        <v>2.4290322580645132</v>
      </c>
    </row>
    <row r="14" spans="1:11" ht="14.1" customHeight="1">
      <c r="A14" s="155" t="s">
        <v>14</v>
      </c>
      <c r="B14" s="130">
        <f>'6.4'!D62</f>
        <v>135391</v>
      </c>
      <c r="C14" s="326">
        <f>'6.4'!E62</f>
        <v>41273.000000000007</v>
      </c>
      <c r="D14" s="130">
        <f>'6.4'!F62</f>
        <v>449498.5922999999</v>
      </c>
      <c r="E14" s="320">
        <f t="shared" si="0"/>
        <v>4.2141518222576627E-2</v>
      </c>
      <c r="F14" s="345">
        <f>'6.4'!H62</f>
        <v>-0.15341430045351698</v>
      </c>
      <c r="G14" s="339">
        <f>AVERAGE('6.8'!G14,'6.9'!G14,'6.10'!G14)</f>
        <v>19.044086021505375</v>
      </c>
      <c r="H14" s="340">
        <f>MAX('6.8'!H14,'6.9'!H14,'6.10'!H14)</f>
        <v>25.5</v>
      </c>
      <c r="I14" s="340">
        <f>MIN('6.8'!I14,'6.9'!I14,'6.10'!I14)</f>
        <v>12.9</v>
      </c>
      <c r="J14" s="340">
        <f>AVERAGE('6.8'!J14,'6.9'!J14,'6.10'!J14)</f>
        <v>17.566666666666666</v>
      </c>
      <c r="K14" s="339">
        <f t="shared" si="1"/>
        <v>1.4774193548387089</v>
      </c>
    </row>
    <row r="15" spans="1:11" ht="14.1" customHeight="1">
      <c r="A15" s="155" t="s">
        <v>15</v>
      </c>
      <c r="B15" s="130">
        <f>'6.5'!D32</f>
        <v>158557</v>
      </c>
      <c r="C15" s="326">
        <f>'6.5'!E32</f>
        <v>44613.599999999999</v>
      </c>
      <c r="D15" s="130">
        <f>'6.5'!F32</f>
        <v>485869.81305</v>
      </c>
      <c r="E15" s="320">
        <f t="shared" si="0"/>
        <v>4.5551403121594329E-2</v>
      </c>
      <c r="F15" s="345">
        <f>'6.5'!H32</f>
        <v>-7.0145125690144111E-2</v>
      </c>
      <c r="G15" s="339">
        <f>AVERAGE('6.8'!G15,'6.9'!G15,'6.10'!G15)</f>
        <v>19.287096774193543</v>
      </c>
      <c r="H15" s="340">
        <f>MAX('6.8'!H15,'6.9'!H15,'6.10'!H15)</f>
        <v>26.3</v>
      </c>
      <c r="I15" s="340">
        <f>MIN('6.8'!I15,'6.9'!I15,'6.10'!I15)</f>
        <v>13.9</v>
      </c>
      <c r="J15" s="340">
        <f>AVERAGE('6.8'!J15,'6.9'!J15,'6.10'!J15)</f>
        <v>17.166666666666668</v>
      </c>
      <c r="K15" s="339">
        <f t="shared" si="1"/>
        <v>2.1204301075268752</v>
      </c>
    </row>
    <row r="16" spans="1:11" ht="14.1" customHeight="1">
      <c r="A16" s="155" t="s">
        <v>1</v>
      </c>
      <c r="B16" s="130">
        <f>'6.5'!D62</f>
        <v>409560</v>
      </c>
      <c r="C16" s="326">
        <f>'6.5'!E62</f>
        <v>64391.466894004618</v>
      </c>
      <c r="D16" s="130">
        <f>'6.5'!F62</f>
        <v>705768.29206894874</v>
      </c>
      <c r="E16" s="320">
        <f t="shared" si="0"/>
        <v>6.6167387063339619E-2</v>
      </c>
      <c r="F16" s="345">
        <f>'6.5'!H62</f>
        <v>-5.6410749317532261E-2</v>
      </c>
      <c r="G16" s="339">
        <f>AVERAGE('6.8'!G16,'6.9'!G16,'6.10'!G16)</f>
        <v>21.14838709677419</v>
      </c>
      <c r="H16" s="340">
        <f>MAX('6.8'!H16,'6.9'!H16,'6.10'!H16)</f>
        <v>27.7</v>
      </c>
      <c r="I16" s="340">
        <f>MIN('6.8'!I16,'6.9'!I16,'6.10'!I16)</f>
        <v>15.5</v>
      </c>
      <c r="J16" s="340">
        <f>AVERAGE('6.8'!J16,'6.9'!J16,'6.10'!J16)</f>
        <v>18.566666666666666</v>
      </c>
      <c r="K16" s="339">
        <f t="shared" si="1"/>
        <v>2.5817204301075236</v>
      </c>
    </row>
    <row r="17" spans="1:16" ht="14.1" customHeight="1">
      <c r="A17" s="155" t="s">
        <v>16</v>
      </c>
      <c r="B17" s="130">
        <f>'6.6'!D32</f>
        <v>258586</v>
      </c>
      <c r="C17" s="326">
        <f>'6.6'!E32</f>
        <v>148716.179</v>
      </c>
      <c r="D17" s="130">
        <f>'6.6'!F32</f>
        <v>1619329.9236980001</v>
      </c>
      <c r="E17" s="320">
        <f t="shared" si="0"/>
        <v>0.15181587363534643</v>
      </c>
      <c r="F17" s="345">
        <f>'6.6'!H32</f>
        <v>-9.4444646604276219E-2</v>
      </c>
      <c r="G17" s="339">
        <f>AVERAGE('6.8'!G17,'6.9'!G17,'6.10'!G17)</f>
        <v>19.551612903225806</v>
      </c>
      <c r="H17" s="340">
        <f>MAX('6.8'!H17,'6.9'!H17,'6.10'!H17)</f>
        <v>25.8</v>
      </c>
      <c r="I17" s="340">
        <f>MIN('6.8'!I17,'6.9'!I17,'6.10'!I17)</f>
        <v>13.7</v>
      </c>
      <c r="J17" s="340">
        <f>AVERAGE('6.8'!J17,'6.9'!J17,'6.10'!J17)</f>
        <v>18.166666666666671</v>
      </c>
      <c r="K17" s="339">
        <f t="shared" si="1"/>
        <v>1.3849462365591343</v>
      </c>
      <c r="L17" s="94"/>
      <c r="N17" s="94"/>
      <c r="O17" s="94"/>
      <c r="P17" s="94"/>
    </row>
    <row r="18" spans="1:16" ht="14.1" customHeight="1">
      <c r="A18" s="155" t="s">
        <v>17</v>
      </c>
      <c r="B18" s="130">
        <f>'6.6'!D62</f>
        <v>220140</v>
      </c>
      <c r="C18" s="326">
        <f>'6.6'!E62</f>
        <v>222767.16000000003</v>
      </c>
      <c r="D18" s="130">
        <f>'6.6'!F62</f>
        <v>2428930.7959000012</v>
      </c>
      <c r="E18" s="320">
        <f t="shared" si="0"/>
        <v>0.22771780190244095</v>
      </c>
      <c r="F18" s="345">
        <f>'6.6'!H62</f>
        <v>2.4598713192108625E-2</v>
      </c>
      <c r="G18" s="339">
        <f>AVERAGE('6.8'!G18,'6.9'!G18,'6.10'!G18)</f>
        <v>19.666666666666664</v>
      </c>
      <c r="H18" s="340">
        <f>MAX('6.8'!H18,'6.9'!H18,'6.10'!H18)</f>
        <v>26.3</v>
      </c>
      <c r="I18" s="340">
        <f>MIN('6.8'!I18,'6.9'!I18,'6.10'!I18)</f>
        <v>14</v>
      </c>
      <c r="J18" s="340">
        <f>AVERAGE('6.8'!J18,'6.9'!J18,'6.10'!J18)</f>
        <v>18.166666666666668</v>
      </c>
      <c r="K18" s="339">
        <f t="shared" si="1"/>
        <v>1.4999999999999964</v>
      </c>
      <c r="L18" s="94"/>
      <c r="N18" s="94"/>
      <c r="O18" s="94"/>
      <c r="P18" s="94"/>
    </row>
    <row r="19" spans="1:16" ht="14.1" customHeight="1">
      <c r="A19" s="155" t="s">
        <v>18</v>
      </c>
      <c r="B19" s="130">
        <f>'6.7'!D32</f>
        <v>119151</v>
      </c>
      <c r="C19" s="326">
        <f>'6.7'!E32</f>
        <v>32701.772390000002</v>
      </c>
      <c r="D19" s="130">
        <f>'6.7'!F32</f>
        <v>356022.48346000008</v>
      </c>
      <c r="E19" s="320">
        <f t="shared" si="0"/>
        <v>3.337791982307968E-2</v>
      </c>
      <c r="F19" s="345">
        <f>'6.7'!H32</f>
        <v>-0.14004726901853029</v>
      </c>
      <c r="G19" s="339">
        <f>AVERAGE('6.8'!G19,'6.9'!G19,'6.10'!G19)</f>
        <v>18.832258064516129</v>
      </c>
      <c r="H19" s="340">
        <f>MAX('6.8'!H19,'6.9'!H19,'6.10'!H19)</f>
        <v>25.8</v>
      </c>
      <c r="I19" s="340">
        <f>MIN('6.8'!I19,'6.9'!I19,'6.10'!I19)</f>
        <v>12.4</v>
      </c>
      <c r="J19" s="340">
        <f>AVERAGE('6.8'!J19,'6.9'!J19,'6.10'!J19)</f>
        <v>16.799999999999997</v>
      </c>
      <c r="K19" s="339">
        <f t="shared" si="1"/>
        <v>2.0322580645161317</v>
      </c>
      <c r="L19" s="94"/>
      <c r="N19" s="94"/>
      <c r="O19" s="94"/>
      <c r="P19" s="94"/>
    </row>
    <row r="20" spans="1:16" ht="14.1" customHeight="1">
      <c r="A20" s="205" t="s">
        <v>19</v>
      </c>
      <c r="B20" s="323">
        <f>'6.7'!D62</f>
        <v>154987</v>
      </c>
      <c r="C20" s="327">
        <f>'6.7'!E62</f>
        <v>42207.5</v>
      </c>
      <c r="D20" s="323">
        <f>'6.7'!F62</f>
        <v>459644.93101999996</v>
      </c>
      <c r="E20" s="324">
        <f t="shared" si="0"/>
        <v>4.3092760618850791E-2</v>
      </c>
      <c r="F20" s="346">
        <f>'6.7'!H62</f>
        <v>-0.16683938846613172</v>
      </c>
      <c r="G20" s="341">
        <f>AVERAGE('6.8'!G20,'6.9'!G20,'6.10'!G20)</f>
        <v>19.126881720430106</v>
      </c>
      <c r="H20" s="342">
        <f>MAX('6.8'!H20,'6.9'!H20,'6.10'!H20)</f>
        <v>25.3</v>
      </c>
      <c r="I20" s="342">
        <f>MIN('6.8'!I20,'6.9'!I20,'6.10'!I20)</f>
        <v>13.3</v>
      </c>
      <c r="J20" s="342">
        <f>AVERAGE('6.8'!J20,'6.9'!J20,'6.10'!J20)</f>
        <v>17.999999999999996</v>
      </c>
      <c r="K20" s="341">
        <f t="shared" si="1"/>
        <v>1.1268817204301094</v>
      </c>
      <c r="L20" s="94"/>
    </row>
    <row r="21" spans="1:16" ht="14.1" customHeight="1">
      <c r="A21" s="155" t="s">
        <v>0</v>
      </c>
      <c r="B21" s="157">
        <f>SUM(B7:B20)</f>
        <v>2790896</v>
      </c>
      <c r="C21" s="326">
        <f>SUM(C7:C20)</f>
        <v>978905.60787400475</v>
      </c>
      <c r="D21" s="130">
        <f>SUM(D7:D20)</f>
        <v>10666407.174176948</v>
      </c>
      <c r="E21" s="386">
        <f>SUM(E7:E20)</f>
        <v>1.0000000000000002</v>
      </c>
      <c r="F21" s="345"/>
      <c r="G21" s="269">
        <f>AVERAGE('6.8'!G21,'6.9'!G21,'6.10'!G21)</f>
        <v>19.198924731182796</v>
      </c>
      <c r="H21" s="269">
        <f>MAX('6.8'!H21,'6.9'!H21,'6.10'!H21)</f>
        <v>25.2</v>
      </c>
      <c r="I21" s="269">
        <f>MIN('6.8'!I21,'6.9'!I21,'6.10'!I21)</f>
        <v>13.3</v>
      </c>
      <c r="J21" s="269">
        <f>AVERAGE('6.8'!J21,'6.9'!J21,'6.10'!J21)</f>
        <v>18.253763440860215</v>
      </c>
      <c r="K21" s="269">
        <f t="shared" si="1"/>
        <v>0.94516129032258078</v>
      </c>
      <c r="M21" s="106"/>
    </row>
    <row r="22" spans="1:16" ht="14.1" customHeight="1">
      <c r="A22" s="205" t="s">
        <v>94</v>
      </c>
      <c r="B22" s="387"/>
      <c r="C22" s="327">
        <f>'5.1'!E34</f>
        <v>4126.2770744663412</v>
      </c>
      <c r="D22" s="323">
        <f>'5.1'!F34</f>
        <v>45470.599188999899</v>
      </c>
      <c r="E22" s="387"/>
      <c r="F22" s="346">
        <f>'5.1'!H34</f>
        <v>0.55892154459513288</v>
      </c>
      <c r="G22" s="275">
        <f>AVERAGE('6.8'!G22,'6.9'!G22,'6.10'!G22)</f>
        <v>19.198924731182796</v>
      </c>
      <c r="H22" s="275">
        <f>MAX('6.8'!H22,'6.9'!H22,'6.10'!H22)</f>
        <v>25.2</v>
      </c>
      <c r="I22" s="275">
        <f>MIN('6.8'!I22,'6.9'!I22,'6.10'!I22)</f>
        <v>13.3</v>
      </c>
      <c r="J22" s="275">
        <f>AVERAGE('6.8'!J22,'6.9'!J22,'6.10'!J22)</f>
        <v>18.253763440860215</v>
      </c>
      <c r="K22" s="275">
        <f t="shared" si="1"/>
        <v>0.94516129032258078</v>
      </c>
    </row>
    <row r="23" spans="1:16" ht="14.1" customHeight="1">
      <c r="A23" s="205" t="s">
        <v>55</v>
      </c>
      <c r="B23" s="162">
        <f>B21+B22</f>
        <v>2790896</v>
      </c>
      <c r="C23" s="327">
        <f t="shared" ref="C23:D23" si="2">C21+C22</f>
        <v>983031.8849484711</v>
      </c>
      <c r="D23" s="323">
        <f t="shared" si="2"/>
        <v>10711877.773365948</v>
      </c>
      <c r="E23" s="387"/>
      <c r="F23" s="346">
        <f>'5.1'!H35</f>
        <v>-0.16328618914553963</v>
      </c>
      <c r="G23" s="275">
        <f>AVERAGE('6.8'!G23,'6.9'!G23,'6.10'!G23)</f>
        <v>19.198924731182796</v>
      </c>
      <c r="H23" s="275">
        <f>MAX('6.8'!H23,'6.9'!H23,'6.10'!H23)</f>
        <v>25.2</v>
      </c>
      <c r="I23" s="275">
        <f>MIN('6.8'!I23,'6.9'!I23,'6.10'!I23)</f>
        <v>13.3</v>
      </c>
      <c r="J23" s="275">
        <f>AVERAGE('6.8'!J23,'6.9'!J23,'6.10'!J23)</f>
        <v>18.253763440860215</v>
      </c>
      <c r="K23" s="275">
        <f t="shared" si="1"/>
        <v>0.94516129032258078</v>
      </c>
    </row>
    <row r="24" spans="1:16" ht="15" customHeight="1">
      <c r="A24" s="102"/>
      <c r="B24" s="95"/>
      <c r="C24" s="495" t="s">
        <v>247</v>
      </c>
      <c r="D24" s="495"/>
      <c r="E24" s="495"/>
      <c r="F24" s="495"/>
      <c r="G24" s="498" t="s">
        <v>245</v>
      </c>
      <c r="H24" s="498"/>
      <c r="I24" s="498"/>
      <c r="J24" s="498"/>
      <c r="K24" s="498"/>
    </row>
    <row r="25" spans="1:16" ht="15" customHeight="1">
      <c r="A25" s="95"/>
      <c r="B25" s="95"/>
      <c r="C25" s="495"/>
      <c r="D25" s="495"/>
      <c r="E25" s="495"/>
      <c r="F25" s="495"/>
      <c r="G25" s="498" t="s">
        <v>246</v>
      </c>
      <c r="H25" s="498"/>
      <c r="I25" s="498"/>
      <c r="J25" s="498"/>
      <c r="K25" s="498"/>
    </row>
    <row r="26" spans="1:16" ht="30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6" ht="15" customHeight="1">
      <c r="A27" s="87"/>
      <c r="B27" s="87"/>
      <c r="C27" s="95"/>
      <c r="D27" s="100"/>
      <c r="E27" s="101"/>
      <c r="F27" s="101"/>
      <c r="G27" s="95"/>
      <c r="H27" s="102"/>
      <c r="I27" s="87"/>
      <c r="J27" s="95"/>
      <c r="K27" s="95"/>
    </row>
    <row r="28" spans="1:16" ht="18" customHeight="1">
      <c r="A28" s="95"/>
      <c r="B28" s="95"/>
      <c r="C28" s="95"/>
      <c r="D28" s="100"/>
      <c r="E28" s="101"/>
      <c r="F28" s="101"/>
      <c r="G28" s="95"/>
      <c r="H28" s="95"/>
      <c r="I28" s="95"/>
      <c r="J28" s="95"/>
      <c r="K28" s="95"/>
    </row>
    <row r="29" spans="1:16" ht="15" customHeight="1">
      <c r="A29" s="480" t="s">
        <v>260</v>
      </c>
      <c r="B29" s="480"/>
      <c r="C29" s="480"/>
      <c r="D29" s="480"/>
      <c r="E29" s="480"/>
      <c r="F29" s="480" t="s">
        <v>61</v>
      </c>
      <c r="G29" s="480"/>
      <c r="H29" s="480"/>
      <c r="I29" s="480"/>
      <c r="J29" s="480"/>
      <c r="K29" s="480"/>
    </row>
    <row r="30" spans="1:16" ht="15" customHeight="1">
      <c r="A30" s="121"/>
      <c r="B30" s="509"/>
      <c r="C30" s="509"/>
      <c r="D30" s="121"/>
      <c r="E30" s="121"/>
      <c r="F30" s="121"/>
      <c r="G30" s="121"/>
      <c r="H30" s="509"/>
      <c r="I30" s="496"/>
      <c r="J30" s="121"/>
      <c r="K30" s="121"/>
    </row>
    <row r="31" spans="1:16" ht="1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6" ht="1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ht="1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</row>
    <row r="34" spans="1:11" ht="1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</row>
    <row r="35" spans="1:11" ht="1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1" ht="1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</row>
    <row r="37" spans="1:11" ht="1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</row>
    <row r="38" spans="1:11" ht="1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</row>
    <row r="39" spans="1:11" ht="1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</row>
    <row r="41" spans="1:11" ht="1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</row>
    <row r="42" spans="1:11" ht="1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</row>
    <row r="43" spans="1:11" ht="1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1" ht="1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</row>
    <row r="46" spans="1:11" ht="1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1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1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1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1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4" zoomScaleNormal="100" zoomScaleSheetLayoutView="100" workbookViewId="0">
      <selection activeCell="C1" sqref="C1"/>
    </sheetView>
  </sheetViews>
  <sheetFormatPr defaultRowHeight="11.25"/>
  <cols>
    <col min="1" max="1" width="8" style="12" customWidth="1"/>
    <col min="2" max="12" width="7.7109375" style="12" customWidth="1"/>
    <col min="13" max="13" width="8.140625" style="12" customWidth="1"/>
    <col min="14" max="15" width="7.7109375" style="12" customWidth="1"/>
    <col min="16" max="16" width="9.140625" style="12" customWidth="1"/>
    <col min="17" max="17" width="8.28515625" style="12" customWidth="1"/>
    <col min="18" max="18" width="9.42578125" style="12" customWidth="1"/>
    <col min="19" max="19" width="9.28515625" style="12" bestFit="1" customWidth="1"/>
    <col min="20" max="20" width="11.42578125" style="12" bestFit="1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18">
      <c r="A1" s="441" t="s">
        <v>313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</row>
    <row r="2" spans="1:22" ht="6" customHeight="1">
      <c r="A2" s="513"/>
      <c r="B2" s="514"/>
      <c r="C2" s="514"/>
      <c r="D2" s="514"/>
      <c r="E2" s="514"/>
      <c r="F2" s="514"/>
      <c r="G2" s="514"/>
      <c r="H2" s="514"/>
      <c r="I2" s="514"/>
      <c r="J2" s="209"/>
      <c r="K2" s="208"/>
      <c r="L2" s="208"/>
      <c r="M2" s="208"/>
      <c r="N2" s="208"/>
      <c r="O2" s="208"/>
      <c r="P2" s="208"/>
      <c r="Q2" s="208"/>
      <c r="R2" s="208"/>
    </row>
    <row r="3" spans="1:22" ht="35.1" customHeight="1">
      <c r="A3" s="437" t="s">
        <v>279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</row>
    <row r="4" spans="1:22" ht="84.95" customHeight="1">
      <c r="A4" s="221">
        <f>'3.1'!A4</f>
        <v>2022</v>
      </c>
      <c r="B4" s="389" t="s">
        <v>68</v>
      </c>
      <c r="C4" s="389" t="s">
        <v>69</v>
      </c>
      <c r="D4" s="389" t="s">
        <v>70</v>
      </c>
      <c r="E4" s="389" t="s">
        <v>91</v>
      </c>
      <c r="F4" s="389" t="s">
        <v>71</v>
      </c>
      <c r="G4" s="389" t="s">
        <v>72</v>
      </c>
      <c r="H4" s="389" t="s">
        <v>73</v>
      </c>
      <c r="I4" s="389" t="s">
        <v>74</v>
      </c>
      <c r="J4" s="389" t="s">
        <v>75</v>
      </c>
      <c r="K4" s="389" t="s">
        <v>76</v>
      </c>
      <c r="L4" s="389" t="s">
        <v>77</v>
      </c>
      <c r="M4" s="389" t="s">
        <v>78</v>
      </c>
      <c r="N4" s="389" t="s">
        <v>79</v>
      </c>
      <c r="O4" s="389" t="s">
        <v>80</v>
      </c>
      <c r="P4" s="389" t="s">
        <v>81</v>
      </c>
      <c r="Q4" s="389" t="s">
        <v>95</v>
      </c>
      <c r="R4" s="389" t="s">
        <v>82</v>
      </c>
    </row>
    <row r="5" spans="1:22" ht="20.100000000000001" customHeight="1">
      <c r="A5" s="177" t="s">
        <v>161</v>
      </c>
      <c r="B5" s="248">
        <v>38941.378410000005</v>
      </c>
      <c r="C5" s="248">
        <v>155040.59999999998</v>
      </c>
      <c r="D5" s="249">
        <v>27716.7</v>
      </c>
      <c r="E5" s="249">
        <v>48268.799999999996</v>
      </c>
      <c r="F5" s="249">
        <v>45371.500000000007</v>
      </c>
      <c r="G5" s="249">
        <v>113382.61799999999</v>
      </c>
      <c r="H5" s="249">
        <v>68290.900000000009</v>
      </c>
      <c r="I5" s="249">
        <v>50033.899999999994</v>
      </c>
      <c r="J5" s="249">
        <v>52042.9</v>
      </c>
      <c r="K5" s="248">
        <v>127940.34146005199</v>
      </c>
      <c r="L5" s="248">
        <v>145375.462</v>
      </c>
      <c r="M5" s="249">
        <v>132512.64600000001</v>
      </c>
      <c r="N5" s="249">
        <v>46827.456590000002</v>
      </c>
      <c r="O5" s="249">
        <v>59006.3</v>
      </c>
      <c r="P5" s="249">
        <v>1110751.502460052</v>
      </c>
      <c r="Q5" s="249">
        <v>23511.330737856249</v>
      </c>
      <c r="R5" s="249">
        <v>1134262.8331979082</v>
      </c>
      <c r="S5" s="56"/>
      <c r="T5" s="57"/>
      <c r="U5" s="57"/>
      <c r="V5" s="57"/>
    </row>
    <row r="6" spans="1:22" ht="20.100000000000001" customHeight="1">
      <c r="A6" s="177" t="s">
        <v>162</v>
      </c>
      <c r="B6" s="248">
        <v>31696.996150000003</v>
      </c>
      <c r="C6" s="249">
        <v>121742.70000000001</v>
      </c>
      <c r="D6" s="249">
        <v>22940.2</v>
      </c>
      <c r="E6" s="249">
        <v>37784.6</v>
      </c>
      <c r="F6" s="249">
        <v>36916.5</v>
      </c>
      <c r="G6" s="249">
        <v>93022.157000000007</v>
      </c>
      <c r="H6" s="249">
        <v>53134.6</v>
      </c>
      <c r="I6" s="249">
        <v>41668.699999999997</v>
      </c>
      <c r="J6" s="249">
        <v>42496.800000000003</v>
      </c>
      <c r="K6" s="248">
        <v>100771.986728381</v>
      </c>
      <c r="L6" s="249">
        <v>113122.25499999999</v>
      </c>
      <c r="M6" s="249">
        <v>89484.081999999995</v>
      </c>
      <c r="N6" s="249">
        <v>37061.16085</v>
      </c>
      <c r="O6" s="249">
        <v>46553.200000000004</v>
      </c>
      <c r="P6" s="249">
        <v>868395.9377283809</v>
      </c>
      <c r="Q6" s="249">
        <v>22104.462365356801</v>
      </c>
      <c r="R6" s="249">
        <v>890500.40009373776</v>
      </c>
      <c r="S6" s="58"/>
      <c r="T6" s="57"/>
      <c r="U6" s="57"/>
      <c r="V6" s="57"/>
    </row>
    <row r="7" spans="1:22" ht="20.100000000000001" customHeight="1">
      <c r="A7" s="180" t="s">
        <v>163</v>
      </c>
      <c r="B7" s="251">
        <v>31895.59232</v>
      </c>
      <c r="C7" s="252">
        <v>122851.00000000001</v>
      </c>
      <c r="D7" s="252">
        <v>22590</v>
      </c>
      <c r="E7" s="252">
        <v>37381.4</v>
      </c>
      <c r="F7" s="252">
        <v>36634.699999999997</v>
      </c>
      <c r="G7" s="252">
        <v>93498.948000000004</v>
      </c>
      <c r="H7" s="252">
        <v>55533.3</v>
      </c>
      <c r="I7" s="252">
        <v>41065.500000000007</v>
      </c>
      <c r="J7" s="252">
        <v>42773.200000000004</v>
      </c>
      <c r="K7" s="251">
        <v>98145.136536463746</v>
      </c>
      <c r="L7" s="252">
        <v>114295.02799999999</v>
      </c>
      <c r="M7" s="252">
        <v>121996.359</v>
      </c>
      <c r="N7" s="252">
        <v>36987.200680000002</v>
      </c>
      <c r="O7" s="252">
        <v>47677.900000000009</v>
      </c>
      <c r="P7" s="252">
        <v>903325.26453646377</v>
      </c>
      <c r="Q7" s="252">
        <v>19294.2278982315</v>
      </c>
      <c r="R7" s="252">
        <v>922619.49243469525</v>
      </c>
      <c r="S7" s="59"/>
      <c r="T7" s="57"/>
      <c r="U7" s="57"/>
      <c r="V7" s="57"/>
    </row>
    <row r="8" spans="1:22" ht="20.100000000000001" customHeight="1">
      <c r="A8" s="177" t="s">
        <v>164</v>
      </c>
      <c r="B8" s="248">
        <v>24568.994149999999</v>
      </c>
      <c r="C8" s="249">
        <v>89320.999999999985</v>
      </c>
      <c r="D8" s="249">
        <v>17419.399999999998</v>
      </c>
      <c r="E8" s="249">
        <v>28343.1</v>
      </c>
      <c r="F8" s="249">
        <v>27124.399999999998</v>
      </c>
      <c r="G8" s="249">
        <v>74293.203999999983</v>
      </c>
      <c r="H8" s="249">
        <v>42480.1</v>
      </c>
      <c r="I8" s="249">
        <v>31564.7</v>
      </c>
      <c r="J8" s="249">
        <v>33066.1</v>
      </c>
      <c r="K8" s="248">
        <v>73032.609774202283</v>
      </c>
      <c r="L8" s="249">
        <v>94732.47</v>
      </c>
      <c r="M8" s="249">
        <v>65685.403000000006</v>
      </c>
      <c r="N8" s="249">
        <v>27965.188849999999</v>
      </c>
      <c r="O8" s="249">
        <v>34955.800000000003</v>
      </c>
      <c r="P8" s="249">
        <v>664552.46977420233</v>
      </c>
      <c r="Q8" s="249">
        <v>6809.6798347968088</v>
      </c>
      <c r="R8" s="249">
        <v>671362.14960899914</v>
      </c>
      <c r="S8" s="58"/>
      <c r="T8" s="57"/>
      <c r="U8" s="57"/>
      <c r="V8" s="57"/>
    </row>
    <row r="9" spans="1:22" ht="20.100000000000001" customHeight="1">
      <c r="A9" s="177" t="s">
        <v>165</v>
      </c>
      <c r="B9" s="248">
        <v>12882.110449999998</v>
      </c>
      <c r="C9" s="249">
        <v>37348.800000000003</v>
      </c>
      <c r="D9" s="249">
        <v>10126.599999999999</v>
      </c>
      <c r="E9" s="249">
        <v>14396.500000000002</v>
      </c>
      <c r="F9" s="249">
        <v>13043.699999999999</v>
      </c>
      <c r="G9" s="249">
        <v>45950.067999999999</v>
      </c>
      <c r="H9" s="249">
        <v>22170.600000000002</v>
      </c>
      <c r="I9" s="249">
        <v>16579.099999999999</v>
      </c>
      <c r="J9" s="249">
        <v>17985.599999999999</v>
      </c>
      <c r="K9" s="248">
        <v>26625.16474560499</v>
      </c>
      <c r="L9" s="249">
        <v>60198.828999999983</v>
      </c>
      <c r="M9" s="249">
        <v>75497.58</v>
      </c>
      <c r="N9" s="249">
        <v>13157.50956</v>
      </c>
      <c r="O9" s="249">
        <v>18309.8</v>
      </c>
      <c r="P9" s="249">
        <v>384271.96175560495</v>
      </c>
      <c r="Q9" s="249">
        <v>4624.2103988143199</v>
      </c>
      <c r="R9" s="249">
        <v>388896.17215441924</v>
      </c>
      <c r="S9" s="58"/>
      <c r="T9" s="57"/>
      <c r="U9" s="57"/>
      <c r="V9" s="57"/>
    </row>
    <row r="10" spans="1:22" ht="20.100000000000001" customHeight="1">
      <c r="A10" s="180" t="s">
        <v>166</v>
      </c>
      <c r="B10" s="251">
        <v>10097.37275</v>
      </c>
      <c r="C10" s="252">
        <v>29148.199999999997</v>
      </c>
      <c r="D10" s="252">
        <v>9111.7999999999993</v>
      </c>
      <c r="E10" s="252">
        <v>11677.7</v>
      </c>
      <c r="F10" s="252">
        <v>11479.300000000001</v>
      </c>
      <c r="G10" s="252">
        <v>38949.074000000001</v>
      </c>
      <c r="H10" s="252">
        <v>17983.400000000001</v>
      </c>
      <c r="I10" s="252">
        <v>13727.599999999999</v>
      </c>
      <c r="J10" s="252">
        <v>15001.500000000002</v>
      </c>
      <c r="K10" s="251">
        <v>18446.038878160678</v>
      </c>
      <c r="L10" s="252">
        <v>50696.456000000006</v>
      </c>
      <c r="M10" s="252">
        <v>84336.543000000005</v>
      </c>
      <c r="N10" s="252">
        <v>10403.93525</v>
      </c>
      <c r="O10" s="252">
        <v>13636.1</v>
      </c>
      <c r="P10" s="252">
        <v>334695.01987816067</v>
      </c>
      <c r="Q10" s="252">
        <v>1659.4749988929134</v>
      </c>
      <c r="R10" s="252">
        <v>336354.4948770536</v>
      </c>
      <c r="S10" s="58"/>
      <c r="T10" s="57"/>
      <c r="U10" s="57"/>
      <c r="V10" s="57"/>
    </row>
    <row r="11" spans="1:22" ht="20.100000000000001" customHeight="1">
      <c r="A11" s="177" t="s">
        <v>167</v>
      </c>
      <c r="B11" s="248">
        <v>8958.2241600000016</v>
      </c>
      <c r="C11" s="249">
        <v>26518.400000000001</v>
      </c>
      <c r="D11" s="249">
        <v>8082.6</v>
      </c>
      <c r="E11" s="249">
        <v>10030</v>
      </c>
      <c r="F11" s="249">
        <v>9220.5999999999985</v>
      </c>
      <c r="G11" s="249">
        <v>34479.811999999998</v>
      </c>
      <c r="H11" s="249">
        <v>16601</v>
      </c>
      <c r="I11" s="249">
        <v>12508.300000000001</v>
      </c>
      <c r="J11" s="249">
        <v>13009.000000000002</v>
      </c>
      <c r="K11" s="248">
        <v>17962.366361616012</v>
      </c>
      <c r="L11" s="249">
        <v>47069.253999999994</v>
      </c>
      <c r="M11" s="249">
        <v>61754.204000000012</v>
      </c>
      <c r="N11" s="249">
        <v>9226.2608299999993</v>
      </c>
      <c r="O11" s="249">
        <v>12477.900000000001</v>
      </c>
      <c r="P11" s="249">
        <v>287897.92135161604</v>
      </c>
      <c r="Q11" s="249">
        <v>671.28885591643552</v>
      </c>
      <c r="R11" s="249">
        <v>288569.21020753245</v>
      </c>
      <c r="S11" s="58"/>
      <c r="T11" s="57"/>
      <c r="U11" s="57"/>
      <c r="V11" s="57"/>
    </row>
    <row r="12" spans="1:22" ht="20.100000000000001" customHeight="1">
      <c r="A12" s="177" t="s">
        <v>168</v>
      </c>
      <c r="B12" s="248">
        <v>9119.3572300000014</v>
      </c>
      <c r="C12" s="249">
        <v>26438.600000000002</v>
      </c>
      <c r="D12" s="249">
        <v>8481.6999999999989</v>
      </c>
      <c r="E12" s="249">
        <v>10294.5</v>
      </c>
      <c r="F12" s="249">
        <v>9604.5999999999985</v>
      </c>
      <c r="G12" s="249">
        <v>31474.873000000003</v>
      </c>
      <c r="H12" s="249">
        <v>16605.8</v>
      </c>
      <c r="I12" s="249">
        <v>12205.5</v>
      </c>
      <c r="J12" s="249">
        <v>13718.499999999998</v>
      </c>
      <c r="K12" s="248">
        <v>17541.661373161754</v>
      </c>
      <c r="L12" s="249">
        <v>47474.409999999996</v>
      </c>
      <c r="M12" s="249">
        <v>84200.642000000022</v>
      </c>
      <c r="N12" s="249">
        <v>10116.36577</v>
      </c>
      <c r="O12" s="249">
        <v>13111.4</v>
      </c>
      <c r="P12" s="249">
        <v>310387.90937316179</v>
      </c>
      <c r="Q12" s="249">
        <v>716.80472523997037</v>
      </c>
      <c r="R12" s="249">
        <v>311104.71409840178</v>
      </c>
      <c r="S12" s="58"/>
      <c r="T12" s="57"/>
      <c r="U12" s="57"/>
      <c r="V12" s="57"/>
    </row>
    <row r="13" spans="1:22" ht="20.100000000000001" customHeight="1">
      <c r="A13" s="180" t="s">
        <v>169</v>
      </c>
      <c r="B13" s="251">
        <v>13299.163200000001</v>
      </c>
      <c r="C13" s="252">
        <v>40772.200000000004</v>
      </c>
      <c r="D13" s="252">
        <v>9803.0999999999985</v>
      </c>
      <c r="E13" s="252">
        <v>14654.399999999998</v>
      </c>
      <c r="F13" s="252">
        <v>14005.899999999998</v>
      </c>
      <c r="G13" s="252">
        <v>42257.100000000006</v>
      </c>
      <c r="H13" s="252">
        <v>21533</v>
      </c>
      <c r="I13" s="252">
        <v>16559.2</v>
      </c>
      <c r="J13" s="252">
        <v>17886.099999999999</v>
      </c>
      <c r="K13" s="251">
        <v>28887.439159226851</v>
      </c>
      <c r="L13" s="252">
        <v>54172.514999999992</v>
      </c>
      <c r="M13" s="252">
        <v>76812.313999999998</v>
      </c>
      <c r="N13" s="252">
        <v>13359.145789999999</v>
      </c>
      <c r="O13" s="252">
        <v>16618.2</v>
      </c>
      <c r="P13" s="252">
        <v>380619.77714922692</v>
      </c>
      <c r="Q13" s="252">
        <v>2738.1834933099349</v>
      </c>
      <c r="R13" s="252">
        <v>383357.96064253687</v>
      </c>
      <c r="S13" s="58"/>
      <c r="T13" s="57"/>
      <c r="U13" s="57"/>
      <c r="V13" s="57"/>
    </row>
    <row r="14" spans="1:22" ht="20.100000000000001" customHeight="1">
      <c r="A14" s="177" t="s">
        <v>170</v>
      </c>
      <c r="B14" s="248"/>
      <c r="C14" s="249"/>
      <c r="D14" s="249"/>
      <c r="E14" s="249"/>
      <c r="F14" s="249"/>
      <c r="G14" s="249"/>
      <c r="H14" s="249"/>
      <c r="I14" s="249"/>
      <c r="J14" s="249"/>
      <c r="K14" s="248"/>
      <c r="L14" s="249"/>
      <c r="M14" s="249"/>
      <c r="N14" s="249"/>
      <c r="O14" s="249"/>
      <c r="P14" s="249"/>
      <c r="Q14" s="249"/>
      <c r="R14" s="249"/>
      <c r="S14" s="58"/>
      <c r="T14" s="57"/>
      <c r="U14" s="57"/>
      <c r="V14" s="57"/>
    </row>
    <row r="15" spans="1:22" ht="20.100000000000001" customHeight="1">
      <c r="A15" s="177" t="s">
        <v>171</v>
      </c>
      <c r="B15" s="248"/>
      <c r="C15" s="249"/>
      <c r="D15" s="249"/>
      <c r="E15" s="249"/>
      <c r="F15" s="249"/>
      <c r="G15" s="249"/>
      <c r="H15" s="249"/>
      <c r="I15" s="249"/>
      <c r="J15" s="249"/>
      <c r="K15" s="248"/>
      <c r="L15" s="249"/>
      <c r="M15" s="249"/>
      <c r="N15" s="249"/>
      <c r="O15" s="249"/>
      <c r="P15" s="249"/>
      <c r="Q15" s="249"/>
      <c r="R15" s="249"/>
      <c r="S15" s="58"/>
      <c r="T15" s="57"/>
      <c r="U15" s="57"/>
      <c r="V15" s="57"/>
    </row>
    <row r="16" spans="1:22" ht="20.100000000000001" customHeight="1">
      <c r="A16" s="180" t="s">
        <v>172</v>
      </c>
      <c r="B16" s="251"/>
      <c r="C16" s="252"/>
      <c r="D16" s="252"/>
      <c r="E16" s="252"/>
      <c r="F16" s="252"/>
      <c r="G16" s="252"/>
      <c r="H16" s="252"/>
      <c r="I16" s="252"/>
      <c r="J16" s="252"/>
      <c r="K16" s="251"/>
      <c r="L16" s="252"/>
      <c r="M16" s="252"/>
      <c r="N16" s="252"/>
      <c r="O16" s="252"/>
      <c r="P16" s="252"/>
      <c r="Q16" s="252"/>
      <c r="R16" s="252"/>
      <c r="S16" s="58"/>
      <c r="T16" s="57"/>
      <c r="U16" s="57"/>
      <c r="V16" s="57"/>
    </row>
    <row r="17" spans="1:22" ht="20.100000000000001" customHeight="1">
      <c r="A17" s="177" t="s">
        <v>48</v>
      </c>
      <c r="B17" s="248">
        <f>SUM(B5:B7)</f>
        <v>102533.96688000001</v>
      </c>
      <c r="C17" s="248">
        <f>SUM(C5:C7)</f>
        <v>399634.3</v>
      </c>
      <c r="D17" s="248">
        <f t="shared" ref="D17:J17" si="0">SUM(D5:D7)</f>
        <v>73246.899999999994</v>
      </c>
      <c r="E17" s="248">
        <f t="shared" si="0"/>
        <v>123434.79999999999</v>
      </c>
      <c r="F17" s="248">
        <f t="shared" si="0"/>
        <v>118922.7</v>
      </c>
      <c r="G17" s="248">
        <f t="shared" si="0"/>
        <v>299903.723</v>
      </c>
      <c r="H17" s="248">
        <f t="shared" si="0"/>
        <v>176958.8</v>
      </c>
      <c r="I17" s="248">
        <f t="shared" si="0"/>
        <v>132768.1</v>
      </c>
      <c r="J17" s="248">
        <f t="shared" si="0"/>
        <v>137312.90000000002</v>
      </c>
      <c r="K17" s="248">
        <f>SUM(K5:K7)</f>
        <v>326857.46472489671</v>
      </c>
      <c r="L17" s="248">
        <f t="shared" ref="L17:R17" si="1">SUM(L5:L7)</f>
        <v>372792.745</v>
      </c>
      <c r="M17" s="248">
        <f t="shared" si="1"/>
        <v>343993.087</v>
      </c>
      <c r="N17" s="248">
        <f t="shared" si="1"/>
        <v>120875.81812000001</v>
      </c>
      <c r="O17" s="248">
        <f t="shared" si="1"/>
        <v>153237.40000000002</v>
      </c>
      <c r="P17" s="248">
        <f t="shared" si="1"/>
        <v>2882472.7047248967</v>
      </c>
      <c r="Q17" s="248">
        <f t="shared" si="1"/>
        <v>64910.021001444547</v>
      </c>
      <c r="R17" s="248">
        <f t="shared" si="1"/>
        <v>2947382.7257263414</v>
      </c>
    </row>
    <row r="18" spans="1:22" ht="20.100000000000001" customHeight="1">
      <c r="A18" s="177" t="s">
        <v>56</v>
      </c>
      <c r="B18" s="248">
        <f>SUM(B8:B10)</f>
        <v>47548.477350000001</v>
      </c>
      <c r="C18" s="248">
        <f>SUM(C8:C10)</f>
        <v>155818</v>
      </c>
      <c r="D18" s="248">
        <f t="shared" ref="D18:J18" si="2">SUM(D8:D10)</f>
        <v>36657.799999999996</v>
      </c>
      <c r="E18" s="248">
        <f t="shared" si="2"/>
        <v>54417.3</v>
      </c>
      <c r="F18" s="248">
        <f t="shared" si="2"/>
        <v>51647.4</v>
      </c>
      <c r="G18" s="248">
        <f t="shared" si="2"/>
        <v>159192.34599999999</v>
      </c>
      <c r="H18" s="248">
        <f t="shared" si="2"/>
        <v>82634.100000000006</v>
      </c>
      <c r="I18" s="248">
        <f t="shared" si="2"/>
        <v>61871.4</v>
      </c>
      <c r="J18" s="248">
        <f t="shared" si="2"/>
        <v>66053.2</v>
      </c>
      <c r="K18" s="248">
        <f>SUM(K8:K10)</f>
        <v>118103.81339796796</v>
      </c>
      <c r="L18" s="248">
        <f t="shared" ref="L18:R18" si="3">SUM(L8:L10)</f>
        <v>205627.755</v>
      </c>
      <c r="M18" s="248">
        <f t="shared" si="3"/>
        <v>225519.52600000001</v>
      </c>
      <c r="N18" s="248">
        <f t="shared" si="3"/>
        <v>51526.63366</v>
      </c>
      <c r="O18" s="248">
        <f t="shared" si="3"/>
        <v>66901.700000000012</v>
      </c>
      <c r="P18" s="248">
        <f t="shared" si="3"/>
        <v>1383519.4514079681</v>
      </c>
      <c r="Q18" s="248">
        <f t="shared" si="3"/>
        <v>13093.365232504042</v>
      </c>
      <c r="R18" s="248">
        <f t="shared" si="3"/>
        <v>1396612.816640472</v>
      </c>
    </row>
    <row r="19" spans="1:22" ht="20.100000000000001" customHeight="1">
      <c r="A19" s="177" t="s">
        <v>63</v>
      </c>
      <c r="B19" s="248">
        <f>SUM(B11:B13)</f>
        <v>31376.744590000002</v>
      </c>
      <c r="C19" s="248">
        <f>SUM(C11:C13)</f>
        <v>93729.200000000012</v>
      </c>
      <c r="D19" s="248">
        <f t="shared" ref="D19:J19" si="4">SUM(D11:D13)</f>
        <v>26367.399999999998</v>
      </c>
      <c r="E19" s="248">
        <f t="shared" si="4"/>
        <v>34978.899999999994</v>
      </c>
      <c r="F19" s="248">
        <f t="shared" si="4"/>
        <v>32831.099999999991</v>
      </c>
      <c r="G19" s="248">
        <f t="shared" si="4"/>
        <v>108211.785</v>
      </c>
      <c r="H19" s="248">
        <f t="shared" si="4"/>
        <v>54739.8</v>
      </c>
      <c r="I19" s="248">
        <f t="shared" si="4"/>
        <v>41273</v>
      </c>
      <c r="J19" s="248">
        <f t="shared" si="4"/>
        <v>44613.599999999999</v>
      </c>
      <c r="K19" s="248">
        <f>SUM(K11:K13)</f>
        <v>64391.466894004618</v>
      </c>
      <c r="L19" s="248">
        <f t="shared" ref="L19:R19" si="5">SUM(L11:L13)</f>
        <v>148716.17899999997</v>
      </c>
      <c r="M19" s="248">
        <f t="shared" si="5"/>
        <v>222767.16000000003</v>
      </c>
      <c r="N19" s="248">
        <f t="shared" si="5"/>
        <v>32701.772389999998</v>
      </c>
      <c r="O19" s="248">
        <f t="shared" si="5"/>
        <v>42207.5</v>
      </c>
      <c r="P19" s="248">
        <f t="shared" si="5"/>
        <v>978905.60787400487</v>
      </c>
      <c r="Q19" s="248">
        <f t="shared" si="5"/>
        <v>4126.2770744663412</v>
      </c>
      <c r="R19" s="248">
        <f t="shared" si="5"/>
        <v>983031.8849484711</v>
      </c>
    </row>
    <row r="20" spans="1:22" ht="20.100000000000001" customHeight="1">
      <c r="A20" s="180" t="s">
        <v>57</v>
      </c>
      <c r="B20" s="354">
        <f>SUM(B14:B16)</f>
        <v>0</v>
      </c>
      <c r="C20" s="354">
        <f>SUM(C14:C16)</f>
        <v>0</v>
      </c>
      <c r="D20" s="354">
        <f t="shared" ref="D20:J20" si="6">SUM(D14:D16)</f>
        <v>0</v>
      </c>
      <c r="E20" s="354">
        <f t="shared" si="6"/>
        <v>0</v>
      </c>
      <c r="F20" s="354">
        <f t="shared" si="6"/>
        <v>0</v>
      </c>
      <c r="G20" s="354">
        <f t="shared" si="6"/>
        <v>0</v>
      </c>
      <c r="H20" s="354">
        <f t="shared" si="6"/>
        <v>0</v>
      </c>
      <c r="I20" s="354">
        <f t="shared" si="6"/>
        <v>0</v>
      </c>
      <c r="J20" s="354">
        <f t="shared" si="6"/>
        <v>0</v>
      </c>
      <c r="K20" s="354">
        <f>SUM(K14:K16)</f>
        <v>0</v>
      </c>
      <c r="L20" s="354">
        <f t="shared" ref="L20:R20" si="7">SUM(L14:L16)</f>
        <v>0</v>
      </c>
      <c r="M20" s="354">
        <f t="shared" si="7"/>
        <v>0</v>
      </c>
      <c r="N20" s="354">
        <f t="shared" si="7"/>
        <v>0</v>
      </c>
      <c r="O20" s="354">
        <f t="shared" si="7"/>
        <v>0</v>
      </c>
      <c r="P20" s="354">
        <f t="shared" si="7"/>
        <v>0</v>
      </c>
      <c r="Q20" s="354">
        <f t="shared" si="7"/>
        <v>0</v>
      </c>
      <c r="R20" s="354">
        <f t="shared" si="7"/>
        <v>0</v>
      </c>
    </row>
    <row r="21" spans="1:22" ht="20.100000000000001" customHeight="1">
      <c r="A21" s="177" t="s">
        <v>58</v>
      </c>
      <c r="B21" s="248">
        <f>SUM(B5:B10)</f>
        <v>150082.44423000002</v>
      </c>
      <c r="C21" s="248">
        <f>SUM(C5:C10)</f>
        <v>555452.29999999993</v>
      </c>
      <c r="D21" s="248">
        <f t="shared" ref="D21:J21" si="8">SUM(D5:D10)</f>
        <v>109904.7</v>
      </c>
      <c r="E21" s="248">
        <f t="shared" si="8"/>
        <v>177852.1</v>
      </c>
      <c r="F21" s="248">
        <f t="shared" si="8"/>
        <v>170570.1</v>
      </c>
      <c r="G21" s="248">
        <f t="shared" si="8"/>
        <v>459096.06900000002</v>
      </c>
      <c r="H21" s="248">
        <f t="shared" si="8"/>
        <v>259592.9</v>
      </c>
      <c r="I21" s="248">
        <f t="shared" si="8"/>
        <v>194639.50000000003</v>
      </c>
      <c r="J21" s="248">
        <f t="shared" si="8"/>
        <v>203366.10000000003</v>
      </c>
      <c r="K21" s="248">
        <f>SUM(K5:K10)</f>
        <v>444961.27812286466</v>
      </c>
      <c r="L21" s="248">
        <f t="shared" ref="L21:R21" si="9">SUM(L5:L10)</f>
        <v>578420.5</v>
      </c>
      <c r="M21" s="248">
        <f t="shared" si="9"/>
        <v>569512.61300000001</v>
      </c>
      <c r="N21" s="248">
        <f t="shared" si="9"/>
        <v>172402.45178000003</v>
      </c>
      <c r="O21" s="248">
        <f t="shared" si="9"/>
        <v>220139.1</v>
      </c>
      <c r="P21" s="248">
        <f t="shared" si="9"/>
        <v>4265992.1561328648</v>
      </c>
      <c r="Q21" s="248">
        <f t="shared" si="9"/>
        <v>78003.386233948593</v>
      </c>
      <c r="R21" s="248">
        <f t="shared" si="9"/>
        <v>4343995.5423668129</v>
      </c>
    </row>
    <row r="22" spans="1:22" ht="20.100000000000001" customHeight="1">
      <c r="A22" s="180" t="s">
        <v>59</v>
      </c>
      <c r="B22" s="354">
        <f>SUM(B11:B16)</f>
        <v>31376.744590000002</v>
      </c>
      <c r="C22" s="354">
        <f>SUM(C11:C16)</f>
        <v>93729.200000000012</v>
      </c>
      <c r="D22" s="354">
        <f t="shared" ref="D22:J22" si="10">SUM(D11:D16)</f>
        <v>26367.399999999998</v>
      </c>
      <c r="E22" s="354">
        <f t="shared" si="10"/>
        <v>34978.899999999994</v>
      </c>
      <c r="F22" s="354">
        <f t="shared" si="10"/>
        <v>32831.099999999991</v>
      </c>
      <c r="G22" s="354">
        <f t="shared" si="10"/>
        <v>108211.785</v>
      </c>
      <c r="H22" s="354">
        <f t="shared" si="10"/>
        <v>54739.8</v>
      </c>
      <c r="I22" s="354">
        <f t="shared" si="10"/>
        <v>41273</v>
      </c>
      <c r="J22" s="354">
        <f t="shared" si="10"/>
        <v>44613.599999999999</v>
      </c>
      <c r="K22" s="354">
        <f>SUM(K11:K16)</f>
        <v>64391.466894004618</v>
      </c>
      <c r="L22" s="354">
        <f t="shared" ref="L22:R22" si="11">SUM(L11:L16)</f>
        <v>148716.17899999997</v>
      </c>
      <c r="M22" s="354">
        <f t="shared" si="11"/>
        <v>222767.16000000003</v>
      </c>
      <c r="N22" s="354">
        <f t="shared" si="11"/>
        <v>32701.772389999998</v>
      </c>
      <c r="O22" s="354">
        <f t="shared" si="11"/>
        <v>42207.5</v>
      </c>
      <c r="P22" s="354">
        <f t="shared" si="11"/>
        <v>978905.60787400487</v>
      </c>
      <c r="Q22" s="354">
        <f t="shared" si="11"/>
        <v>4126.2770744663412</v>
      </c>
      <c r="R22" s="354">
        <f t="shared" si="11"/>
        <v>983031.8849484711</v>
      </c>
    </row>
    <row r="23" spans="1:22" ht="20.100000000000001" customHeight="1">
      <c r="A23" s="218" t="s">
        <v>173</v>
      </c>
      <c r="B23" s="357">
        <f>SUM(B5:B16)</f>
        <v>181459.18882000004</v>
      </c>
      <c r="C23" s="357">
        <f>SUM(C5:C16)</f>
        <v>649181.49999999988</v>
      </c>
      <c r="D23" s="357">
        <f t="shared" ref="D23:J23" si="12">SUM(D5:D16)</f>
        <v>136272.1</v>
      </c>
      <c r="E23" s="357">
        <f t="shared" si="12"/>
        <v>212831</v>
      </c>
      <c r="F23" s="357">
        <f t="shared" si="12"/>
        <v>203401.2</v>
      </c>
      <c r="G23" s="357">
        <f t="shared" si="12"/>
        <v>567307.85399999993</v>
      </c>
      <c r="H23" s="357">
        <f t="shared" si="12"/>
        <v>314332.7</v>
      </c>
      <c r="I23" s="357">
        <f t="shared" si="12"/>
        <v>235912.50000000003</v>
      </c>
      <c r="J23" s="357">
        <f t="shared" si="12"/>
        <v>247979.70000000004</v>
      </c>
      <c r="K23" s="357">
        <f>SUM(K5:K16)</f>
        <v>509352.74501686927</v>
      </c>
      <c r="L23" s="357">
        <f t="shared" ref="L23:R23" si="13">SUM(L5:L16)</f>
        <v>727136.679</v>
      </c>
      <c r="M23" s="357">
        <f t="shared" si="13"/>
        <v>792279.77300000004</v>
      </c>
      <c r="N23" s="357">
        <f t="shared" si="13"/>
        <v>205104.22417000006</v>
      </c>
      <c r="O23" s="357">
        <f t="shared" si="13"/>
        <v>262346.59999999998</v>
      </c>
      <c r="P23" s="357">
        <f t="shared" si="13"/>
        <v>5244897.7640068689</v>
      </c>
      <c r="Q23" s="357">
        <f t="shared" si="13"/>
        <v>82129.663308414936</v>
      </c>
      <c r="R23" s="357">
        <f t="shared" si="13"/>
        <v>5327027.4273152836</v>
      </c>
    </row>
    <row r="25" spans="1:22" ht="12" customHeight="1">
      <c r="A25" s="60"/>
      <c r="B25" s="60"/>
      <c r="C25" s="60"/>
      <c r="H25" s="60"/>
      <c r="I25" s="60"/>
      <c r="J25" s="60"/>
      <c r="K25" s="60"/>
      <c r="O25" s="60"/>
      <c r="P25" s="60"/>
      <c r="Q25" s="60"/>
      <c r="R25" s="60"/>
    </row>
    <row r="26" spans="1:22" ht="12" customHeight="1">
      <c r="E26" s="63"/>
      <c r="F26" s="63"/>
      <c r="G26" s="63"/>
      <c r="H26" s="63"/>
      <c r="L26" s="63"/>
      <c r="M26" s="63"/>
      <c r="N26" s="63"/>
    </row>
    <row r="27" spans="1:22" ht="12" customHeight="1">
      <c r="E27" s="63"/>
      <c r="F27" s="63"/>
      <c r="G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35.1" customHeight="1">
      <c r="A29" s="437" t="s">
        <v>195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</row>
    <row r="30" spans="1:22" ht="84.95" customHeight="1">
      <c r="A30" s="221">
        <f>A4</f>
        <v>2022</v>
      </c>
      <c r="B30" s="389" t="s">
        <v>68</v>
      </c>
      <c r="C30" s="389" t="s">
        <v>69</v>
      </c>
      <c r="D30" s="389" t="s">
        <v>70</v>
      </c>
      <c r="E30" s="389" t="s">
        <v>91</v>
      </c>
      <c r="F30" s="389" t="s">
        <v>71</v>
      </c>
      <c r="G30" s="389" t="s">
        <v>72</v>
      </c>
      <c r="H30" s="389" t="s">
        <v>73</v>
      </c>
      <c r="I30" s="389" t="s">
        <v>74</v>
      </c>
      <c r="J30" s="389" t="s">
        <v>75</v>
      </c>
      <c r="K30" s="389" t="s">
        <v>76</v>
      </c>
      <c r="L30" s="389" t="s">
        <v>77</v>
      </c>
      <c r="M30" s="389" t="s">
        <v>78</v>
      </c>
      <c r="N30" s="389" t="s">
        <v>79</v>
      </c>
      <c r="O30" s="389" t="s">
        <v>80</v>
      </c>
      <c r="P30" s="389" t="s">
        <v>81</v>
      </c>
      <c r="Q30" s="389" t="s">
        <v>95</v>
      </c>
      <c r="R30" s="389" t="s">
        <v>82</v>
      </c>
    </row>
    <row r="31" spans="1:22" ht="20.100000000000001" customHeight="1">
      <c r="A31" s="177" t="s">
        <v>161</v>
      </c>
      <c r="B31" s="248">
        <v>415762.53735999996</v>
      </c>
      <c r="C31" s="248">
        <v>1656158.39053</v>
      </c>
      <c r="D31" s="249">
        <v>296073.45328000002</v>
      </c>
      <c r="E31" s="249">
        <v>515612.36231000011</v>
      </c>
      <c r="F31" s="249">
        <v>484662.49001999991</v>
      </c>
      <c r="G31" s="249">
        <v>1210940.7311200001</v>
      </c>
      <c r="H31" s="249">
        <v>729489.64507999993</v>
      </c>
      <c r="I31" s="249">
        <v>534468.11779000005</v>
      </c>
      <c r="J31" s="249">
        <v>555927.97626999998</v>
      </c>
      <c r="K31" s="248">
        <v>1368175.8003100001</v>
      </c>
      <c r="L31" s="248">
        <v>1552927.0968700002</v>
      </c>
      <c r="M31" s="249">
        <v>1416639.9042900002</v>
      </c>
      <c r="N31" s="249">
        <v>500184.4264600001</v>
      </c>
      <c r="O31" s="249">
        <v>630310.83455000003</v>
      </c>
      <c r="P31" s="249">
        <v>11867333.766240001</v>
      </c>
      <c r="Q31" s="249">
        <v>251455.84312599999</v>
      </c>
      <c r="R31" s="249">
        <v>12118789.609366002</v>
      </c>
      <c r="S31" s="56"/>
      <c r="T31" s="57"/>
      <c r="U31" s="57"/>
      <c r="V31" s="57"/>
    </row>
    <row r="32" spans="1:22" ht="20.100000000000001" customHeight="1">
      <c r="A32" s="177" t="s">
        <v>162</v>
      </c>
      <c r="B32" s="248">
        <v>339014.19744999998</v>
      </c>
      <c r="C32" s="249">
        <v>1302011.8568399998</v>
      </c>
      <c r="D32" s="249">
        <v>245340.21466000003</v>
      </c>
      <c r="E32" s="249">
        <v>404098.56219000008</v>
      </c>
      <c r="F32" s="249">
        <v>394815.80985000002</v>
      </c>
      <c r="G32" s="249">
        <v>994647.18639000005</v>
      </c>
      <c r="H32" s="249">
        <v>568263.20821999991</v>
      </c>
      <c r="I32" s="249">
        <v>445637.76092000003</v>
      </c>
      <c r="J32" s="249">
        <v>454493.27653000009</v>
      </c>
      <c r="K32" s="248">
        <v>1080729.21725</v>
      </c>
      <c r="L32" s="249">
        <v>1209839.1711969997</v>
      </c>
      <c r="M32" s="249">
        <v>957177.56342000014</v>
      </c>
      <c r="N32" s="249">
        <v>396364.24987000006</v>
      </c>
      <c r="O32" s="249">
        <v>497876.77665000001</v>
      </c>
      <c r="P32" s="249">
        <v>9290309.0514369998</v>
      </c>
      <c r="Q32" s="249">
        <v>236659.74078100003</v>
      </c>
      <c r="R32" s="249">
        <v>9526968.7922179997</v>
      </c>
      <c r="S32" s="58"/>
      <c r="T32" s="57"/>
      <c r="U32" s="57"/>
      <c r="V32" s="57"/>
    </row>
    <row r="33" spans="1:22" ht="20.100000000000001" customHeight="1">
      <c r="A33" s="180" t="s">
        <v>163</v>
      </c>
      <c r="B33" s="251">
        <v>341010.47382999997</v>
      </c>
      <c r="C33" s="252">
        <v>1318415.1843900003</v>
      </c>
      <c r="D33" s="252">
        <v>242431.91138999996</v>
      </c>
      <c r="E33" s="252">
        <v>401171.19883999991</v>
      </c>
      <c r="F33" s="252">
        <v>393158.70135999989</v>
      </c>
      <c r="G33" s="252">
        <v>1003168.9508600002</v>
      </c>
      <c r="H33" s="252">
        <v>595974.21786999993</v>
      </c>
      <c r="I33" s="252">
        <v>440708.36151999992</v>
      </c>
      <c r="J33" s="252">
        <v>459034.11476000008</v>
      </c>
      <c r="K33" s="251">
        <v>1059295.293842833</v>
      </c>
      <c r="L33" s="252">
        <v>1226691.8287599995</v>
      </c>
      <c r="M33" s="252">
        <v>1312751.24893</v>
      </c>
      <c r="N33" s="252">
        <v>396756.70740999997</v>
      </c>
      <c r="O33" s="252">
        <v>511670.34512999997</v>
      </c>
      <c r="P33" s="252">
        <v>9702238.5388928335</v>
      </c>
      <c r="Q33" s="252">
        <v>207215.45435699989</v>
      </c>
      <c r="R33" s="252">
        <v>9909453.9932498336</v>
      </c>
      <c r="S33" s="59"/>
      <c r="T33" s="57"/>
      <c r="U33" s="57"/>
      <c r="V33" s="57"/>
    </row>
    <row r="34" spans="1:22" ht="20.100000000000001" customHeight="1">
      <c r="A34" s="177" t="s">
        <v>164</v>
      </c>
      <c r="B34" s="248">
        <v>262503.67981999996</v>
      </c>
      <c r="C34" s="249">
        <v>962530.33163999999</v>
      </c>
      <c r="D34" s="249">
        <v>187712.58388000005</v>
      </c>
      <c r="E34" s="249">
        <v>305426.90525000001</v>
      </c>
      <c r="F34" s="249">
        <v>292293.55342999997</v>
      </c>
      <c r="G34" s="249">
        <v>800354.80649999972</v>
      </c>
      <c r="H34" s="249">
        <v>457769.34912000003</v>
      </c>
      <c r="I34" s="249">
        <v>340143.81011000002</v>
      </c>
      <c r="J34" s="249">
        <v>356323.92481999996</v>
      </c>
      <c r="K34" s="248">
        <v>792720.77000390785</v>
      </c>
      <c r="L34" s="249">
        <v>1020926.8829399999</v>
      </c>
      <c r="M34" s="249">
        <v>707947.61251000012</v>
      </c>
      <c r="N34" s="249">
        <v>301039.46130999993</v>
      </c>
      <c r="O34" s="249">
        <v>376685.67761999997</v>
      </c>
      <c r="P34" s="249">
        <v>7164379.3489539074</v>
      </c>
      <c r="Q34" s="249">
        <v>73604.56656899993</v>
      </c>
      <c r="R34" s="249">
        <v>7237983.9155229069</v>
      </c>
      <c r="S34" s="58"/>
      <c r="T34" s="57"/>
      <c r="U34" s="57"/>
      <c r="V34" s="57"/>
    </row>
    <row r="35" spans="1:22" ht="20.100000000000001" customHeight="1">
      <c r="A35" s="177" t="s">
        <v>165</v>
      </c>
      <c r="B35" s="248">
        <v>137797.62778000001</v>
      </c>
      <c r="C35" s="249">
        <v>401307.95427999989</v>
      </c>
      <c r="D35" s="249">
        <v>108809.83555999999</v>
      </c>
      <c r="E35" s="249">
        <v>154689.27576000002</v>
      </c>
      <c r="F35" s="249">
        <v>140153.09307999999</v>
      </c>
      <c r="G35" s="249">
        <v>493535.63181999989</v>
      </c>
      <c r="H35" s="249">
        <v>238220.08252999996</v>
      </c>
      <c r="I35" s="249">
        <v>178140.92499999999</v>
      </c>
      <c r="J35" s="249">
        <v>193253.03031999993</v>
      </c>
      <c r="K35" s="248">
        <v>287271.33019497723</v>
      </c>
      <c r="L35" s="249">
        <v>646835.859176</v>
      </c>
      <c r="M35" s="249">
        <v>811687.93861000007</v>
      </c>
      <c r="N35" s="249">
        <v>141289.71729000003</v>
      </c>
      <c r="O35" s="249">
        <v>196735.81806000005</v>
      </c>
      <c r="P35" s="249">
        <v>4129728.1194609771</v>
      </c>
      <c r="Q35" s="249">
        <v>49929.173227999949</v>
      </c>
      <c r="R35" s="249">
        <v>4179657.292688977</v>
      </c>
      <c r="S35" s="58"/>
      <c r="T35" s="57"/>
      <c r="U35" s="57"/>
      <c r="V35" s="57"/>
    </row>
    <row r="36" spans="1:22" ht="20.100000000000001" customHeight="1">
      <c r="A36" s="180" t="s">
        <v>166</v>
      </c>
      <c r="B36" s="251">
        <v>108733.27883000001</v>
      </c>
      <c r="C36" s="252">
        <v>315725.60135000001</v>
      </c>
      <c r="D36" s="252">
        <v>98696.658800000019</v>
      </c>
      <c r="E36" s="252">
        <v>126489.16445000001</v>
      </c>
      <c r="F36" s="252">
        <v>124340.99212000001</v>
      </c>
      <c r="G36" s="252">
        <v>421676.90782000002</v>
      </c>
      <c r="H36" s="252">
        <v>194792.10178000003</v>
      </c>
      <c r="I36" s="252">
        <v>148693.34339999998</v>
      </c>
      <c r="J36" s="252">
        <v>162491.58803000001</v>
      </c>
      <c r="K36" s="251">
        <v>202033.17146301572</v>
      </c>
      <c r="L36" s="252">
        <v>549201.00433100003</v>
      </c>
      <c r="M36" s="252">
        <v>918032.78432999982</v>
      </c>
      <c r="N36" s="252">
        <v>112607.06672000002</v>
      </c>
      <c r="O36" s="252">
        <v>147702.29637</v>
      </c>
      <c r="P36" s="252">
        <v>3631215.9597940156</v>
      </c>
      <c r="Q36" s="252">
        <v>18307.459182999959</v>
      </c>
      <c r="R36" s="252">
        <v>3649523.4189770157</v>
      </c>
      <c r="S36" s="58"/>
      <c r="T36" s="57"/>
      <c r="U36" s="57"/>
      <c r="V36" s="57"/>
    </row>
    <row r="37" spans="1:22" ht="20.100000000000001" customHeight="1">
      <c r="A37" s="177" t="s">
        <v>167</v>
      </c>
      <c r="B37" s="248">
        <v>96912.711830000015</v>
      </c>
      <c r="C37" s="249">
        <v>288249.81235000002</v>
      </c>
      <c r="D37" s="249">
        <v>87855.708340000012</v>
      </c>
      <c r="E37" s="249">
        <v>109023.80092999998</v>
      </c>
      <c r="F37" s="249">
        <v>100225.70615999997</v>
      </c>
      <c r="G37" s="249">
        <v>374608.08879999991</v>
      </c>
      <c r="H37" s="249">
        <v>180449.61959000002</v>
      </c>
      <c r="I37" s="249">
        <v>135962.79754000003</v>
      </c>
      <c r="J37" s="249">
        <v>141405.68912999996</v>
      </c>
      <c r="K37" s="248">
        <v>196653.47913599553</v>
      </c>
      <c r="L37" s="249">
        <v>511663.23923099996</v>
      </c>
      <c r="M37" s="249">
        <v>672511.83306000021</v>
      </c>
      <c r="N37" s="249">
        <v>100229.76822000003</v>
      </c>
      <c r="O37" s="249">
        <v>135633.35811999999</v>
      </c>
      <c r="P37" s="249">
        <v>3131385.6124369954</v>
      </c>
      <c r="Q37" s="249">
        <v>7580.0914519999405</v>
      </c>
      <c r="R37" s="249">
        <v>3138965.7038889951</v>
      </c>
      <c r="S37" s="58"/>
      <c r="T37" s="57"/>
      <c r="U37" s="57"/>
      <c r="V37" s="57"/>
    </row>
    <row r="38" spans="1:22" ht="20.100000000000001" customHeight="1">
      <c r="A38" s="177" t="s">
        <v>168</v>
      </c>
      <c r="B38" s="248">
        <v>99108.259180000008</v>
      </c>
      <c r="C38" s="249">
        <v>286872.40368000016</v>
      </c>
      <c r="D38" s="249">
        <v>92030.568500000023</v>
      </c>
      <c r="E38" s="249">
        <v>111700.32926999999</v>
      </c>
      <c r="F38" s="249">
        <v>104214.76005999999</v>
      </c>
      <c r="G38" s="249">
        <v>341335.37238000002</v>
      </c>
      <c r="H38" s="249">
        <v>180182.12134999994</v>
      </c>
      <c r="I38" s="249">
        <v>132436.13976000002</v>
      </c>
      <c r="J38" s="249">
        <v>148852.43937000004</v>
      </c>
      <c r="K38" s="248">
        <v>191261.56128698474</v>
      </c>
      <c r="L38" s="249">
        <v>515195.59240100003</v>
      </c>
      <c r="M38" s="249">
        <v>914496.25654000009</v>
      </c>
      <c r="N38" s="249">
        <v>109791.55431000001</v>
      </c>
      <c r="O38" s="249">
        <v>142265.63542999997</v>
      </c>
      <c r="P38" s="249">
        <v>3369742.9935179846</v>
      </c>
      <c r="Q38" s="249">
        <v>7879.4028009999456</v>
      </c>
      <c r="R38" s="249">
        <v>3377622.3963189847</v>
      </c>
      <c r="S38" s="58"/>
      <c r="T38" s="57"/>
      <c r="U38" s="57"/>
      <c r="V38" s="57"/>
    </row>
    <row r="39" spans="1:22" ht="20.100000000000001" customHeight="1">
      <c r="A39" s="180" t="s">
        <v>169</v>
      </c>
      <c r="B39" s="251">
        <v>144652.26730000001</v>
      </c>
      <c r="C39" s="252">
        <v>445905.81092999992</v>
      </c>
      <c r="D39" s="252">
        <v>107212.16309000002</v>
      </c>
      <c r="E39" s="252">
        <v>160267.60735999997</v>
      </c>
      <c r="F39" s="252">
        <v>153177.17139000006</v>
      </c>
      <c r="G39" s="252">
        <v>461861.59490999987</v>
      </c>
      <c r="H39" s="252">
        <v>235496.46528000006</v>
      </c>
      <c r="I39" s="252">
        <v>181099.65499999994</v>
      </c>
      <c r="J39" s="252">
        <v>195611.68455000003</v>
      </c>
      <c r="K39" s="251">
        <v>317853.25164596835</v>
      </c>
      <c r="L39" s="252">
        <v>592471.0920660001</v>
      </c>
      <c r="M39" s="252">
        <v>841922.70630000008</v>
      </c>
      <c r="N39" s="252">
        <v>146001.16093000001</v>
      </c>
      <c r="O39" s="252">
        <v>181745.93747</v>
      </c>
      <c r="P39" s="252">
        <v>4165278.5682219686</v>
      </c>
      <c r="Q39" s="252">
        <v>30011.104936000011</v>
      </c>
      <c r="R39" s="252">
        <v>4195289.6731579686</v>
      </c>
      <c r="S39" s="58"/>
      <c r="T39" s="57"/>
      <c r="U39" s="57"/>
      <c r="V39" s="57"/>
    </row>
    <row r="40" spans="1:22" ht="20.100000000000001" customHeight="1">
      <c r="A40" s="177" t="s">
        <v>170</v>
      </c>
      <c r="B40" s="248"/>
      <c r="C40" s="249"/>
      <c r="D40" s="249"/>
      <c r="E40" s="249"/>
      <c r="F40" s="249"/>
      <c r="G40" s="249"/>
      <c r="H40" s="249"/>
      <c r="I40" s="249"/>
      <c r="J40" s="249"/>
      <c r="K40" s="248"/>
      <c r="L40" s="249"/>
      <c r="M40" s="249"/>
      <c r="N40" s="249"/>
      <c r="O40" s="249"/>
      <c r="P40" s="249"/>
      <c r="Q40" s="249"/>
      <c r="R40" s="249"/>
      <c r="S40" s="58"/>
      <c r="T40" s="57"/>
      <c r="U40" s="57"/>
      <c r="V40" s="57"/>
    </row>
    <row r="41" spans="1:22" ht="20.100000000000001" customHeight="1">
      <c r="A41" s="177" t="s">
        <v>171</v>
      </c>
      <c r="B41" s="248"/>
      <c r="C41" s="249"/>
      <c r="D41" s="249"/>
      <c r="E41" s="249"/>
      <c r="F41" s="249"/>
      <c r="G41" s="249"/>
      <c r="H41" s="249"/>
      <c r="I41" s="249"/>
      <c r="J41" s="249"/>
      <c r="K41" s="248"/>
      <c r="L41" s="249"/>
      <c r="M41" s="249"/>
      <c r="N41" s="249"/>
      <c r="O41" s="249"/>
      <c r="P41" s="249"/>
      <c r="Q41" s="249"/>
      <c r="R41" s="249"/>
      <c r="S41" s="58"/>
      <c r="T41" s="57"/>
      <c r="U41" s="57"/>
      <c r="V41" s="57"/>
    </row>
    <row r="42" spans="1:22" ht="20.100000000000001" customHeight="1">
      <c r="A42" s="180" t="s">
        <v>172</v>
      </c>
      <c r="B42" s="251"/>
      <c r="C42" s="252"/>
      <c r="D42" s="252"/>
      <c r="E42" s="252"/>
      <c r="F42" s="252"/>
      <c r="G42" s="252"/>
      <c r="H42" s="252"/>
      <c r="I42" s="252"/>
      <c r="J42" s="252"/>
      <c r="K42" s="251"/>
      <c r="L42" s="252"/>
      <c r="M42" s="252"/>
      <c r="N42" s="252"/>
      <c r="O42" s="252"/>
      <c r="P42" s="252"/>
      <c r="Q42" s="252"/>
      <c r="R42" s="252"/>
      <c r="S42" s="58"/>
      <c r="T42" s="57"/>
      <c r="U42" s="57"/>
      <c r="V42" s="57"/>
    </row>
    <row r="43" spans="1:22" ht="20.100000000000001" customHeight="1">
      <c r="A43" s="177" t="s">
        <v>48</v>
      </c>
      <c r="B43" s="248">
        <f>SUM(B31:B33)</f>
        <v>1095787.2086399999</v>
      </c>
      <c r="C43" s="248">
        <f>SUM(C31:C33)</f>
        <v>4276585.4317600001</v>
      </c>
      <c r="D43" s="248">
        <f t="shared" ref="D43:J43" si="14">SUM(D31:D33)</f>
        <v>783845.5793300001</v>
      </c>
      <c r="E43" s="248">
        <f t="shared" si="14"/>
        <v>1320882.1233400002</v>
      </c>
      <c r="F43" s="248">
        <f t="shared" si="14"/>
        <v>1272637.0012299998</v>
      </c>
      <c r="G43" s="248">
        <f t="shared" si="14"/>
        <v>3208756.8683700003</v>
      </c>
      <c r="H43" s="248">
        <f t="shared" si="14"/>
        <v>1893727.0711699999</v>
      </c>
      <c r="I43" s="248">
        <f t="shared" si="14"/>
        <v>1420814.2402300001</v>
      </c>
      <c r="J43" s="248">
        <f t="shared" si="14"/>
        <v>1469455.3675600002</v>
      </c>
      <c r="K43" s="248">
        <f>SUM(K31:K33)</f>
        <v>3508200.3114028331</v>
      </c>
      <c r="L43" s="248">
        <f t="shared" ref="L43:R43" si="15">SUM(L31:L33)</f>
        <v>3989458.0968269994</v>
      </c>
      <c r="M43" s="248">
        <f t="shared" si="15"/>
        <v>3686568.7166400002</v>
      </c>
      <c r="N43" s="248">
        <f t="shared" si="15"/>
        <v>1293305.3837400002</v>
      </c>
      <c r="O43" s="248">
        <f t="shared" si="15"/>
        <v>1639857.9563300002</v>
      </c>
      <c r="P43" s="248">
        <f t="shared" si="15"/>
        <v>30859881.356569834</v>
      </c>
      <c r="Q43" s="248">
        <f t="shared" si="15"/>
        <v>695331.03826399986</v>
      </c>
      <c r="R43" s="248">
        <f t="shared" si="15"/>
        <v>31555212.394833833</v>
      </c>
    </row>
    <row r="44" spans="1:22" ht="20.100000000000001" customHeight="1">
      <c r="A44" s="177" t="s">
        <v>56</v>
      </c>
      <c r="B44" s="248">
        <f>SUM(B34:B36)</f>
        <v>509034.58642999997</v>
      </c>
      <c r="C44" s="248">
        <f>SUM(C34:C36)</f>
        <v>1679563.8872699998</v>
      </c>
      <c r="D44" s="248">
        <f t="shared" ref="D44:J44" si="16">SUM(D34:D36)</f>
        <v>395219.07824000006</v>
      </c>
      <c r="E44" s="248">
        <f t="shared" si="16"/>
        <v>586605.3454600001</v>
      </c>
      <c r="F44" s="248">
        <f t="shared" si="16"/>
        <v>556787.63862999994</v>
      </c>
      <c r="G44" s="248">
        <f t="shared" si="16"/>
        <v>1715567.3461399998</v>
      </c>
      <c r="H44" s="248">
        <f t="shared" si="16"/>
        <v>890781.53342999995</v>
      </c>
      <c r="I44" s="248">
        <f t="shared" si="16"/>
        <v>666978.07851000002</v>
      </c>
      <c r="J44" s="248">
        <f t="shared" si="16"/>
        <v>712068.54316999984</v>
      </c>
      <c r="K44" s="248">
        <f>SUM(K34:K36)</f>
        <v>1282025.2716619007</v>
      </c>
      <c r="L44" s="248">
        <f t="shared" ref="L44:R44" si="17">SUM(L34:L36)</f>
        <v>2216963.7464470002</v>
      </c>
      <c r="M44" s="248">
        <f t="shared" si="17"/>
        <v>2437668.3354500001</v>
      </c>
      <c r="N44" s="248">
        <f t="shared" si="17"/>
        <v>554936.24531999999</v>
      </c>
      <c r="O44" s="248">
        <f t="shared" si="17"/>
        <v>721123.79205000005</v>
      </c>
      <c r="P44" s="248">
        <f t="shared" si="17"/>
        <v>14925323.428208899</v>
      </c>
      <c r="Q44" s="248">
        <f t="shared" si="17"/>
        <v>141841.19897999984</v>
      </c>
      <c r="R44" s="248">
        <f t="shared" si="17"/>
        <v>15067164.627188899</v>
      </c>
    </row>
    <row r="45" spans="1:22" ht="20.100000000000001" customHeight="1">
      <c r="A45" s="177" t="s">
        <v>63</v>
      </c>
      <c r="B45" s="248">
        <f>SUM(B37:B39)</f>
        <v>340673.23831000004</v>
      </c>
      <c r="C45" s="248">
        <f>SUM(C37:C39)</f>
        <v>1021028.0269600002</v>
      </c>
      <c r="D45" s="248">
        <f t="shared" ref="D45:J45" si="18">SUM(D37:D39)</f>
        <v>287098.43993000005</v>
      </c>
      <c r="E45" s="248">
        <f t="shared" si="18"/>
        <v>380991.73755999992</v>
      </c>
      <c r="F45" s="248">
        <f t="shared" si="18"/>
        <v>357617.63760999998</v>
      </c>
      <c r="G45" s="248">
        <f t="shared" si="18"/>
        <v>1177805.0560899996</v>
      </c>
      <c r="H45" s="248">
        <f t="shared" si="18"/>
        <v>596128.20622000005</v>
      </c>
      <c r="I45" s="248">
        <f t="shared" si="18"/>
        <v>449498.59230000002</v>
      </c>
      <c r="J45" s="248">
        <f t="shared" si="18"/>
        <v>485869.81305</v>
      </c>
      <c r="K45" s="248">
        <f>SUM(K37:K39)</f>
        <v>705768.29206894862</v>
      </c>
      <c r="L45" s="248">
        <f t="shared" ref="L45:R45" si="19">SUM(L37:L39)</f>
        <v>1619329.9236980001</v>
      </c>
      <c r="M45" s="248">
        <f t="shared" si="19"/>
        <v>2428930.7959000003</v>
      </c>
      <c r="N45" s="248">
        <f t="shared" si="19"/>
        <v>356022.48346000002</v>
      </c>
      <c r="O45" s="248">
        <f t="shared" si="19"/>
        <v>459644.93101999996</v>
      </c>
      <c r="P45" s="248">
        <f t="shared" si="19"/>
        <v>10666407.17417695</v>
      </c>
      <c r="Q45" s="248">
        <f t="shared" si="19"/>
        <v>45470.599188999899</v>
      </c>
      <c r="R45" s="248">
        <f t="shared" si="19"/>
        <v>10711877.773365948</v>
      </c>
    </row>
    <row r="46" spans="1:22" ht="20.100000000000001" customHeight="1">
      <c r="A46" s="180" t="s">
        <v>57</v>
      </c>
      <c r="B46" s="354">
        <f>SUM(B40:B42)</f>
        <v>0</v>
      </c>
      <c r="C46" s="354">
        <f>SUM(C40:C42)</f>
        <v>0</v>
      </c>
      <c r="D46" s="354">
        <f t="shared" ref="D46:J46" si="20">SUM(D40:D42)</f>
        <v>0</v>
      </c>
      <c r="E46" s="354">
        <f t="shared" si="20"/>
        <v>0</v>
      </c>
      <c r="F46" s="354">
        <f t="shared" si="20"/>
        <v>0</v>
      </c>
      <c r="G46" s="354">
        <f t="shared" si="20"/>
        <v>0</v>
      </c>
      <c r="H46" s="354">
        <f t="shared" si="20"/>
        <v>0</v>
      </c>
      <c r="I46" s="354">
        <f t="shared" si="20"/>
        <v>0</v>
      </c>
      <c r="J46" s="354">
        <f t="shared" si="20"/>
        <v>0</v>
      </c>
      <c r="K46" s="354">
        <f>SUM(K40:K42)</f>
        <v>0</v>
      </c>
      <c r="L46" s="354">
        <f t="shared" ref="L46:R46" si="21">SUM(L40:L42)</f>
        <v>0</v>
      </c>
      <c r="M46" s="354">
        <f t="shared" si="21"/>
        <v>0</v>
      </c>
      <c r="N46" s="354">
        <f t="shared" si="21"/>
        <v>0</v>
      </c>
      <c r="O46" s="354">
        <f t="shared" si="21"/>
        <v>0</v>
      </c>
      <c r="P46" s="354">
        <f t="shared" si="21"/>
        <v>0</v>
      </c>
      <c r="Q46" s="354">
        <f t="shared" si="21"/>
        <v>0</v>
      </c>
      <c r="R46" s="354">
        <f t="shared" si="21"/>
        <v>0</v>
      </c>
    </row>
    <row r="47" spans="1:22" ht="20.100000000000001" customHeight="1">
      <c r="A47" s="177" t="s">
        <v>58</v>
      </c>
      <c r="B47" s="248">
        <f>SUM(B31:B36)</f>
        <v>1604821.7950699998</v>
      </c>
      <c r="C47" s="248">
        <f>SUM(C31:C36)</f>
        <v>5956149.3190299999</v>
      </c>
      <c r="D47" s="248">
        <f t="shared" ref="D47:J47" si="22">SUM(D31:D36)</f>
        <v>1179064.6575700003</v>
      </c>
      <c r="E47" s="248">
        <f t="shared" si="22"/>
        <v>1907487.4688000004</v>
      </c>
      <c r="F47" s="248">
        <f t="shared" si="22"/>
        <v>1829424.63986</v>
      </c>
      <c r="G47" s="248">
        <f t="shared" si="22"/>
        <v>4924324.2145100003</v>
      </c>
      <c r="H47" s="248">
        <f t="shared" si="22"/>
        <v>2784508.6045999997</v>
      </c>
      <c r="I47" s="248">
        <f t="shared" si="22"/>
        <v>2087792.31874</v>
      </c>
      <c r="J47" s="248">
        <f t="shared" si="22"/>
        <v>2181523.9107300001</v>
      </c>
      <c r="K47" s="248">
        <f>SUM(K31:K36)</f>
        <v>4790225.5830647331</v>
      </c>
      <c r="L47" s="248">
        <f t="shared" ref="L47:R47" si="23">SUM(L31:L36)</f>
        <v>6206421.8432739992</v>
      </c>
      <c r="M47" s="248">
        <f t="shared" si="23"/>
        <v>6124237.0520900013</v>
      </c>
      <c r="N47" s="248">
        <f t="shared" si="23"/>
        <v>1848241.6290600002</v>
      </c>
      <c r="O47" s="248">
        <f t="shared" si="23"/>
        <v>2360981.7483800002</v>
      </c>
      <c r="P47" s="248">
        <f t="shared" si="23"/>
        <v>45785204.784778737</v>
      </c>
      <c r="Q47" s="248">
        <f t="shared" si="23"/>
        <v>837172.23724399961</v>
      </c>
      <c r="R47" s="248">
        <f t="shared" si="23"/>
        <v>46622377.022022732</v>
      </c>
    </row>
    <row r="48" spans="1:22" ht="20.100000000000001" customHeight="1">
      <c r="A48" s="180" t="s">
        <v>59</v>
      </c>
      <c r="B48" s="354">
        <f>SUM(B37:B42)</f>
        <v>340673.23831000004</v>
      </c>
      <c r="C48" s="354">
        <f>SUM(C37:C42)</f>
        <v>1021028.0269600002</v>
      </c>
      <c r="D48" s="354">
        <f t="shared" ref="D48:J48" si="24">SUM(D37:D42)</f>
        <v>287098.43993000005</v>
      </c>
      <c r="E48" s="354">
        <f t="shared" si="24"/>
        <v>380991.73755999992</v>
      </c>
      <c r="F48" s="354">
        <f t="shared" si="24"/>
        <v>357617.63760999998</v>
      </c>
      <c r="G48" s="354">
        <f t="shared" si="24"/>
        <v>1177805.0560899996</v>
      </c>
      <c r="H48" s="354">
        <f t="shared" si="24"/>
        <v>596128.20622000005</v>
      </c>
      <c r="I48" s="354">
        <f t="shared" si="24"/>
        <v>449498.59230000002</v>
      </c>
      <c r="J48" s="354">
        <f t="shared" si="24"/>
        <v>485869.81305</v>
      </c>
      <c r="K48" s="354">
        <f>SUM(K37:K42)</f>
        <v>705768.29206894862</v>
      </c>
      <c r="L48" s="354">
        <f t="shared" ref="L48:R48" si="25">SUM(L37:L42)</f>
        <v>1619329.9236980001</v>
      </c>
      <c r="M48" s="354">
        <f t="shared" si="25"/>
        <v>2428930.7959000003</v>
      </c>
      <c r="N48" s="354">
        <f t="shared" si="25"/>
        <v>356022.48346000002</v>
      </c>
      <c r="O48" s="354">
        <f t="shared" si="25"/>
        <v>459644.93101999996</v>
      </c>
      <c r="P48" s="354">
        <f t="shared" si="25"/>
        <v>10666407.17417695</v>
      </c>
      <c r="Q48" s="354">
        <f t="shared" si="25"/>
        <v>45470.599188999899</v>
      </c>
      <c r="R48" s="354">
        <f t="shared" si="25"/>
        <v>10711877.773365948</v>
      </c>
    </row>
    <row r="49" spans="1:18" ht="20.100000000000001" customHeight="1">
      <c r="A49" s="180" t="s">
        <v>173</v>
      </c>
      <c r="B49" s="354">
        <f>SUM(B31:B42)</f>
        <v>1945495.0333799997</v>
      </c>
      <c r="C49" s="354">
        <f>SUM(C31:C42)</f>
        <v>6977177.3459900003</v>
      </c>
      <c r="D49" s="354">
        <f t="shared" ref="D49:J49" si="26">SUM(D31:D42)</f>
        <v>1466163.0975000001</v>
      </c>
      <c r="E49" s="354">
        <f t="shared" si="26"/>
        <v>2288479.2063600002</v>
      </c>
      <c r="F49" s="354">
        <f t="shared" si="26"/>
        <v>2187042.2774700001</v>
      </c>
      <c r="G49" s="354">
        <f t="shared" si="26"/>
        <v>6102129.2705999995</v>
      </c>
      <c r="H49" s="354">
        <f t="shared" si="26"/>
        <v>3380636.8108199998</v>
      </c>
      <c r="I49" s="354">
        <f t="shared" si="26"/>
        <v>2537290.9110400002</v>
      </c>
      <c r="J49" s="354">
        <f t="shared" si="26"/>
        <v>2667393.7237800001</v>
      </c>
      <c r="K49" s="354">
        <f>SUM(K31:K42)</f>
        <v>5495993.875133682</v>
      </c>
      <c r="L49" s="354">
        <f t="shared" ref="L49:R49" si="27">SUM(L31:L42)</f>
        <v>7825751.7669719988</v>
      </c>
      <c r="M49" s="354">
        <f t="shared" si="27"/>
        <v>8553167.8479900025</v>
      </c>
      <c r="N49" s="354">
        <f t="shared" si="27"/>
        <v>2204264.11252</v>
      </c>
      <c r="O49" s="354">
        <f t="shared" si="27"/>
        <v>2820626.6793999998</v>
      </c>
      <c r="P49" s="354">
        <f t="shared" si="27"/>
        <v>56451611.95895569</v>
      </c>
      <c r="Q49" s="354">
        <f t="shared" si="27"/>
        <v>882642.83643299947</v>
      </c>
      <c r="R49" s="354">
        <f t="shared" si="27"/>
        <v>57334254.795388684</v>
      </c>
    </row>
    <row r="50" spans="1:18" ht="12" customHeight="1">
      <c r="E50" s="63"/>
      <c r="F50" s="63"/>
      <c r="G50" s="63"/>
      <c r="L50" s="63"/>
      <c r="M50" s="63"/>
      <c r="N50" s="63"/>
    </row>
    <row r="51" spans="1:18" ht="12" customHeight="1">
      <c r="E51" s="63"/>
      <c r="F51" s="63"/>
      <c r="G51" s="63"/>
      <c r="L51" s="63"/>
      <c r="M51" s="63"/>
      <c r="N51" s="63"/>
    </row>
    <row r="52" spans="1:18" ht="12" customHeight="1">
      <c r="E52" s="63"/>
      <c r="F52" s="63"/>
      <c r="G52" s="63"/>
      <c r="L52" s="63"/>
      <c r="M52" s="63"/>
      <c r="N52" s="63"/>
    </row>
    <row r="53" spans="1:18" ht="12" customHeight="1">
      <c r="E53" s="63"/>
      <c r="F53" s="63"/>
      <c r="G53" s="63"/>
      <c r="L53" s="63"/>
      <c r="M53" s="63"/>
      <c r="N53" s="63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R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108" customWidth="1"/>
    <col min="2" max="6" width="4.7109375" style="108" customWidth="1"/>
    <col min="7" max="9" width="4.85546875" style="108" customWidth="1"/>
    <col min="10" max="14" width="4.7109375" style="108" customWidth="1"/>
    <col min="15" max="15" width="3.7109375" style="108" customWidth="1"/>
    <col min="16" max="19" width="4.7109375" style="108" customWidth="1"/>
    <col min="20" max="20" width="3.7109375" style="108" customWidth="1"/>
    <col min="21" max="21" width="5" style="108" customWidth="1"/>
    <col min="22" max="16384" width="9.140625" style="108"/>
  </cols>
  <sheetData>
    <row r="1" spans="1:20" ht="20.25">
      <c r="A1" s="118" t="s">
        <v>294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" customHeight="1">
      <c r="E2" s="109"/>
      <c r="F2" s="109"/>
    </row>
    <row r="3" spans="1:20" ht="15" customHeight="1">
      <c r="A3" s="523" t="s">
        <v>189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</row>
    <row r="4" spans="1:20" ht="15" customHeight="1">
      <c r="A4" s="72"/>
      <c r="C4" s="110"/>
      <c r="D4" s="110"/>
      <c r="E4" s="110"/>
      <c r="F4" s="110"/>
      <c r="G4" s="110"/>
      <c r="H4" s="61"/>
      <c r="I4" s="61"/>
    </row>
    <row r="5" spans="1:20" ht="15" customHeight="1">
      <c r="A5" s="72"/>
      <c r="C5" s="110"/>
      <c r="D5" s="110"/>
      <c r="E5" s="110"/>
      <c r="F5" s="110"/>
      <c r="G5" s="110"/>
      <c r="H5" s="61"/>
      <c r="I5" s="61"/>
    </row>
    <row r="6" spans="1:20" ht="15" customHeight="1">
      <c r="A6" s="72"/>
      <c r="B6" s="111"/>
      <c r="C6" s="111"/>
      <c r="D6" s="110"/>
      <c r="E6" s="110"/>
      <c r="F6" s="110"/>
      <c r="G6" s="111"/>
      <c r="H6" s="12"/>
      <c r="I6" s="61"/>
    </row>
    <row r="7" spans="1:20" ht="15" customHeight="1">
      <c r="A7" s="72"/>
      <c r="B7" s="111"/>
      <c r="C7" s="111"/>
      <c r="D7" s="110"/>
      <c r="E7" s="110"/>
      <c r="F7" s="110"/>
      <c r="G7" s="111"/>
      <c r="H7" s="12"/>
      <c r="I7" s="61"/>
    </row>
    <row r="8" spans="1:20" ht="15" customHeight="1">
      <c r="A8" s="72"/>
      <c r="B8" s="111"/>
      <c r="C8" s="111"/>
      <c r="D8" s="110"/>
      <c r="E8" s="110"/>
      <c r="F8" s="110"/>
      <c r="G8" s="111"/>
      <c r="H8" s="12"/>
      <c r="I8" s="61"/>
    </row>
    <row r="9" spans="1:20" ht="15" customHeight="1">
      <c r="A9" s="72"/>
      <c r="B9" s="110"/>
      <c r="C9" s="110"/>
      <c r="D9" s="110"/>
      <c r="E9" s="110"/>
      <c r="F9" s="110"/>
      <c r="G9" s="111"/>
      <c r="H9" s="12"/>
      <c r="I9" s="61"/>
    </row>
    <row r="10" spans="1:20" ht="15" customHeight="1">
      <c r="A10" s="72"/>
      <c r="B10" s="110"/>
      <c r="C10" s="110"/>
      <c r="D10" s="110"/>
      <c r="E10" s="110"/>
      <c r="F10" s="110"/>
      <c r="G10" s="110"/>
      <c r="H10" s="61"/>
      <c r="I10" s="61"/>
    </row>
    <row r="11" spans="1:20" ht="15" customHeight="1">
      <c r="A11" s="72"/>
      <c r="B11" s="110"/>
      <c r="C11" s="110"/>
      <c r="D11" s="110"/>
      <c r="E11" s="110"/>
      <c r="F11" s="110"/>
      <c r="G11" s="110"/>
      <c r="H11" s="61"/>
      <c r="I11" s="61"/>
    </row>
    <row r="12" spans="1:20" ht="15" customHeight="1">
      <c r="A12" s="72"/>
      <c r="B12" s="110"/>
      <c r="C12" s="110"/>
      <c r="D12" s="110"/>
      <c r="E12" s="110"/>
      <c r="F12" s="110"/>
      <c r="G12" s="110"/>
      <c r="H12" s="61"/>
      <c r="I12" s="61"/>
    </row>
    <row r="13" spans="1:20" ht="15" customHeight="1">
      <c r="A13" s="72"/>
      <c r="B13" s="110"/>
      <c r="C13" s="110"/>
      <c r="D13" s="110"/>
      <c r="E13" s="110"/>
      <c r="F13" s="110"/>
      <c r="G13" s="110"/>
      <c r="H13" s="61"/>
      <c r="I13" s="61"/>
    </row>
    <row r="14" spans="1:20" ht="15" customHeight="1">
      <c r="A14" s="72"/>
      <c r="B14" s="110"/>
      <c r="C14" s="110"/>
      <c r="D14" s="110"/>
      <c r="E14" s="110"/>
      <c r="F14" s="110"/>
      <c r="G14" s="110"/>
      <c r="H14" s="112"/>
      <c r="I14" s="112"/>
    </row>
    <row r="15" spans="1:20" ht="15" customHeight="1">
      <c r="A15" s="113"/>
      <c r="B15" s="113"/>
      <c r="C15" s="113"/>
      <c r="D15" s="113"/>
      <c r="E15" s="113"/>
      <c r="F15" s="113"/>
      <c r="G15" s="114"/>
      <c r="H15" s="115"/>
      <c r="I15" s="115"/>
    </row>
    <row r="16" spans="1:20" ht="15" customHeight="1">
      <c r="A16" s="113"/>
      <c r="B16" s="113"/>
      <c r="C16" s="113"/>
      <c r="D16" s="113"/>
      <c r="E16" s="113"/>
      <c r="F16" s="113"/>
    </row>
    <row r="17" spans="1:21" ht="15" customHeight="1">
      <c r="A17" s="113"/>
      <c r="B17" s="113"/>
      <c r="C17" s="113"/>
      <c r="D17" s="113"/>
      <c r="E17" s="113"/>
      <c r="F17" s="113"/>
    </row>
    <row r="18" spans="1:21" ht="15" customHeight="1">
      <c r="A18" s="113"/>
      <c r="B18" s="113"/>
      <c r="C18" s="113"/>
      <c r="D18" s="113"/>
      <c r="E18" s="113"/>
      <c r="F18" s="113"/>
    </row>
    <row r="19" spans="1:21" ht="15" customHeight="1">
      <c r="A19" s="113"/>
      <c r="B19" s="113"/>
      <c r="C19" s="113"/>
      <c r="D19" s="113"/>
      <c r="E19" s="113"/>
      <c r="F19" s="113"/>
    </row>
    <row r="20" spans="1:21" ht="15" customHeight="1">
      <c r="A20" s="113"/>
      <c r="B20" s="113"/>
      <c r="C20" s="113"/>
      <c r="D20" s="113"/>
      <c r="E20" s="113"/>
      <c r="F20" s="113"/>
    </row>
    <row r="21" spans="1:21" ht="12.95" customHeight="1">
      <c r="B21" s="116"/>
      <c r="C21" s="116"/>
      <c r="D21" s="116"/>
      <c r="E21" s="113"/>
      <c r="F21" s="114"/>
      <c r="G21" s="114"/>
      <c r="H21" s="114"/>
    </row>
    <row r="22" spans="1:21" ht="12.95" customHeight="1">
      <c r="B22" s="116"/>
      <c r="C22" s="116"/>
      <c r="D22" s="116"/>
      <c r="G22" s="524"/>
      <c r="H22" s="524"/>
      <c r="I22" s="524"/>
      <c r="K22" s="524"/>
      <c r="L22" s="524"/>
      <c r="M22" s="524"/>
      <c r="N22" s="524"/>
      <c r="P22" s="524"/>
      <c r="Q22" s="524"/>
      <c r="R22" s="524"/>
      <c r="S22" s="524"/>
      <c r="T22" s="524"/>
      <c r="U22" s="524"/>
    </row>
    <row r="23" spans="1:21" ht="12.95" customHeight="1">
      <c r="B23" s="116"/>
      <c r="C23" s="116"/>
      <c r="D23" s="116"/>
      <c r="G23" s="524"/>
      <c r="H23" s="524"/>
      <c r="I23" s="524"/>
      <c r="K23" s="525"/>
      <c r="L23" s="525"/>
      <c r="M23" s="525"/>
      <c r="N23" s="525"/>
      <c r="P23" s="524"/>
      <c r="Q23" s="524"/>
      <c r="R23" s="524"/>
      <c r="S23" s="524"/>
      <c r="T23" s="524"/>
      <c r="U23" s="524"/>
    </row>
    <row r="24" spans="1:21" ht="12.95" customHeight="1">
      <c r="B24" s="116"/>
      <c r="C24" s="116"/>
      <c r="D24" s="116"/>
      <c r="G24" s="524"/>
      <c r="H24" s="524"/>
      <c r="I24" s="524"/>
      <c r="K24" s="525"/>
      <c r="L24" s="525"/>
      <c r="M24" s="525"/>
      <c r="N24" s="525"/>
      <c r="P24" s="525"/>
      <c r="Q24" s="525"/>
      <c r="R24" s="525"/>
      <c r="S24" s="525"/>
      <c r="T24" s="525"/>
      <c r="U24" s="525"/>
    </row>
    <row r="25" spans="1:21" ht="12" customHeight="1">
      <c r="A25" s="113"/>
      <c r="B25" s="113"/>
      <c r="C25" s="113"/>
      <c r="D25" s="113"/>
      <c r="E25" s="113"/>
      <c r="F25" s="113"/>
      <c r="H25" s="117"/>
      <c r="I25" s="117"/>
      <c r="P25" s="525"/>
      <c r="Q25" s="525"/>
      <c r="R25" s="525"/>
      <c r="S25" s="525"/>
      <c r="T25" s="525"/>
      <c r="U25" s="525"/>
    </row>
    <row r="26" spans="1:21" ht="15" customHeight="1"/>
    <row r="27" spans="1:21" ht="15" customHeight="1"/>
    <row r="28" spans="1:21" ht="15" customHeight="1"/>
    <row r="29" spans="1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CD3B-C327-4840-8DA5-C5AE8410C6E1}">
  <dimension ref="A25:F50"/>
  <sheetViews>
    <sheetView showGridLines="0" zoomScaleNormal="100" workbookViewId="0">
      <selection activeCell="C1" sqref="C1"/>
    </sheetView>
  </sheetViews>
  <sheetFormatPr defaultRowHeight="12.75"/>
  <cols>
    <col min="1" max="16384" width="9.140625" style="527"/>
  </cols>
  <sheetData>
    <row r="25" spans="6:6">
      <c r="F25" s="526"/>
    </row>
    <row r="26" spans="6:6">
      <c r="F26" s="526"/>
    </row>
    <row r="27" spans="6:6">
      <c r="F27" s="526"/>
    </row>
    <row r="28" spans="6:6">
      <c r="F28" s="526"/>
    </row>
    <row r="47" spans="1:3" ht="15">
      <c r="A47" s="528" t="s">
        <v>319</v>
      </c>
    </row>
    <row r="48" spans="1:3" ht="14.25">
      <c r="A48" s="529" t="s">
        <v>320</v>
      </c>
      <c r="B48" s="530"/>
      <c r="C48" s="530"/>
    </row>
    <row r="50" spans="1:1" ht="14.25">
      <c r="A50" s="53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opLeftCell="A22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4" customWidth="1"/>
    <col min="3" max="3" width="6.5703125" style="22" customWidth="1"/>
    <col min="4" max="4" width="11.7109375" style="22" customWidth="1"/>
    <col min="5" max="6" width="9.140625" style="22"/>
    <col min="7" max="7" width="11.7109375" style="22" customWidth="1"/>
    <col min="8" max="16384" width="9.140625" style="22"/>
  </cols>
  <sheetData>
    <row r="1" spans="1:2" ht="20.25">
      <c r="A1" s="54" t="s">
        <v>289</v>
      </c>
      <c r="B1" s="21"/>
    </row>
    <row r="2" spans="1:2" ht="6" customHeight="1">
      <c r="B2" s="21"/>
    </row>
    <row r="3" spans="1:2" ht="39.950000000000003" customHeight="1">
      <c r="A3" s="13" t="s">
        <v>243</v>
      </c>
      <c r="B3" s="14" t="s">
        <v>158</v>
      </c>
    </row>
    <row r="4" spans="1:2" ht="24.95" customHeight="1">
      <c r="A4" s="15" t="s">
        <v>93</v>
      </c>
      <c r="B4" s="16" t="s">
        <v>98</v>
      </c>
    </row>
    <row r="5" spans="1:2" ht="24.95" customHeight="1">
      <c r="A5" s="15" t="s">
        <v>99</v>
      </c>
      <c r="B5" s="17" t="s">
        <v>100</v>
      </c>
    </row>
    <row r="6" spans="1:2" ht="24.95" customHeight="1">
      <c r="A6" s="15" t="s">
        <v>7</v>
      </c>
      <c r="B6" s="16" t="s">
        <v>101</v>
      </c>
    </row>
    <row r="7" spans="1:2" ht="24.95" customHeight="1">
      <c r="A7" s="15" t="s">
        <v>102</v>
      </c>
      <c r="B7" s="16" t="s">
        <v>103</v>
      </c>
    </row>
    <row r="8" spans="1:2" ht="24.95" customHeight="1">
      <c r="A8" s="15" t="s">
        <v>104</v>
      </c>
      <c r="B8" s="16" t="s">
        <v>105</v>
      </c>
    </row>
    <row r="9" spans="1:2" ht="24.95" customHeight="1">
      <c r="A9" s="15" t="s">
        <v>214</v>
      </c>
      <c r="B9" s="16" t="s">
        <v>213</v>
      </c>
    </row>
    <row r="10" spans="1:2" ht="24.95" customHeight="1">
      <c r="A10" s="15" t="s">
        <v>87</v>
      </c>
      <c r="B10" s="18" t="s">
        <v>206</v>
      </c>
    </row>
    <row r="11" spans="1:2" ht="24.95" customHeight="1">
      <c r="A11" s="15" t="s">
        <v>106</v>
      </c>
      <c r="B11" s="16" t="s">
        <v>107</v>
      </c>
    </row>
    <row r="12" spans="1:2" ht="24.95" customHeight="1">
      <c r="A12" s="15" t="s">
        <v>108</v>
      </c>
      <c r="B12" s="16" t="s">
        <v>109</v>
      </c>
    </row>
    <row r="13" spans="1:2" ht="24.95" customHeight="1">
      <c r="A13" s="15" t="s">
        <v>110</v>
      </c>
      <c r="B13" s="16" t="s">
        <v>111</v>
      </c>
    </row>
    <row r="14" spans="1:2" ht="24.95" customHeight="1">
      <c r="A14" s="15" t="s">
        <v>216</v>
      </c>
      <c r="B14" s="16" t="s">
        <v>217</v>
      </c>
    </row>
    <row r="15" spans="1:2" ht="24.95" customHeight="1">
      <c r="A15" s="15" t="s">
        <v>6</v>
      </c>
      <c r="B15" s="16" t="s">
        <v>112</v>
      </c>
    </row>
    <row r="16" spans="1:2" ht="24.95" customHeight="1">
      <c r="A16" s="15" t="s">
        <v>65</v>
      </c>
      <c r="B16" s="16" t="s">
        <v>207</v>
      </c>
    </row>
    <row r="17" spans="1:2" ht="24.95" customHeight="1">
      <c r="A17" s="15" t="s">
        <v>113</v>
      </c>
      <c r="B17" s="16" t="s">
        <v>208</v>
      </c>
    </row>
    <row r="18" spans="1:2" ht="24.95" customHeight="1">
      <c r="A18" s="15" t="s">
        <v>114</v>
      </c>
      <c r="B18" s="19" t="s">
        <v>115</v>
      </c>
    </row>
    <row r="19" spans="1:2" ht="24.95" customHeight="1">
      <c r="A19" s="13" t="s">
        <v>116</v>
      </c>
      <c r="B19" s="19" t="s">
        <v>117</v>
      </c>
    </row>
    <row r="20" spans="1:2" ht="39.950000000000003" customHeight="1">
      <c r="A20" s="15" t="s">
        <v>118</v>
      </c>
      <c r="B20" s="19" t="s">
        <v>119</v>
      </c>
    </row>
    <row r="21" spans="1:2" ht="24.75" customHeight="1">
      <c r="A21" s="15" t="s">
        <v>32</v>
      </c>
      <c r="B21" s="20" t="s">
        <v>120</v>
      </c>
    </row>
    <row r="22" spans="1:2" ht="24.95" customHeight="1">
      <c r="A22" s="15" t="s">
        <v>121</v>
      </c>
      <c r="B22" s="19" t="s">
        <v>122</v>
      </c>
    </row>
    <row r="23" spans="1:2" ht="24.95" customHeight="1">
      <c r="A23" s="15" t="s">
        <v>123</v>
      </c>
      <c r="B23" s="16" t="s">
        <v>124</v>
      </c>
    </row>
    <row r="24" spans="1:2" ht="24.95" customHeight="1">
      <c r="A24" s="15" t="s">
        <v>151</v>
      </c>
      <c r="B24" s="16" t="s">
        <v>152</v>
      </c>
    </row>
    <row r="25" spans="1:2" ht="24.95" customHeight="1">
      <c r="A25" s="15" t="s">
        <v>125</v>
      </c>
      <c r="B25" s="16" t="s">
        <v>126</v>
      </c>
    </row>
    <row r="26" spans="1:2" ht="39.950000000000003" customHeight="1">
      <c r="A26" s="15" t="s">
        <v>20</v>
      </c>
      <c r="B26" s="16" t="s">
        <v>209</v>
      </c>
    </row>
    <row r="27" spans="1:2" ht="24.95" customHeight="1">
      <c r="A27" s="15" t="s">
        <v>127</v>
      </c>
      <c r="B27" s="16" t="s">
        <v>128</v>
      </c>
    </row>
    <row r="28" spans="1:2" ht="24.95" customHeight="1">
      <c r="A28" s="15" t="s">
        <v>129</v>
      </c>
      <c r="B28" s="16" t="s">
        <v>130</v>
      </c>
    </row>
    <row r="29" spans="1:2" ht="24.95" customHeight="1">
      <c r="A29" s="15" t="s">
        <v>131</v>
      </c>
      <c r="B29" s="16" t="s">
        <v>132</v>
      </c>
    </row>
    <row r="30" spans="1:2" ht="39.950000000000003" customHeight="1">
      <c r="A30" s="15" t="s">
        <v>133</v>
      </c>
      <c r="B30" s="19" t="s">
        <v>149</v>
      </c>
    </row>
    <row r="31" spans="1:2" ht="24.95" customHeight="1">
      <c r="A31" s="15" t="s">
        <v>134</v>
      </c>
      <c r="B31" s="16" t="s">
        <v>135</v>
      </c>
    </row>
    <row r="32" spans="1:2" ht="24.95" customHeight="1">
      <c r="A32" s="15" t="s">
        <v>136</v>
      </c>
      <c r="B32" s="16" t="s">
        <v>137</v>
      </c>
    </row>
    <row r="33" spans="1:2" ht="24.95" customHeight="1">
      <c r="A33" s="15" t="s">
        <v>204</v>
      </c>
      <c r="B33" s="16" t="s">
        <v>210</v>
      </c>
    </row>
    <row r="34" spans="1:2" ht="24.95" customHeight="1">
      <c r="A34" s="15" t="s">
        <v>138</v>
      </c>
      <c r="B34" s="19" t="s">
        <v>139</v>
      </c>
    </row>
    <row r="35" spans="1:2" ht="24.95" customHeight="1">
      <c r="A35" s="15" t="s">
        <v>5</v>
      </c>
      <c r="B35" s="16" t="s">
        <v>140</v>
      </c>
    </row>
    <row r="36" spans="1:2" ht="24.95" customHeight="1">
      <c r="A36" s="15" t="s">
        <v>4</v>
      </c>
      <c r="B36" s="16" t="s">
        <v>141</v>
      </c>
    </row>
    <row r="37" spans="1:2" ht="24.95" customHeight="1">
      <c r="A37" s="15" t="s">
        <v>142</v>
      </c>
      <c r="B37" s="16" t="s">
        <v>143</v>
      </c>
    </row>
    <row r="38" spans="1:2" ht="24.95" customHeight="1">
      <c r="A38" s="15" t="s">
        <v>31</v>
      </c>
      <c r="B38" s="16" t="s">
        <v>144</v>
      </c>
    </row>
    <row r="39" spans="1:2" ht="24.95" customHeight="1">
      <c r="A39" s="15" t="s">
        <v>145</v>
      </c>
      <c r="B39" s="19" t="s">
        <v>146</v>
      </c>
    </row>
    <row r="40" spans="1:2" ht="24.95" customHeight="1">
      <c r="A40" s="15" t="s">
        <v>147</v>
      </c>
      <c r="B40" s="16" t="s">
        <v>148</v>
      </c>
    </row>
    <row r="41" spans="1:2" ht="24.95" customHeight="1">
      <c r="A41" s="23"/>
      <c r="B41" s="19"/>
    </row>
    <row r="42" spans="1:2" ht="24.95" customHeight="1">
      <c r="A42" s="23"/>
      <c r="B42" s="16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4" zoomScaleNormal="100" zoomScaleSheetLayoutView="100" workbookViewId="0">
      <selection activeCell="C1" sqref="C1"/>
    </sheetView>
  </sheetViews>
  <sheetFormatPr defaultColWidth="9.140625" defaultRowHeight="14.25"/>
  <cols>
    <col min="1" max="1" width="14.7109375" style="25" customWidth="1"/>
    <col min="2" max="3" width="10.7109375" style="25" customWidth="1"/>
    <col min="4" max="4" width="31.5703125" style="25" customWidth="1"/>
    <col min="5" max="5" width="8" style="25" customWidth="1"/>
    <col min="6" max="6" width="7.28515625" style="25" customWidth="1"/>
    <col min="7" max="7" width="1.7109375" style="25" customWidth="1"/>
    <col min="8" max="8" width="9" style="25" customWidth="1"/>
    <col min="9" max="9" width="5.7109375" style="25" customWidth="1"/>
    <col min="10" max="10" width="9.140625" style="25" customWidth="1"/>
    <col min="11" max="16384" width="9.140625" style="25"/>
  </cols>
  <sheetData>
    <row r="1" spans="1:10" ht="20.25">
      <c r="A1" s="45" t="str">
        <f>"2 STRUČNÝ PŘEHLED ZA "&amp;UPPER('3.1'!G5)&amp;" "&amp;'3.1'!A4</f>
        <v>2 STRUČNÝ PŘEHLED ZA III. ČTVRTLETÍ 2022</v>
      </c>
      <c r="C1" s="26"/>
      <c r="D1" s="26"/>
    </row>
    <row r="2" spans="1:10" s="28" customFormat="1" ht="6" customHeight="1">
      <c r="A2" s="27"/>
      <c r="B2" s="27"/>
      <c r="C2" s="27"/>
      <c r="D2" s="27"/>
    </row>
    <row r="3" spans="1:10" ht="15" customHeight="1">
      <c r="A3" s="413" t="s">
        <v>218</v>
      </c>
      <c r="B3" s="413"/>
      <c r="C3" s="413"/>
      <c r="D3" s="413"/>
      <c r="E3" s="413"/>
      <c r="F3" s="413"/>
      <c r="G3" s="413"/>
      <c r="H3" s="413"/>
      <c r="I3" s="413"/>
    </row>
    <row r="4" spans="1:10" ht="15" customHeight="1">
      <c r="A4" s="413"/>
      <c r="B4" s="413"/>
      <c r="C4" s="413"/>
      <c r="D4" s="413"/>
      <c r="E4" s="413"/>
      <c r="F4" s="413"/>
      <c r="G4" s="413"/>
      <c r="H4" s="413"/>
      <c r="I4" s="413"/>
    </row>
    <row r="5" spans="1:10" ht="15" customHeight="1">
      <c r="A5" s="413"/>
      <c r="B5" s="413"/>
      <c r="C5" s="413"/>
      <c r="D5" s="413"/>
      <c r="E5" s="413"/>
      <c r="F5" s="413"/>
      <c r="G5" s="413"/>
      <c r="H5" s="413"/>
      <c r="I5" s="413"/>
    </row>
    <row r="6" spans="1:10" ht="15" customHeight="1">
      <c r="A6" s="413"/>
      <c r="B6" s="413"/>
      <c r="C6" s="413"/>
      <c r="D6" s="413"/>
      <c r="E6" s="413"/>
      <c r="F6" s="413"/>
      <c r="G6" s="413"/>
      <c r="H6" s="413"/>
      <c r="I6" s="413"/>
    </row>
    <row r="7" spans="1:10" ht="30" customHeight="1">
      <c r="A7" s="414" t="s">
        <v>254</v>
      </c>
      <c r="B7" s="414"/>
      <c r="C7" s="414"/>
      <c r="D7" s="414"/>
      <c r="E7" s="414"/>
      <c r="F7" s="414"/>
      <c r="G7" s="414"/>
      <c r="H7" s="414"/>
      <c r="I7" s="414"/>
      <c r="J7" s="29"/>
    </row>
    <row r="8" spans="1:10" ht="9.9499999999999993" customHeight="1">
      <c r="A8" s="29"/>
      <c r="B8" s="29"/>
      <c r="C8" s="30"/>
      <c r="D8" s="30"/>
    </row>
    <row r="9" spans="1:10" ht="15.95" customHeight="1">
      <c r="A9" s="415" t="s">
        <v>219</v>
      </c>
      <c r="B9" s="415"/>
      <c r="C9" s="415"/>
      <c r="D9" s="415"/>
      <c r="E9" s="31">
        <f>'3.1'!G8/1000</f>
        <v>3801.1722065766185</v>
      </c>
      <c r="F9" s="32" t="s">
        <v>261</v>
      </c>
      <c r="G9" s="32" t="s">
        <v>220</v>
      </c>
      <c r="H9" s="31">
        <f>'3.1'!K8/1000</f>
        <v>41071.916774470003</v>
      </c>
      <c r="I9" s="32" t="s">
        <v>221</v>
      </c>
    </row>
    <row r="10" spans="1:10" ht="15.95" customHeight="1">
      <c r="A10" s="412" t="s">
        <v>222</v>
      </c>
      <c r="B10" s="412"/>
      <c r="C10" s="412"/>
      <c r="D10" s="412"/>
      <c r="E10" s="31">
        <f>'3.1'!G11/1000</f>
        <v>2154.8762375861361</v>
      </c>
      <c r="F10" s="32" t="s">
        <v>261</v>
      </c>
      <c r="G10" s="32" t="s">
        <v>220</v>
      </c>
      <c r="H10" s="31">
        <f>'3.1'!K11/1000</f>
        <v>23196.335038282497</v>
      </c>
      <c r="I10" s="32" t="s">
        <v>221</v>
      </c>
    </row>
    <row r="11" spans="1:10" ht="9.9499999999999993" customHeight="1">
      <c r="A11" s="33"/>
      <c r="B11" s="33"/>
      <c r="C11" s="34"/>
      <c r="D11" s="34"/>
      <c r="E11" s="35"/>
    </row>
    <row r="12" spans="1:10" ht="15.95" customHeight="1">
      <c r="A12" s="412" t="s">
        <v>223</v>
      </c>
      <c r="B12" s="412"/>
      <c r="C12" s="412"/>
      <c r="D12" s="412"/>
      <c r="E12" s="31">
        <f>'3.1'!G18/1000</f>
        <v>6.5272489999999994</v>
      </c>
      <c r="F12" s="32" t="s">
        <v>261</v>
      </c>
      <c r="G12" s="32" t="s">
        <v>220</v>
      </c>
      <c r="H12" s="31">
        <f>'3.1'!K18/1000</f>
        <v>70.324771999999996</v>
      </c>
      <c r="I12" s="32" t="s">
        <v>221</v>
      </c>
    </row>
    <row r="13" spans="1:10" ht="15.95" customHeight="1">
      <c r="A13" s="412" t="s">
        <v>224</v>
      </c>
      <c r="B13" s="412"/>
      <c r="C13" s="412"/>
      <c r="D13" s="412"/>
      <c r="E13" s="31">
        <f>'3.1'!G22/1000</f>
        <v>707.68571799999995</v>
      </c>
      <c r="F13" s="32" t="s">
        <v>261</v>
      </c>
      <c r="G13" s="32" t="s">
        <v>220</v>
      </c>
      <c r="H13" s="31">
        <f>'3.1'!K22/1000</f>
        <v>7665.7754164440012</v>
      </c>
      <c r="I13" s="32" t="s">
        <v>221</v>
      </c>
    </row>
    <row r="14" spans="1:10" ht="15.95" customHeight="1">
      <c r="A14" s="412" t="s">
        <v>225</v>
      </c>
      <c r="B14" s="412"/>
      <c r="C14" s="412"/>
      <c r="D14" s="412"/>
      <c r="E14" s="31">
        <f>'3.1'!G27/1000</f>
        <v>3010.3490327324912</v>
      </c>
      <c r="F14" s="32" t="s">
        <v>261</v>
      </c>
      <c r="G14" s="32" t="s">
        <v>220</v>
      </c>
      <c r="H14" s="31">
        <f>'3.1'!K27/1000</f>
        <v>32390.287802288611</v>
      </c>
      <c r="I14" s="32" t="s">
        <v>221</v>
      </c>
    </row>
    <row r="15" spans="1:10" ht="9.9499999999999993" customHeight="1">
      <c r="A15" s="33"/>
      <c r="B15" s="33"/>
      <c r="C15" s="34"/>
      <c r="D15" s="34"/>
      <c r="E15" s="35"/>
    </row>
    <row r="16" spans="1:10" ht="15.95" customHeight="1">
      <c r="A16" s="412" t="s">
        <v>226</v>
      </c>
      <c r="B16" s="412"/>
      <c r="C16" s="412"/>
      <c r="D16" s="412"/>
      <c r="E16" s="31">
        <f>'3.1'!G36/1000</f>
        <v>36.901319000000001</v>
      </c>
      <c r="F16" s="32" t="s">
        <v>261</v>
      </c>
      <c r="G16" s="32" t="s">
        <v>220</v>
      </c>
      <c r="H16" s="31">
        <f>'3.1'!K36/1000</f>
        <v>400.25488574149995</v>
      </c>
      <c r="I16" s="32" t="s">
        <v>221</v>
      </c>
    </row>
    <row r="17" spans="1:9" ht="30" customHeight="1">
      <c r="A17" s="414" t="s">
        <v>255</v>
      </c>
      <c r="B17" s="414"/>
      <c r="C17" s="414"/>
      <c r="D17" s="414"/>
      <c r="E17" s="414"/>
      <c r="F17" s="414"/>
      <c r="G17" s="414"/>
      <c r="H17" s="414"/>
      <c r="I17" s="414"/>
    </row>
    <row r="18" spans="1:9" ht="9.9499999999999993" customHeight="1">
      <c r="A18" s="29"/>
      <c r="B18" s="29"/>
      <c r="C18" s="30"/>
      <c r="D18" s="30"/>
    </row>
    <row r="19" spans="1:9" ht="15.95" customHeight="1">
      <c r="A19" s="415" t="s">
        <v>227</v>
      </c>
      <c r="B19" s="415"/>
      <c r="C19" s="415"/>
      <c r="D19" s="415"/>
      <c r="E19" s="31">
        <f>'4.1'!B21</f>
        <v>983.03129823319637</v>
      </c>
      <c r="F19" s="32" t="s">
        <v>261</v>
      </c>
      <c r="G19" s="32" t="s">
        <v>220</v>
      </c>
      <c r="H19" s="31">
        <f>'4.1'!I21</f>
        <v>10711.877783469001</v>
      </c>
      <c r="I19" s="32" t="s">
        <v>221</v>
      </c>
    </row>
    <row r="20" spans="1:9" ht="15.95" customHeight="1">
      <c r="A20" s="412" t="s">
        <v>228</v>
      </c>
      <c r="B20" s="412"/>
      <c r="C20" s="412"/>
      <c r="D20" s="412"/>
      <c r="E20" s="36">
        <f>'4.1'!D21*100</f>
        <v>-16.328668853195914</v>
      </c>
      <c r="F20" s="32" t="s">
        <v>229</v>
      </c>
      <c r="G20" s="32"/>
      <c r="H20" s="31"/>
      <c r="I20" s="32"/>
    </row>
    <row r="21" spans="1:9" ht="9.9499999999999993" customHeight="1">
      <c r="A21" s="37"/>
      <c r="B21" s="37"/>
      <c r="C21" s="37"/>
      <c r="D21" s="37"/>
      <c r="E21" s="36"/>
      <c r="F21" s="32"/>
      <c r="G21" s="32"/>
      <c r="H21" s="31"/>
      <c r="I21" s="32"/>
    </row>
    <row r="22" spans="1:9" ht="15.95" customHeight="1">
      <c r="A22" s="412" t="s">
        <v>230</v>
      </c>
      <c r="B22" s="412"/>
      <c r="C22" s="412"/>
      <c r="D22" s="412"/>
      <c r="E22" s="31">
        <f>'4.1'!E21</f>
        <v>971.2227116645447</v>
      </c>
      <c r="F22" s="32" t="s">
        <v>261</v>
      </c>
      <c r="G22" s="32" t="s">
        <v>220</v>
      </c>
      <c r="H22" s="31">
        <f>'4.1'!K21</f>
        <v>10582.073546856333</v>
      </c>
      <c r="I22" s="32" t="s">
        <v>221</v>
      </c>
    </row>
    <row r="23" spans="1:9" ht="15.95" customHeight="1">
      <c r="A23" s="412" t="s">
        <v>231</v>
      </c>
      <c r="B23" s="412"/>
      <c r="C23" s="412"/>
      <c r="D23" s="412"/>
      <c r="E23" s="36">
        <f>'4.1'!G21*100</f>
        <v>-18.661869182500983</v>
      </c>
      <c r="F23" s="32" t="s">
        <v>229</v>
      </c>
    </row>
    <row r="24" spans="1:9" ht="9.9499999999999993" customHeight="1">
      <c r="A24" s="37"/>
      <c r="B24" s="37"/>
      <c r="C24" s="37"/>
      <c r="D24" s="37"/>
      <c r="E24" s="36"/>
      <c r="F24" s="32"/>
      <c r="G24" s="32"/>
      <c r="H24" s="31"/>
      <c r="I24" s="32"/>
    </row>
    <row r="25" spans="1:9" ht="15.95" customHeight="1">
      <c r="A25" s="412" t="s">
        <v>232</v>
      </c>
      <c r="B25" s="412"/>
      <c r="C25" s="412"/>
      <c r="D25" s="412"/>
      <c r="E25" s="36">
        <f>'4.1'!N21</f>
        <v>16.798494623655913</v>
      </c>
      <c r="F25" s="32" t="s">
        <v>233</v>
      </c>
      <c r="G25" s="32"/>
      <c r="H25" s="31"/>
      <c r="I25" s="32"/>
    </row>
    <row r="26" spans="1:9" ht="15.95" customHeight="1">
      <c r="A26" s="412" t="s">
        <v>234</v>
      </c>
      <c r="B26" s="412"/>
      <c r="C26" s="412"/>
      <c r="D26" s="412"/>
      <c r="E26" s="36">
        <f>'4.1'!Q21</f>
        <v>16.621756272401431</v>
      </c>
      <c r="F26" s="32" t="s">
        <v>233</v>
      </c>
      <c r="G26" s="32"/>
      <c r="H26" s="31"/>
      <c r="I26" s="32"/>
    </row>
    <row r="27" spans="1:9" ht="15.95" customHeight="1">
      <c r="A27" s="412" t="s">
        <v>235</v>
      </c>
      <c r="B27" s="412"/>
      <c r="C27" s="412"/>
      <c r="D27" s="412"/>
      <c r="E27" s="36">
        <f>'4.1'!R21</f>
        <v>0.17673835125448178</v>
      </c>
      <c r="F27" s="32" t="s">
        <v>233</v>
      </c>
      <c r="G27" s="32"/>
      <c r="H27" s="31"/>
      <c r="I27" s="32"/>
    </row>
    <row r="28" spans="1:9" ht="9.9499999999999993" customHeight="1">
      <c r="A28" s="37"/>
      <c r="B28" s="37"/>
      <c r="C28" s="37"/>
      <c r="D28" s="37"/>
      <c r="E28" s="31"/>
      <c r="F28" s="32"/>
      <c r="G28" s="32"/>
      <c r="H28" s="31"/>
      <c r="I28" s="32"/>
    </row>
    <row r="29" spans="1:9" ht="15.95" customHeight="1">
      <c r="A29" s="412" t="s">
        <v>236</v>
      </c>
      <c r="B29" s="412"/>
      <c r="C29" s="412"/>
      <c r="D29" s="412"/>
      <c r="E29" s="38">
        <f>MAX('4.3'!B38,'4.3'!E38,'4.3'!H38)/1000</f>
        <v>18.335702206453949</v>
      </c>
      <c r="F29" s="32" t="s">
        <v>261</v>
      </c>
      <c r="G29" s="32" t="s">
        <v>220</v>
      </c>
      <c r="H29" s="38">
        <f>MAX('4.3'!C38,'4.3'!F38,'4.3'!I38)/1000</f>
        <v>200.79963426853331</v>
      </c>
      <c r="I29" s="32" t="s">
        <v>221</v>
      </c>
    </row>
    <row r="30" spans="1:9" ht="15.95" customHeight="1">
      <c r="A30" s="412" t="s">
        <v>237</v>
      </c>
      <c r="B30" s="412"/>
      <c r="C30" s="412"/>
      <c r="D30" s="412"/>
      <c r="E30" s="38">
        <f>MIN('4.3'!B39,'4.3'!E39,'4.3'!H39)/1000</f>
        <v>7.0903694354779025</v>
      </c>
      <c r="F30" s="32" t="s">
        <v>261</v>
      </c>
      <c r="G30" s="32" t="s">
        <v>220</v>
      </c>
      <c r="H30" s="38">
        <f>MIN('4.3'!C39,'4.3'!F39,'4.3'!I39)/1000</f>
        <v>77.102303815870968</v>
      </c>
      <c r="I30" s="32" t="s">
        <v>221</v>
      </c>
    </row>
    <row r="31" spans="1:9" ht="30" customHeight="1">
      <c r="A31" s="417" t="s">
        <v>256</v>
      </c>
      <c r="B31" s="417"/>
      <c r="C31" s="417"/>
      <c r="D31" s="417"/>
      <c r="E31" s="417"/>
      <c r="F31" s="417"/>
      <c r="G31" s="417"/>
      <c r="H31" s="417"/>
      <c r="I31" s="417"/>
    </row>
    <row r="32" spans="1:9" ht="9.9499999999999993" customHeight="1"/>
    <row r="33" spans="1:9" ht="15.95" customHeight="1">
      <c r="A33" s="415" t="s">
        <v>238</v>
      </c>
      <c r="B33" s="415"/>
      <c r="C33" s="415"/>
      <c r="D33" s="415"/>
      <c r="E33" s="38">
        <f>'5.9'!E7*100</f>
        <v>6.8354555254715095</v>
      </c>
      <c r="F33" s="32" t="s">
        <v>229</v>
      </c>
      <c r="H33" s="38">
        <f>'5.9'!F7*100</f>
        <v>-6.2632026148515205</v>
      </c>
      <c r="I33" s="32" t="s">
        <v>229</v>
      </c>
    </row>
    <row r="34" spans="1:9" ht="15.95" customHeight="1">
      <c r="A34" s="412" t="s">
        <v>239</v>
      </c>
      <c r="B34" s="412"/>
      <c r="C34" s="412"/>
      <c r="D34" s="412"/>
      <c r="E34" s="38">
        <f>'5.9'!E8*100</f>
        <v>78.957641493215661</v>
      </c>
      <c r="F34" s="32" t="s">
        <v>229</v>
      </c>
      <c r="H34" s="38">
        <f>'5.9'!F8*100</f>
        <v>-20.759983011548446</v>
      </c>
      <c r="I34" s="32" t="s">
        <v>229</v>
      </c>
    </row>
    <row r="35" spans="1:9" ht="15.95" customHeight="1">
      <c r="A35" s="412" t="s">
        <v>240</v>
      </c>
      <c r="B35" s="412"/>
      <c r="C35" s="412"/>
      <c r="D35" s="412"/>
      <c r="E35" s="38">
        <f>'5.9'!E9*100</f>
        <v>3.6658014385656426</v>
      </c>
      <c r="F35" s="32" t="s">
        <v>229</v>
      </c>
      <c r="H35" s="38">
        <f>'5.9'!F9*100</f>
        <v>-8.6259230319774787</v>
      </c>
      <c r="I35" s="32" t="s">
        <v>229</v>
      </c>
    </row>
    <row r="36" spans="1:9" ht="15.95" customHeight="1">
      <c r="A36" s="412" t="s">
        <v>241</v>
      </c>
      <c r="B36" s="412"/>
      <c r="C36" s="412"/>
      <c r="D36" s="412"/>
      <c r="E36" s="38">
        <f>'5.9'!E10*100</f>
        <v>10.541101542747185</v>
      </c>
      <c r="F36" s="32" t="s">
        <v>229</v>
      </c>
      <c r="H36" s="38">
        <f>'5.9'!F10*100</f>
        <v>23.036030275219854</v>
      </c>
      <c r="I36" s="32" t="s">
        <v>229</v>
      </c>
    </row>
    <row r="37" spans="1:9" ht="15" customHeight="1">
      <c r="A37" s="37"/>
      <c r="B37" s="37"/>
      <c r="C37" s="37"/>
      <c r="D37" s="37"/>
      <c r="E37" s="38"/>
      <c r="F37" s="32"/>
      <c r="H37" s="38"/>
      <c r="I37" s="32"/>
    </row>
    <row r="38" spans="1:9" ht="15.95" customHeight="1">
      <c r="A38" s="412" t="s">
        <v>242</v>
      </c>
      <c r="B38" s="412"/>
      <c r="C38" s="412"/>
      <c r="D38" s="412"/>
      <c r="E38" s="416">
        <f>'5.1'!D35</f>
        <v>2790896</v>
      </c>
      <c r="F38" s="416"/>
      <c r="H38" s="38"/>
      <c r="I38" s="32"/>
    </row>
    <row r="39" spans="1:9" ht="30" customHeight="1">
      <c r="A39" s="410"/>
      <c r="B39" s="410"/>
      <c r="C39" s="410"/>
      <c r="D39" s="410"/>
      <c r="E39" s="410"/>
      <c r="F39" s="410"/>
      <c r="G39" s="410"/>
      <c r="H39" s="410"/>
      <c r="I39" s="410"/>
    </row>
    <row r="40" spans="1:9" ht="15.95" customHeight="1">
      <c r="A40" s="29"/>
      <c r="B40" s="29"/>
    </row>
    <row r="41" spans="1:9" ht="15.95" customHeight="1">
      <c r="A41" s="411"/>
      <c r="B41" s="411"/>
      <c r="C41" s="411"/>
      <c r="D41" s="411"/>
    </row>
    <row r="42" spans="1:9" ht="15.95" customHeight="1">
      <c r="A42" s="29"/>
      <c r="B42" s="29"/>
    </row>
    <row r="43" spans="1:9" ht="15.95" customHeight="1">
      <c r="A43" s="29"/>
      <c r="B43" s="29"/>
    </row>
    <row r="44" spans="1:9" ht="15.95" customHeight="1">
      <c r="A44" s="29"/>
      <c r="B44" s="29"/>
    </row>
    <row r="45" spans="1:9" ht="15.95" customHeight="1">
      <c r="A45" s="29"/>
      <c r="B45" s="29"/>
    </row>
    <row r="46" spans="1:9" ht="15.95" customHeight="1">
      <c r="A46" s="29"/>
      <c r="B46" s="29"/>
    </row>
    <row r="47" spans="1:9" ht="15.95" customHeight="1">
      <c r="A47" s="29"/>
      <c r="B47" s="29"/>
    </row>
    <row r="48" spans="1:9" ht="15" customHeight="1">
      <c r="A48" s="29"/>
      <c r="B48" s="29"/>
    </row>
    <row r="49" spans="1:2" ht="15" customHeight="1">
      <c r="A49" s="29"/>
      <c r="B49" s="29"/>
    </row>
    <row r="50" spans="1:2" ht="15" customHeight="1">
      <c r="A50" s="29"/>
      <c r="B50" s="29"/>
    </row>
    <row r="51" spans="1:2" ht="15.95" customHeight="1">
      <c r="A51" s="29"/>
      <c r="B51" s="29"/>
    </row>
    <row r="52" spans="1:2" ht="15.95" customHeight="1">
      <c r="A52" s="29"/>
      <c r="B52" s="29"/>
    </row>
    <row r="53" spans="1:2" ht="15.95" customHeight="1">
      <c r="A53" s="29"/>
      <c r="B53" s="29"/>
    </row>
    <row r="54" spans="1:2" ht="15.95" customHeight="1">
      <c r="A54" s="29"/>
      <c r="B54" s="29"/>
    </row>
    <row r="55" spans="1:2" ht="15" customHeight="1">
      <c r="A55" s="29"/>
      <c r="B55" s="29"/>
    </row>
    <row r="56" spans="1:2" ht="15" customHeight="1">
      <c r="A56" s="29"/>
      <c r="B56" s="29"/>
    </row>
    <row r="57" spans="1:2" ht="15" customHeight="1">
      <c r="A57" s="29"/>
      <c r="B57" s="29"/>
    </row>
    <row r="58" spans="1:2" ht="15" customHeight="1">
      <c r="A58" s="29"/>
      <c r="B58" s="29"/>
    </row>
    <row r="59" spans="1:2" ht="15" customHeight="1">
      <c r="A59" s="29"/>
      <c r="B59" s="29"/>
    </row>
    <row r="60" spans="1:2" ht="11.45" customHeight="1">
      <c r="A60" s="29"/>
      <c r="B60" s="29"/>
    </row>
    <row r="61" spans="1:2" ht="10.9" customHeight="1"/>
  </sheetData>
  <mergeCells count="27">
    <mergeCell ref="E38:F38"/>
    <mergeCell ref="A31:I31"/>
    <mergeCell ref="A33:D33"/>
    <mergeCell ref="A34:D34"/>
    <mergeCell ref="A35:D35"/>
    <mergeCell ref="A36:D36"/>
    <mergeCell ref="A25:D25"/>
    <mergeCell ref="A26:D26"/>
    <mergeCell ref="A27:D27"/>
    <mergeCell ref="A29:D29"/>
    <mergeCell ref="A38:D38"/>
    <mergeCell ref="A39:I39"/>
    <mergeCell ref="A41:D41"/>
    <mergeCell ref="A13:D13"/>
    <mergeCell ref="A3:I6"/>
    <mergeCell ref="A7:I7"/>
    <mergeCell ref="A9:D9"/>
    <mergeCell ref="A10:D10"/>
    <mergeCell ref="A12:D12"/>
    <mergeCell ref="A30:D30"/>
    <mergeCell ref="A14:D14"/>
    <mergeCell ref="A16:D16"/>
    <mergeCell ref="A17:I17"/>
    <mergeCell ref="A19:D19"/>
    <mergeCell ref="A20:D20"/>
    <mergeCell ref="A22:D22"/>
    <mergeCell ref="A23:D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6"/>
  <sheetViews>
    <sheetView showGridLines="0" topLeftCell="A10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9" customWidth="1"/>
    <col min="2" max="2" width="8.42578125" style="39" customWidth="1"/>
    <col min="3" max="3" width="13.140625" style="39" customWidth="1"/>
    <col min="4" max="6" width="8.28515625" style="39" customWidth="1"/>
    <col min="7" max="7" width="9.7109375" style="39" customWidth="1"/>
    <col min="8" max="10" width="8.7109375" style="39" customWidth="1"/>
    <col min="11" max="11" width="9.7109375" style="39" customWidth="1"/>
    <col min="12" max="16384" width="9.140625" style="39"/>
  </cols>
  <sheetData>
    <row r="1" spans="1:18" ht="20.25">
      <c r="A1" s="55" t="s">
        <v>290</v>
      </c>
    </row>
    <row r="2" spans="1:18" ht="18">
      <c r="A2" s="419" t="s">
        <v>295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8" ht="6" customHeight="1">
      <c r="A3" s="242"/>
      <c r="B3" s="242"/>
      <c r="C3" s="243"/>
      <c r="D3" s="420"/>
      <c r="E3" s="421"/>
      <c r="F3" s="421"/>
      <c r="G3" s="421"/>
      <c r="H3" s="421"/>
      <c r="I3" s="421"/>
      <c r="J3" s="421"/>
      <c r="K3" s="421"/>
    </row>
    <row r="4" spans="1:18" s="40" customFormat="1" ht="20.100000000000001" customHeight="1">
      <c r="A4" s="402">
        <v>2022</v>
      </c>
      <c r="B4" s="151"/>
      <c r="C4" s="199"/>
      <c r="D4" s="422" t="s">
        <v>264</v>
      </c>
      <c r="E4" s="423"/>
      <c r="F4" s="423"/>
      <c r="G4" s="424"/>
      <c r="H4" s="422" t="s">
        <v>265</v>
      </c>
      <c r="I4" s="423"/>
      <c r="J4" s="423"/>
      <c r="K4" s="423"/>
    </row>
    <row r="5" spans="1:18" ht="20.100000000000001" customHeight="1">
      <c r="A5" s="154"/>
      <c r="B5" s="154"/>
      <c r="C5" s="200"/>
      <c r="D5" s="201" t="s">
        <v>167</v>
      </c>
      <c r="E5" s="202" t="s">
        <v>168</v>
      </c>
      <c r="F5" s="202" t="s">
        <v>169</v>
      </c>
      <c r="G5" s="203" t="s">
        <v>63</v>
      </c>
      <c r="H5" s="201" t="str">
        <f>D5</f>
        <v>Červenec</v>
      </c>
      <c r="I5" s="202" t="str">
        <f>E5</f>
        <v>Srpen</v>
      </c>
      <c r="J5" s="202" t="str">
        <f>F5</f>
        <v>Září</v>
      </c>
      <c r="K5" s="204" t="str">
        <f>G5</f>
        <v>III. čtvrtletí</v>
      </c>
    </row>
    <row r="6" spans="1:18" ht="15" customHeight="1">
      <c r="A6" s="429" t="s">
        <v>49</v>
      </c>
      <c r="B6" s="425" t="s">
        <v>21</v>
      </c>
      <c r="C6" s="155" t="s">
        <v>23</v>
      </c>
      <c r="D6" s="156">
        <v>1764530.9799999997</v>
      </c>
      <c r="E6" s="157">
        <v>1260377.6940000001</v>
      </c>
      <c r="F6" s="157">
        <v>776122.30499999993</v>
      </c>
      <c r="G6" s="158">
        <f>SUM(D6:F6)</f>
        <v>3801030.9789999994</v>
      </c>
      <c r="H6" s="156">
        <v>18995153.913000003</v>
      </c>
      <c r="I6" s="157">
        <v>13573454.749</v>
      </c>
      <c r="J6" s="157">
        <v>8501685.3049999997</v>
      </c>
      <c r="K6" s="159">
        <f>SUM(H6:J6)</f>
        <v>41070293.967</v>
      </c>
      <c r="L6" s="42"/>
      <c r="M6" s="42"/>
      <c r="N6" s="42"/>
      <c r="O6" s="42"/>
      <c r="P6" s="42"/>
      <c r="Q6" s="42"/>
      <c r="R6" s="42"/>
    </row>
    <row r="7" spans="1:18" ht="15" customHeight="1">
      <c r="A7" s="429"/>
      <c r="B7" s="425"/>
      <c r="C7" s="155" t="s">
        <v>24</v>
      </c>
      <c r="D7" s="156">
        <v>35.703235582301176</v>
      </c>
      <c r="E7" s="157">
        <v>30.850781404586574</v>
      </c>
      <c r="F7" s="157">
        <v>74.673559631982826</v>
      </c>
      <c r="G7" s="158">
        <f>SUM(D7:F7)</f>
        <v>141.22757661887056</v>
      </c>
      <c r="H7" s="156">
        <v>407.6558379999999</v>
      </c>
      <c r="I7" s="157">
        <v>353.81010300000008</v>
      </c>
      <c r="J7" s="157">
        <v>861.34152899999981</v>
      </c>
      <c r="K7" s="159">
        <f t="shared" ref="K7:K47" si="0">SUM(H7:J7)</f>
        <v>1622.8074699999997</v>
      </c>
      <c r="L7" s="42"/>
      <c r="M7" s="42"/>
      <c r="N7" s="42"/>
      <c r="O7" s="42"/>
      <c r="P7" s="42"/>
      <c r="Q7" s="42"/>
    </row>
    <row r="8" spans="1:18" ht="15" customHeight="1">
      <c r="A8" s="429"/>
      <c r="B8" s="426"/>
      <c r="C8" s="160" t="s">
        <v>25</v>
      </c>
      <c r="D8" s="161">
        <v>1764566.683235582</v>
      </c>
      <c r="E8" s="162">
        <v>1260408.5447814048</v>
      </c>
      <c r="F8" s="162">
        <v>776196.97855963197</v>
      </c>
      <c r="G8" s="163">
        <f t="shared" ref="G8" si="1">SUM(D8:F8)</f>
        <v>3801172.2065766184</v>
      </c>
      <c r="H8" s="161">
        <v>18995561.568838004</v>
      </c>
      <c r="I8" s="162">
        <v>13573808.559102999</v>
      </c>
      <c r="J8" s="162">
        <v>8502546.6465290003</v>
      </c>
      <c r="K8" s="164">
        <f t="shared" si="0"/>
        <v>41071916.774470001</v>
      </c>
      <c r="L8" s="42"/>
      <c r="M8" s="42"/>
      <c r="N8" s="42"/>
      <c r="O8" s="42"/>
      <c r="P8" s="42"/>
      <c r="Q8" s="42"/>
    </row>
    <row r="9" spans="1:18" ht="15" customHeight="1">
      <c r="A9" s="429"/>
      <c r="B9" s="427" t="s">
        <v>22</v>
      </c>
      <c r="C9" s="165" t="s">
        <v>23</v>
      </c>
      <c r="D9" s="166">
        <v>1059509.8870000001</v>
      </c>
      <c r="E9" s="167">
        <v>841698.35199999996</v>
      </c>
      <c r="F9" s="167">
        <v>252803.95599999998</v>
      </c>
      <c r="G9" s="168">
        <f>SUM(D9:F9)</f>
        <v>2154012.1949999998</v>
      </c>
      <c r="H9" s="166">
        <v>11372412.80658</v>
      </c>
      <c r="I9" s="167">
        <v>9053513.2200000007</v>
      </c>
      <c r="J9" s="167">
        <v>2760961.3640000001</v>
      </c>
      <c r="K9" s="169">
        <f t="shared" si="0"/>
        <v>23186887.390579998</v>
      </c>
      <c r="L9" s="42"/>
      <c r="M9" s="42"/>
      <c r="N9" s="42"/>
      <c r="O9" s="42"/>
      <c r="P9" s="42"/>
      <c r="Q9" s="42"/>
    </row>
    <row r="10" spans="1:18" ht="15" customHeight="1">
      <c r="A10" s="429"/>
      <c r="B10" s="425"/>
      <c r="C10" s="155" t="s">
        <v>24</v>
      </c>
      <c r="D10" s="156">
        <v>10.967786151507028</v>
      </c>
      <c r="E10" s="157">
        <v>14.519707767707892</v>
      </c>
      <c r="F10" s="157">
        <v>838.55509221692648</v>
      </c>
      <c r="G10" s="158">
        <f>SUM(D10:F10)</f>
        <v>864.04258613614138</v>
      </c>
      <c r="H10" s="156">
        <v>119.2177642</v>
      </c>
      <c r="I10" s="157">
        <v>157.5468315</v>
      </c>
      <c r="J10" s="157">
        <v>9170.8831068</v>
      </c>
      <c r="K10" s="159">
        <f t="shared" si="0"/>
        <v>9447.6477025000004</v>
      </c>
      <c r="L10" s="42"/>
      <c r="M10" s="42"/>
      <c r="N10" s="42"/>
      <c r="O10" s="42"/>
      <c r="P10" s="42"/>
      <c r="Q10" s="42"/>
    </row>
    <row r="11" spans="1:18" ht="15" customHeight="1">
      <c r="A11" s="429"/>
      <c r="B11" s="426"/>
      <c r="C11" s="160" t="s">
        <v>25</v>
      </c>
      <c r="D11" s="161">
        <v>1059520.8547861516</v>
      </c>
      <c r="E11" s="162">
        <v>841712.87170776771</v>
      </c>
      <c r="F11" s="162">
        <v>253642.51109221691</v>
      </c>
      <c r="G11" s="163">
        <f t="shared" ref="G11" si="2">SUM(D11:F11)</f>
        <v>2154876.237586136</v>
      </c>
      <c r="H11" s="161">
        <v>11372532.0243442</v>
      </c>
      <c r="I11" s="162">
        <v>9053670.7668315005</v>
      </c>
      <c r="J11" s="162">
        <v>2770132.2471067999</v>
      </c>
      <c r="K11" s="164">
        <f t="shared" si="0"/>
        <v>23196335.038282499</v>
      </c>
      <c r="L11" s="42"/>
      <c r="M11" s="42"/>
      <c r="N11" s="42"/>
      <c r="O11" s="42"/>
      <c r="P11" s="42"/>
      <c r="Q11" s="42"/>
    </row>
    <row r="12" spans="1:18" ht="15" customHeight="1">
      <c r="A12" s="429"/>
      <c r="B12" s="428" t="s">
        <v>51</v>
      </c>
      <c r="C12" s="155" t="s">
        <v>23</v>
      </c>
      <c r="D12" s="156">
        <v>705021.09299999964</v>
      </c>
      <c r="E12" s="157">
        <v>418679.34200000018</v>
      </c>
      <c r="F12" s="157">
        <v>523318.34899999993</v>
      </c>
      <c r="G12" s="158">
        <f>SUM(D12:F12)</f>
        <v>1647018.7839999998</v>
      </c>
      <c r="H12" s="156">
        <v>7622741.1064200029</v>
      </c>
      <c r="I12" s="157">
        <v>4519941.5289999992</v>
      </c>
      <c r="J12" s="157">
        <v>5740723.9409999996</v>
      </c>
      <c r="K12" s="159">
        <f t="shared" si="0"/>
        <v>17883406.576420002</v>
      </c>
      <c r="L12" s="42"/>
      <c r="M12" s="42"/>
      <c r="N12" s="42"/>
      <c r="O12" s="42"/>
      <c r="P12" s="42"/>
      <c r="Q12" s="42"/>
    </row>
    <row r="13" spans="1:18" ht="15" customHeight="1">
      <c r="A13" s="429"/>
      <c r="B13" s="425"/>
      <c r="C13" s="155" t="s">
        <v>24</v>
      </c>
      <c r="D13" s="156">
        <v>24.735449430794148</v>
      </c>
      <c r="E13" s="157">
        <v>16.331073636878681</v>
      </c>
      <c r="F13" s="157">
        <v>-763.88153258494367</v>
      </c>
      <c r="G13" s="158">
        <f>SUM(D13:F13)</f>
        <v>-722.81500951727082</v>
      </c>
      <c r="H13" s="156">
        <v>288.43807379999987</v>
      </c>
      <c r="I13" s="157">
        <v>196.26327150000009</v>
      </c>
      <c r="J13" s="157">
        <v>-8309.5415778000006</v>
      </c>
      <c r="K13" s="159">
        <f t="shared" si="0"/>
        <v>-7824.8402325000006</v>
      </c>
      <c r="L13" s="42"/>
      <c r="M13" s="42"/>
      <c r="N13" s="42"/>
      <c r="O13" s="42"/>
      <c r="P13" s="42"/>
      <c r="Q13" s="42"/>
    </row>
    <row r="14" spans="1:18" ht="15" customHeight="1">
      <c r="A14" s="430"/>
      <c r="B14" s="426"/>
      <c r="C14" s="160" t="s">
        <v>25</v>
      </c>
      <c r="D14" s="161">
        <v>705045.82844943041</v>
      </c>
      <c r="E14" s="162">
        <v>418695.67307363707</v>
      </c>
      <c r="F14" s="162">
        <v>522554.46746741497</v>
      </c>
      <c r="G14" s="163">
        <f t="shared" ref="G14:G51" si="3">SUM(D14:F14)</f>
        <v>1646295.9689904824</v>
      </c>
      <c r="H14" s="161">
        <v>7623029.5444938028</v>
      </c>
      <c r="I14" s="162">
        <v>4520137.7922714995</v>
      </c>
      <c r="J14" s="162">
        <v>5732414.3994221995</v>
      </c>
      <c r="K14" s="164">
        <f t="shared" si="0"/>
        <v>17875581.736187503</v>
      </c>
      <c r="L14" s="42"/>
      <c r="M14" s="42"/>
      <c r="N14" s="42"/>
      <c r="O14" s="42"/>
      <c r="P14" s="42"/>
      <c r="Q14" s="42"/>
    </row>
    <row r="15" spans="1:18" ht="15" customHeight="1">
      <c r="A15" s="431" t="s">
        <v>150</v>
      </c>
      <c r="B15" s="427" t="s">
        <v>26</v>
      </c>
      <c r="C15" s="165" t="s">
        <v>204</v>
      </c>
      <c r="D15" s="166">
        <v>0</v>
      </c>
      <c r="E15" s="167">
        <v>1595.635</v>
      </c>
      <c r="F15" s="167">
        <v>3598.1880000000001</v>
      </c>
      <c r="G15" s="168">
        <f t="shared" si="3"/>
        <v>5193.8230000000003</v>
      </c>
      <c r="H15" s="166">
        <v>0</v>
      </c>
      <c r="I15" s="167">
        <v>17184.223999999998</v>
      </c>
      <c r="J15" s="167">
        <v>38712.868000000002</v>
      </c>
      <c r="K15" s="169">
        <f t="shared" si="0"/>
        <v>55897.092000000004</v>
      </c>
      <c r="L15" s="42"/>
      <c r="M15" s="42"/>
      <c r="N15" s="42"/>
      <c r="O15" s="42"/>
      <c r="P15" s="42"/>
      <c r="Q15" s="42"/>
    </row>
    <row r="16" spans="1:18" ht="15" customHeight="1">
      <c r="A16" s="429"/>
      <c r="B16" s="425"/>
      <c r="C16" s="155" t="s">
        <v>216</v>
      </c>
      <c r="D16" s="156">
        <v>967.61099999999999</v>
      </c>
      <c r="E16" s="157">
        <v>365.815</v>
      </c>
      <c r="F16" s="157">
        <v>0</v>
      </c>
      <c r="G16" s="158">
        <f>SUM(D16:F16)</f>
        <v>1333.4259999999999</v>
      </c>
      <c r="H16" s="156">
        <v>10460.076999999999</v>
      </c>
      <c r="I16" s="157">
        <v>3967.6030000000001</v>
      </c>
      <c r="J16" s="157">
        <v>0</v>
      </c>
      <c r="K16" s="159">
        <f t="shared" si="0"/>
        <v>14427.68</v>
      </c>
      <c r="L16" s="42"/>
      <c r="M16" s="42"/>
      <c r="N16" s="42"/>
      <c r="O16" s="42"/>
      <c r="P16" s="42"/>
      <c r="Q16" s="42"/>
    </row>
    <row r="17" spans="1:17" ht="15" customHeight="1">
      <c r="A17" s="429"/>
      <c r="B17" s="425"/>
      <c r="C17" s="155" t="s">
        <v>65</v>
      </c>
      <c r="D17" s="156">
        <v>0</v>
      </c>
      <c r="E17" s="157">
        <v>0</v>
      </c>
      <c r="F17" s="157">
        <v>0</v>
      </c>
      <c r="G17" s="158">
        <f>SUM(D17:F17)</f>
        <v>0</v>
      </c>
      <c r="H17" s="156">
        <v>0</v>
      </c>
      <c r="I17" s="157">
        <v>0</v>
      </c>
      <c r="J17" s="157">
        <v>0</v>
      </c>
      <c r="K17" s="159">
        <f t="shared" si="0"/>
        <v>0</v>
      </c>
      <c r="L17" s="42"/>
      <c r="M17" s="42"/>
      <c r="N17" s="42"/>
      <c r="O17" s="42"/>
      <c r="P17" s="42"/>
      <c r="Q17" s="42"/>
    </row>
    <row r="18" spans="1:17" ht="15" customHeight="1">
      <c r="A18" s="429"/>
      <c r="B18" s="426"/>
      <c r="C18" s="160" t="s">
        <v>25</v>
      </c>
      <c r="D18" s="161">
        <v>967.61099999999999</v>
      </c>
      <c r="E18" s="162">
        <v>1961.45</v>
      </c>
      <c r="F18" s="162">
        <v>3598.1880000000001</v>
      </c>
      <c r="G18" s="163">
        <f>SUM(D18:F18)</f>
        <v>6527.2489999999998</v>
      </c>
      <c r="H18" s="161">
        <v>10460.076999999999</v>
      </c>
      <c r="I18" s="162">
        <v>21151.826999999997</v>
      </c>
      <c r="J18" s="162">
        <v>38712.868000000002</v>
      </c>
      <c r="K18" s="164">
        <f>SUM(H18:J18)</f>
        <v>70324.771999999997</v>
      </c>
      <c r="L18" s="42"/>
      <c r="M18" s="42"/>
      <c r="N18" s="42"/>
      <c r="O18" s="42"/>
      <c r="P18" s="42"/>
      <c r="Q18" s="42"/>
    </row>
    <row r="19" spans="1:17" ht="15" customHeight="1">
      <c r="A19" s="429"/>
      <c r="B19" s="427" t="s">
        <v>27</v>
      </c>
      <c r="C19" s="165" t="s">
        <v>204</v>
      </c>
      <c r="D19" s="166">
        <v>255468.89799999999</v>
      </c>
      <c r="E19" s="167">
        <v>116102.072</v>
      </c>
      <c r="F19" s="167">
        <v>89619.237999999998</v>
      </c>
      <c r="G19" s="168">
        <f t="shared" si="3"/>
        <v>461190.20799999998</v>
      </c>
      <c r="H19" s="166">
        <v>2758099.5613870001</v>
      </c>
      <c r="I19" s="167">
        <v>1251054.803329</v>
      </c>
      <c r="J19" s="167">
        <v>974359.24372799997</v>
      </c>
      <c r="K19" s="169">
        <f t="shared" si="0"/>
        <v>4983513.6084439997</v>
      </c>
      <c r="L19" s="42"/>
      <c r="M19" s="42"/>
      <c r="N19" s="42"/>
      <c r="O19" s="42"/>
      <c r="P19" s="42"/>
      <c r="Q19" s="42"/>
    </row>
    <row r="20" spans="1:17" ht="15" customHeight="1">
      <c r="A20" s="429"/>
      <c r="B20" s="425"/>
      <c r="C20" s="155" t="s">
        <v>216</v>
      </c>
      <c r="D20" s="156">
        <v>36484.493000000002</v>
      </c>
      <c r="E20" s="157">
        <v>16351.31</v>
      </c>
      <c r="F20" s="157">
        <v>8040.3539999999985</v>
      </c>
      <c r="G20" s="158">
        <f t="shared" si="3"/>
        <v>60876.156999999999</v>
      </c>
      <c r="H20" s="156">
        <v>396662.40383600001</v>
      </c>
      <c r="I20" s="157">
        <v>176713.44099999999</v>
      </c>
      <c r="J20" s="157">
        <v>87606.563151900016</v>
      </c>
      <c r="K20" s="159">
        <f t="shared" si="0"/>
        <v>660982.40798790008</v>
      </c>
      <c r="L20" s="42"/>
      <c r="M20" s="42"/>
      <c r="N20" s="42"/>
      <c r="O20" s="42"/>
      <c r="P20" s="42"/>
      <c r="Q20" s="42"/>
    </row>
    <row r="21" spans="1:17" ht="15" customHeight="1">
      <c r="A21" s="429"/>
      <c r="B21" s="425"/>
      <c r="C21" s="155" t="s">
        <v>65</v>
      </c>
      <c r="D21" s="156">
        <v>127228.55099999999</v>
      </c>
      <c r="E21" s="157">
        <v>0</v>
      </c>
      <c r="F21" s="157">
        <v>58390.802000000003</v>
      </c>
      <c r="G21" s="158">
        <f t="shared" si="3"/>
        <v>185619.353</v>
      </c>
      <c r="H21" s="156">
        <v>1382670.3751640001</v>
      </c>
      <c r="I21" s="157">
        <v>0</v>
      </c>
      <c r="J21" s="157">
        <v>638609.02484810003</v>
      </c>
      <c r="K21" s="159">
        <f t="shared" si="0"/>
        <v>2021279.4000121001</v>
      </c>
      <c r="L21" s="42"/>
      <c r="M21" s="42"/>
      <c r="N21" s="42"/>
      <c r="O21" s="42"/>
      <c r="P21" s="42"/>
      <c r="Q21" s="42"/>
    </row>
    <row r="22" spans="1:17" ht="15" customHeight="1">
      <c r="A22" s="429"/>
      <c r="B22" s="426"/>
      <c r="C22" s="160" t="s">
        <v>25</v>
      </c>
      <c r="D22" s="161">
        <v>419181.94199999998</v>
      </c>
      <c r="E22" s="162">
        <v>132453.38200000001</v>
      </c>
      <c r="F22" s="162">
        <v>156050.394</v>
      </c>
      <c r="G22" s="163">
        <f t="shared" si="3"/>
        <v>707685.71799999999</v>
      </c>
      <c r="H22" s="161">
        <v>4537432.3403870007</v>
      </c>
      <c r="I22" s="162">
        <v>1427768.2443289999</v>
      </c>
      <c r="J22" s="162">
        <v>1700574.831728</v>
      </c>
      <c r="K22" s="164">
        <f t="shared" si="0"/>
        <v>7665775.4164440008</v>
      </c>
      <c r="L22" s="42"/>
      <c r="M22" s="42"/>
      <c r="N22" s="42"/>
      <c r="O22" s="42"/>
      <c r="P22" s="42"/>
      <c r="Q22" s="42"/>
    </row>
    <row r="23" spans="1:17" ht="15" customHeight="1">
      <c r="A23" s="429"/>
      <c r="B23" s="428" t="s">
        <v>52</v>
      </c>
      <c r="C23" s="155" t="s">
        <v>204</v>
      </c>
      <c r="D23" s="156">
        <v>-255468.89799999999</v>
      </c>
      <c r="E23" s="157">
        <v>-114506.43700000001</v>
      </c>
      <c r="F23" s="157">
        <v>-86021.05</v>
      </c>
      <c r="G23" s="158">
        <f t="shared" si="3"/>
        <v>-455996.38499999995</v>
      </c>
      <c r="H23" s="156">
        <v>-2758099.5613870001</v>
      </c>
      <c r="I23" s="157">
        <v>-1233870.5793290001</v>
      </c>
      <c r="J23" s="157">
        <v>-935646.37572799996</v>
      </c>
      <c r="K23" s="159">
        <f t="shared" si="0"/>
        <v>-4927616.5164440004</v>
      </c>
      <c r="L23" s="42"/>
      <c r="M23" s="42"/>
      <c r="N23" s="42"/>
      <c r="O23" s="42"/>
      <c r="P23" s="42"/>
      <c r="Q23" s="42"/>
    </row>
    <row r="24" spans="1:17" ht="15" customHeight="1">
      <c r="A24" s="429"/>
      <c r="B24" s="425"/>
      <c r="C24" s="155" t="s">
        <v>216</v>
      </c>
      <c r="D24" s="156">
        <v>-35516.882000000005</v>
      </c>
      <c r="E24" s="157">
        <v>-15985.494999999999</v>
      </c>
      <c r="F24" s="157">
        <v>-8040.3539999999985</v>
      </c>
      <c r="G24" s="158">
        <f t="shared" si="3"/>
        <v>-59542.731000000007</v>
      </c>
      <c r="H24" s="156">
        <v>-386202.32683600002</v>
      </c>
      <c r="I24" s="157">
        <v>-172745.83799999999</v>
      </c>
      <c r="J24" s="157">
        <v>-87606.563151900016</v>
      </c>
      <c r="K24" s="159">
        <f t="shared" si="0"/>
        <v>-646554.72798789991</v>
      </c>
      <c r="L24" s="42"/>
      <c r="M24" s="42"/>
      <c r="N24" s="42"/>
      <c r="O24" s="42"/>
      <c r="P24" s="42"/>
      <c r="Q24" s="42"/>
    </row>
    <row r="25" spans="1:17" ht="15" customHeight="1">
      <c r="A25" s="429"/>
      <c r="B25" s="425"/>
      <c r="C25" s="155" t="s">
        <v>65</v>
      </c>
      <c r="D25" s="156">
        <v>-127228.55099999999</v>
      </c>
      <c r="E25" s="157">
        <v>0</v>
      </c>
      <c r="F25" s="157">
        <v>-58390.802000000003</v>
      </c>
      <c r="G25" s="158">
        <f t="shared" si="3"/>
        <v>-185619.353</v>
      </c>
      <c r="H25" s="156">
        <v>-1382670.3751640001</v>
      </c>
      <c r="I25" s="157">
        <v>0</v>
      </c>
      <c r="J25" s="157">
        <v>-638609.02484810003</v>
      </c>
      <c r="K25" s="159">
        <f t="shared" si="0"/>
        <v>-2021279.4000121001</v>
      </c>
      <c r="L25" s="42"/>
      <c r="M25" s="42"/>
      <c r="N25" s="42"/>
      <c r="O25" s="42"/>
      <c r="P25" s="42"/>
      <c r="Q25" s="42"/>
    </row>
    <row r="26" spans="1:17" ht="15" customHeight="1">
      <c r="A26" s="429"/>
      <c r="B26" s="426"/>
      <c r="C26" s="160" t="s">
        <v>25</v>
      </c>
      <c r="D26" s="161">
        <v>-418214.33099999995</v>
      </c>
      <c r="E26" s="162">
        <v>-130491.932</v>
      </c>
      <c r="F26" s="162">
        <v>-152452.20600000001</v>
      </c>
      <c r="G26" s="163">
        <f t="shared" si="3"/>
        <v>-701158.46899999992</v>
      </c>
      <c r="H26" s="161">
        <v>-4526972.2633870002</v>
      </c>
      <c r="I26" s="162">
        <v>-1406616.4173290001</v>
      </c>
      <c r="J26" s="162">
        <v>-1661861.9637279999</v>
      </c>
      <c r="K26" s="164">
        <f t="shared" si="0"/>
        <v>-7595450.644444</v>
      </c>
      <c r="L26" s="42"/>
      <c r="M26" s="42"/>
      <c r="N26" s="42"/>
      <c r="O26" s="42"/>
      <c r="P26" s="42"/>
      <c r="Q26" s="42"/>
    </row>
    <row r="27" spans="1:17" ht="15" customHeight="1">
      <c r="A27" s="430"/>
      <c r="B27" s="432" t="s">
        <v>54</v>
      </c>
      <c r="C27" s="432"/>
      <c r="D27" s="161">
        <v>2730893.4327324904</v>
      </c>
      <c r="E27" s="162">
        <v>2859923.791732491</v>
      </c>
      <c r="F27" s="162">
        <v>3010349.0327324914</v>
      </c>
      <c r="G27" s="163">
        <f>F27</f>
        <v>3010349.0327324914</v>
      </c>
      <c r="H27" s="161">
        <v>29359663.43946391</v>
      </c>
      <c r="I27" s="162">
        <v>30750449.018979911</v>
      </c>
      <c r="J27" s="162">
        <v>32390287.80228861</v>
      </c>
      <c r="K27" s="164">
        <f>J27</f>
        <v>32390287.80228861</v>
      </c>
      <c r="L27" s="42"/>
      <c r="M27" s="42"/>
      <c r="N27" s="42"/>
      <c r="O27" s="42"/>
      <c r="P27" s="42"/>
      <c r="Q27" s="42"/>
    </row>
    <row r="28" spans="1:17" ht="15" customHeight="1">
      <c r="A28" s="431" t="s">
        <v>50</v>
      </c>
      <c r="B28" s="434" t="s">
        <v>196</v>
      </c>
      <c r="C28" s="165" t="s">
        <v>28</v>
      </c>
      <c r="D28" s="166">
        <v>12072.44</v>
      </c>
      <c r="E28" s="167">
        <v>11409.541000000001</v>
      </c>
      <c r="F28" s="167">
        <v>11163.743</v>
      </c>
      <c r="G28" s="168">
        <f t="shared" si="3"/>
        <v>34645.724000000002</v>
      </c>
      <c r="H28" s="166">
        <v>130844.65304649995</v>
      </c>
      <c r="I28" s="167">
        <v>123615.164884</v>
      </c>
      <c r="J28" s="167">
        <v>121669.839561</v>
      </c>
      <c r="K28" s="169">
        <f t="shared" si="0"/>
        <v>376129.65749149997</v>
      </c>
      <c r="L28" s="42"/>
      <c r="M28" s="42"/>
      <c r="N28" s="42"/>
      <c r="O28" s="42"/>
      <c r="P28" s="42"/>
      <c r="Q28" s="42"/>
    </row>
    <row r="29" spans="1:17" ht="15" customHeight="1">
      <c r="A29" s="429"/>
      <c r="B29" s="428"/>
      <c r="C29" s="155" t="s">
        <v>31</v>
      </c>
      <c r="D29" s="156">
        <v>106.74699999999939</v>
      </c>
      <c r="E29" s="157">
        <v>120.11699999999837</v>
      </c>
      <c r="F29" s="157">
        <v>99.586999999999534</v>
      </c>
      <c r="G29" s="158">
        <f t="shared" si="3"/>
        <v>326.45099999999729</v>
      </c>
      <c r="H29" s="156">
        <v>1351.0350000000035</v>
      </c>
      <c r="I29" s="157">
        <v>1353.8576000000321</v>
      </c>
      <c r="J29" s="157">
        <v>1108.2565999999788</v>
      </c>
      <c r="K29" s="159">
        <f t="shared" si="0"/>
        <v>3813.1492000000144</v>
      </c>
      <c r="L29" s="42"/>
      <c r="M29" s="42"/>
      <c r="N29" s="42"/>
      <c r="O29" s="42"/>
      <c r="P29" s="42"/>
      <c r="Q29" s="42"/>
    </row>
    <row r="30" spans="1:17" ht="15" customHeight="1">
      <c r="A30" s="429"/>
      <c r="B30" s="433"/>
      <c r="C30" s="160" t="s">
        <v>25</v>
      </c>
      <c r="D30" s="161">
        <v>12179.187</v>
      </c>
      <c r="E30" s="162">
        <v>11529.657999999999</v>
      </c>
      <c r="F30" s="162">
        <v>11263.33</v>
      </c>
      <c r="G30" s="163">
        <f t="shared" si="3"/>
        <v>34972.175000000003</v>
      </c>
      <c r="H30" s="161">
        <v>132195.68804649997</v>
      </c>
      <c r="I30" s="162">
        <v>124969.02248400003</v>
      </c>
      <c r="J30" s="162">
        <v>122778.09616099998</v>
      </c>
      <c r="K30" s="164">
        <f t="shared" si="0"/>
        <v>379942.80669149995</v>
      </c>
      <c r="L30" s="42"/>
      <c r="M30" s="42"/>
      <c r="N30" s="42"/>
      <c r="O30" s="42"/>
      <c r="P30" s="42"/>
      <c r="Q30" s="42"/>
    </row>
    <row r="31" spans="1:17" ht="15" customHeight="1">
      <c r="A31" s="429"/>
      <c r="B31" s="428" t="s">
        <v>197</v>
      </c>
      <c r="C31" s="155" t="s">
        <v>28</v>
      </c>
      <c r="D31" s="156">
        <v>593.19900000000007</v>
      </c>
      <c r="E31" s="157">
        <v>617.875</v>
      </c>
      <c r="F31" s="157">
        <v>718.06999999999994</v>
      </c>
      <c r="G31" s="158">
        <f t="shared" si="3"/>
        <v>1929.144</v>
      </c>
      <c r="H31" s="156">
        <v>6246.8690000000006</v>
      </c>
      <c r="I31" s="157">
        <v>6508.5439999999999</v>
      </c>
      <c r="J31" s="157">
        <v>7556.6660499999998</v>
      </c>
      <c r="K31" s="159">
        <f t="shared" si="0"/>
        <v>20312.07905</v>
      </c>
      <c r="L31" s="42"/>
      <c r="M31" s="42"/>
      <c r="N31" s="42"/>
      <c r="O31" s="42"/>
      <c r="P31" s="42"/>
      <c r="Q31" s="42"/>
    </row>
    <row r="32" spans="1:17" ht="15" customHeight="1">
      <c r="A32" s="429"/>
      <c r="B32" s="428"/>
      <c r="C32" s="155" t="s">
        <v>31</v>
      </c>
      <c r="D32" s="156">
        <v>0</v>
      </c>
      <c r="E32" s="157">
        <v>0</v>
      </c>
      <c r="F32" s="157">
        <v>0</v>
      </c>
      <c r="G32" s="158">
        <f t="shared" si="3"/>
        <v>0</v>
      </c>
      <c r="H32" s="156">
        <v>0</v>
      </c>
      <c r="I32" s="157">
        <v>0</v>
      </c>
      <c r="J32" s="157">
        <v>0</v>
      </c>
      <c r="K32" s="159">
        <f t="shared" si="0"/>
        <v>0</v>
      </c>
      <c r="L32" s="42"/>
      <c r="M32" s="42"/>
      <c r="N32" s="42"/>
      <c r="O32" s="42"/>
      <c r="P32" s="42"/>
      <c r="Q32" s="42"/>
    </row>
    <row r="33" spans="1:17" ht="15" customHeight="1">
      <c r="A33" s="429"/>
      <c r="B33" s="433"/>
      <c r="C33" s="160" t="s">
        <v>25</v>
      </c>
      <c r="D33" s="161">
        <v>593.19900000000007</v>
      </c>
      <c r="E33" s="162">
        <v>617.875</v>
      </c>
      <c r="F33" s="162">
        <v>718.06999999999994</v>
      </c>
      <c r="G33" s="163">
        <f t="shared" si="3"/>
        <v>1929.144</v>
      </c>
      <c r="H33" s="161">
        <v>6246.8690000000006</v>
      </c>
      <c r="I33" s="162">
        <v>6508.5439999999999</v>
      </c>
      <c r="J33" s="162">
        <v>7556.6660499999998</v>
      </c>
      <c r="K33" s="164">
        <f t="shared" si="0"/>
        <v>20312.07905</v>
      </c>
      <c r="L33" s="42"/>
      <c r="M33" s="42"/>
      <c r="N33" s="42"/>
      <c r="O33" s="42"/>
      <c r="P33" s="42"/>
      <c r="Q33" s="42"/>
    </row>
    <row r="34" spans="1:17" ht="15" customHeight="1">
      <c r="A34" s="429"/>
      <c r="B34" s="428" t="s">
        <v>25</v>
      </c>
      <c r="C34" s="155" t="s">
        <v>28</v>
      </c>
      <c r="D34" s="156">
        <v>12665.639000000001</v>
      </c>
      <c r="E34" s="157">
        <v>12027.416000000001</v>
      </c>
      <c r="F34" s="157">
        <v>11881.813</v>
      </c>
      <c r="G34" s="158">
        <f t="shared" si="3"/>
        <v>36574.868000000002</v>
      </c>
      <c r="H34" s="156">
        <v>137091.52204649994</v>
      </c>
      <c r="I34" s="157">
        <v>130123.70888399999</v>
      </c>
      <c r="J34" s="157">
        <v>129226.505611</v>
      </c>
      <c r="K34" s="159">
        <f t="shared" si="0"/>
        <v>396441.73654149997</v>
      </c>
      <c r="L34" s="42"/>
      <c r="M34" s="42"/>
      <c r="N34" s="42"/>
      <c r="O34" s="42"/>
      <c r="P34" s="42"/>
      <c r="Q34" s="42"/>
    </row>
    <row r="35" spans="1:17" ht="15" customHeight="1">
      <c r="A35" s="429"/>
      <c r="B35" s="428"/>
      <c r="C35" s="155" t="s">
        <v>31</v>
      </c>
      <c r="D35" s="156">
        <v>106.74699999999939</v>
      </c>
      <c r="E35" s="157">
        <v>120.11699999999837</v>
      </c>
      <c r="F35" s="157">
        <v>99.586999999999534</v>
      </c>
      <c r="G35" s="158">
        <f t="shared" si="3"/>
        <v>326.45099999999729</v>
      </c>
      <c r="H35" s="156">
        <v>1351.0350000000035</v>
      </c>
      <c r="I35" s="157">
        <v>1353.8576000000321</v>
      </c>
      <c r="J35" s="157">
        <v>1108.2565999999788</v>
      </c>
      <c r="K35" s="159">
        <f t="shared" si="0"/>
        <v>3813.1492000000144</v>
      </c>
      <c r="L35" s="42"/>
      <c r="M35" s="42"/>
      <c r="N35" s="42"/>
      <c r="O35" s="42"/>
      <c r="P35" s="42"/>
      <c r="Q35" s="42"/>
    </row>
    <row r="36" spans="1:17" ht="15" customHeight="1">
      <c r="A36" s="430"/>
      <c r="B36" s="433"/>
      <c r="C36" s="160" t="s">
        <v>25</v>
      </c>
      <c r="D36" s="161">
        <v>12772.386</v>
      </c>
      <c r="E36" s="162">
        <v>12147.532999999999</v>
      </c>
      <c r="F36" s="162">
        <v>11981.4</v>
      </c>
      <c r="G36" s="163">
        <f t="shared" si="3"/>
        <v>36901.319000000003</v>
      </c>
      <c r="H36" s="161">
        <v>138442.55704649995</v>
      </c>
      <c r="I36" s="162">
        <v>131477.56648400001</v>
      </c>
      <c r="J36" s="162">
        <v>130334.76221099998</v>
      </c>
      <c r="K36" s="164">
        <f t="shared" si="0"/>
        <v>400254.88574149995</v>
      </c>
      <c r="L36" s="42"/>
      <c r="M36" s="42"/>
      <c r="N36" s="42"/>
      <c r="O36" s="42"/>
      <c r="P36" s="42"/>
      <c r="Q36" s="42"/>
    </row>
    <row r="37" spans="1:17" ht="15" customHeight="1">
      <c r="A37" s="431" t="s">
        <v>64</v>
      </c>
      <c r="B37" s="434" t="s">
        <v>53</v>
      </c>
      <c r="C37" s="165" t="s">
        <v>67</v>
      </c>
      <c r="D37" s="166">
        <v>264133.27235161595</v>
      </c>
      <c r="E37" s="167">
        <v>265892.92737316171</v>
      </c>
      <c r="F37" s="167">
        <v>346598.71414922684</v>
      </c>
      <c r="G37" s="168">
        <f t="shared" si="3"/>
        <v>876624.9138740045</v>
      </c>
      <c r="H37" s="166">
        <v>2871964.8861359954</v>
      </c>
      <c r="I37" s="167">
        <v>2886191.3143969849</v>
      </c>
      <c r="J37" s="167">
        <v>3791616.0929459683</v>
      </c>
      <c r="K37" s="169">
        <f t="shared" si="0"/>
        <v>9549772.293478949</v>
      </c>
      <c r="L37" s="42"/>
      <c r="M37" s="42"/>
      <c r="N37" s="42"/>
      <c r="O37" s="42"/>
      <c r="P37" s="42"/>
      <c r="Q37" s="42"/>
    </row>
    <row r="38" spans="1:17" ht="15" customHeight="1">
      <c r="A38" s="429"/>
      <c r="B38" s="428"/>
      <c r="C38" s="155" t="s">
        <v>29</v>
      </c>
      <c r="D38" s="156">
        <v>151.13075591643607</v>
      </c>
      <c r="E38" s="157">
        <v>523.94662523997204</v>
      </c>
      <c r="F38" s="157">
        <v>2109.504503309935</v>
      </c>
      <c r="G38" s="158">
        <f t="shared" si="3"/>
        <v>2784.5818844663431</v>
      </c>
      <c r="H38" s="156">
        <v>1703.4641599999409</v>
      </c>
      <c r="I38" s="157">
        <v>5736.0836799999151</v>
      </c>
      <c r="J38" s="157">
        <v>23125.080930000029</v>
      </c>
      <c r="K38" s="159">
        <f t="shared" si="0"/>
        <v>30564.628769999887</v>
      </c>
      <c r="L38" s="42"/>
      <c r="M38" s="42"/>
      <c r="N38" s="42"/>
      <c r="O38" s="42"/>
      <c r="P38" s="42"/>
      <c r="Q38" s="42"/>
    </row>
    <row r="39" spans="1:17" ht="15" customHeight="1">
      <c r="A39" s="429"/>
      <c r="B39" s="433"/>
      <c r="C39" s="160" t="s">
        <v>25</v>
      </c>
      <c r="D39" s="161">
        <v>264284.40310753236</v>
      </c>
      <c r="E39" s="162">
        <v>266416.87399840169</v>
      </c>
      <c r="F39" s="162">
        <v>348708.2186525368</v>
      </c>
      <c r="G39" s="163">
        <f t="shared" si="3"/>
        <v>879409.49575847085</v>
      </c>
      <c r="H39" s="161">
        <v>2873668.3502959954</v>
      </c>
      <c r="I39" s="162">
        <v>2891927.3980769846</v>
      </c>
      <c r="J39" s="162">
        <v>3814741.1738759684</v>
      </c>
      <c r="K39" s="164">
        <f t="shared" si="0"/>
        <v>9580336.9222489484</v>
      </c>
      <c r="L39" s="42"/>
      <c r="M39" s="42"/>
      <c r="N39" s="42"/>
      <c r="O39" s="42"/>
      <c r="P39" s="42"/>
      <c r="Q39" s="42"/>
    </row>
    <row r="40" spans="1:17" ht="15" customHeight="1">
      <c r="A40" s="429"/>
      <c r="B40" s="434" t="s">
        <v>198</v>
      </c>
      <c r="C40" s="165" t="s">
        <v>67</v>
      </c>
      <c r="D40" s="166">
        <v>571.09100000000001</v>
      </c>
      <c r="E40" s="167">
        <v>597.97</v>
      </c>
      <c r="F40" s="167">
        <v>701.57099999999991</v>
      </c>
      <c r="G40" s="168">
        <f t="shared" si="3"/>
        <v>1870.6320000000001</v>
      </c>
      <c r="H40" s="166">
        <v>6010.6560000000009</v>
      </c>
      <c r="I40" s="167">
        <v>6288.1360000000004</v>
      </c>
      <c r="J40" s="167">
        <v>7374.1210499999997</v>
      </c>
      <c r="K40" s="169">
        <f t="shared" si="0"/>
        <v>19672.913050000003</v>
      </c>
      <c r="L40" s="42"/>
      <c r="M40" s="42"/>
      <c r="N40" s="42"/>
      <c r="O40" s="42"/>
      <c r="P40" s="42"/>
      <c r="Q40" s="42"/>
    </row>
    <row r="41" spans="1:17" ht="15" customHeight="1">
      <c r="A41" s="429"/>
      <c r="B41" s="428"/>
      <c r="C41" s="155" t="s">
        <v>29</v>
      </c>
      <c r="D41" s="156">
        <v>0</v>
      </c>
      <c r="E41" s="157">
        <v>0</v>
      </c>
      <c r="F41" s="157">
        <v>0</v>
      </c>
      <c r="G41" s="158">
        <f t="shared" si="3"/>
        <v>0</v>
      </c>
      <c r="H41" s="156">
        <v>0</v>
      </c>
      <c r="I41" s="157">
        <v>0</v>
      </c>
      <c r="J41" s="157">
        <v>0</v>
      </c>
      <c r="K41" s="159">
        <f t="shared" si="0"/>
        <v>0</v>
      </c>
      <c r="L41" s="42"/>
      <c r="M41" s="42"/>
      <c r="N41" s="42"/>
      <c r="O41" s="42"/>
      <c r="P41" s="42"/>
      <c r="Q41" s="42"/>
    </row>
    <row r="42" spans="1:17" ht="15" customHeight="1">
      <c r="A42" s="429"/>
      <c r="B42" s="433"/>
      <c r="C42" s="160" t="s">
        <v>25</v>
      </c>
      <c r="D42" s="161">
        <v>571.09100000000001</v>
      </c>
      <c r="E42" s="162">
        <v>597.97</v>
      </c>
      <c r="F42" s="162">
        <v>701.57099999999991</v>
      </c>
      <c r="G42" s="163">
        <f t="shared" si="3"/>
        <v>1870.6320000000001</v>
      </c>
      <c r="H42" s="161">
        <v>6010.6560000000009</v>
      </c>
      <c r="I42" s="162">
        <v>6288.1360000000004</v>
      </c>
      <c r="J42" s="162">
        <v>7374.1210499999997</v>
      </c>
      <c r="K42" s="164">
        <f t="shared" si="0"/>
        <v>19672.913050000003</v>
      </c>
      <c r="L42" s="42"/>
      <c r="M42" s="42"/>
      <c r="N42" s="42"/>
      <c r="O42" s="42"/>
      <c r="P42" s="42"/>
      <c r="Q42" s="42"/>
    </row>
    <row r="43" spans="1:17" ht="15" customHeight="1">
      <c r="A43" s="429"/>
      <c r="B43" s="435" t="s">
        <v>86</v>
      </c>
      <c r="C43" s="435"/>
      <c r="D43" s="170">
        <v>106.74699999999939</v>
      </c>
      <c r="E43" s="171">
        <v>120.11699999999837</v>
      </c>
      <c r="F43" s="171">
        <v>99.586999999999534</v>
      </c>
      <c r="G43" s="172">
        <f t="shared" si="3"/>
        <v>326.45099999999729</v>
      </c>
      <c r="H43" s="170">
        <v>1351.0350000000035</v>
      </c>
      <c r="I43" s="171">
        <v>1353.8576000000321</v>
      </c>
      <c r="J43" s="171">
        <v>1108.2565999999788</v>
      </c>
      <c r="K43" s="173">
        <f t="shared" si="0"/>
        <v>3813.1492000000144</v>
      </c>
      <c r="L43" s="42"/>
      <c r="M43" s="42"/>
      <c r="N43" s="42"/>
      <c r="O43" s="42"/>
      <c r="P43" s="42"/>
      <c r="Q43" s="42"/>
    </row>
    <row r="44" spans="1:17" ht="15" customHeight="1">
      <c r="A44" s="429"/>
      <c r="B44" s="435" t="s">
        <v>85</v>
      </c>
      <c r="C44" s="435"/>
      <c r="D44" s="170">
        <v>23193.558000000005</v>
      </c>
      <c r="E44" s="171">
        <v>43897.012000000002</v>
      </c>
      <c r="F44" s="171">
        <v>33319.491999999998</v>
      </c>
      <c r="G44" s="172">
        <f t="shared" si="3"/>
        <v>100410.06200000001</v>
      </c>
      <c r="H44" s="170">
        <v>253410.07030100006</v>
      </c>
      <c r="I44" s="171">
        <v>477263.54312100005</v>
      </c>
      <c r="J44" s="171">
        <v>366288.35422600002</v>
      </c>
      <c r="K44" s="173">
        <f t="shared" si="0"/>
        <v>1096961.967648</v>
      </c>
      <c r="L44" s="42"/>
      <c r="M44" s="42"/>
      <c r="N44" s="42"/>
      <c r="O44" s="42"/>
      <c r="P44" s="42"/>
      <c r="Q44" s="42"/>
    </row>
    <row r="45" spans="1:17" ht="15" customHeight="1">
      <c r="A45" s="429"/>
      <c r="B45" s="428" t="s">
        <v>30</v>
      </c>
      <c r="C45" s="155" t="s">
        <v>67</v>
      </c>
      <c r="D45" s="156">
        <v>287897.92135161598</v>
      </c>
      <c r="E45" s="157">
        <v>310387.90937316167</v>
      </c>
      <c r="F45" s="157">
        <v>380619.77714922687</v>
      </c>
      <c r="G45" s="158">
        <f t="shared" si="3"/>
        <v>978905.60787400452</v>
      </c>
      <c r="H45" s="156">
        <v>3131385.6124369954</v>
      </c>
      <c r="I45" s="157">
        <v>3369742.9935179846</v>
      </c>
      <c r="J45" s="157">
        <v>4165278.5682219686</v>
      </c>
      <c r="K45" s="159">
        <f t="shared" si="0"/>
        <v>10666407.17417695</v>
      </c>
      <c r="L45" s="42"/>
      <c r="M45" s="42"/>
      <c r="N45" s="42"/>
      <c r="O45" s="42"/>
      <c r="P45" s="42"/>
      <c r="Q45" s="42"/>
    </row>
    <row r="46" spans="1:17" ht="15" customHeight="1">
      <c r="A46" s="429"/>
      <c r="B46" s="428"/>
      <c r="C46" s="155" t="s">
        <v>94</v>
      </c>
      <c r="D46" s="156">
        <v>671.28885591643552</v>
      </c>
      <c r="E46" s="157">
        <v>716.80472523997037</v>
      </c>
      <c r="F46" s="157">
        <v>2738.1834933099344</v>
      </c>
      <c r="G46" s="158">
        <f t="shared" si="3"/>
        <v>4126.2770744663403</v>
      </c>
      <c r="H46" s="156">
        <v>7580.0914519999405</v>
      </c>
      <c r="I46" s="157">
        <v>7879.4028009999474</v>
      </c>
      <c r="J46" s="157">
        <v>30011.104936000007</v>
      </c>
      <c r="K46" s="159">
        <f t="shared" si="0"/>
        <v>45470.599188999899</v>
      </c>
      <c r="L46" s="42"/>
      <c r="M46" s="42"/>
      <c r="N46" s="42"/>
      <c r="O46" s="42"/>
      <c r="P46" s="42"/>
      <c r="Q46" s="42"/>
    </row>
    <row r="47" spans="1:17" ht="15" customHeight="1">
      <c r="A47" s="430"/>
      <c r="B47" s="433"/>
      <c r="C47" s="160" t="s">
        <v>25</v>
      </c>
      <c r="D47" s="161">
        <v>288569.21020753239</v>
      </c>
      <c r="E47" s="162">
        <v>311104.71409840166</v>
      </c>
      <c r="F47" s="162">
        <v>383357.96064253681</v>
      </c>
      <c r="G47" s="163">
        <f>SUM(D47:F47)</f>
        <v>983031.88494847086</v>
      </c>
      <c r="H47" s="161">
        <v>3138965.7038889951</v>
      </c>
      <c r="I47" s="162">
        <v>3377622.3963189847</v>
      </c>
      <c r="J47" s="162">
        <v>4195289.6731579686</v>
      </c>
      <c r="K47" s="164">
        <f t="shared" si="0"/>
        <v>10711877.773365948</v>
      </c>
      <c r="L47" s="42"/>
      <c r="M47" s="42"/>
      <c r="N47" s="42"/>
      <c r="O47" s="42"/>
      <c r="P47" s="42"/>
      <c r="Q47" s="42"/>
    </row>
    <row r="48" spans="1:17" ht="0.95" customHeight="1">
      <c r="A48" s="152"/>
      <c r="B48" s="153"/>
      <c r="C48" s="174"/>
      <c r="D48" s="156"/>
      <c r="E48" s="157"/>
      <c r="F48" s="157"/>
      <c r="G48" s="158"/>
      <c r="H48" s="156"/>
      <c r="I48" s="157"/>
      <c r="J48" s="157"/>
      <c r="K48" s="159"/>
      <c r="L48" s="42"/>
      <c r="M48" s="42"/>
      <c r="N48" s="42"/>
      <c r="O48" s="42"/>
      <c r="P48" s="42"/>
      <c r="Q48" s="42"/>
    </row>
    <row r="49" spans="1:17" ht="0.95" customHeight="1">
      <c r="A49" s="152"/>
      <c r="B49" s="153"/>
      <c r="C49" s="174"/>
      <c r="D49" s="156"/>
      <c r="E49" s="157"/>
      <c r="F49" s="157"/>
      <c r="G49" s="158"/>
      <c r="H49" s="156"/>
      <c r="I49" s="157"/>
      <c r="J49" s="157"/>
      <c r="K49" s="159"/>
      <c r="L49" s="42"/>
      <c r="M49" s="42"/>
      <c r="N49" s="42"/>
      <c r="O49" s="42"/>
      <c r="P49" s="42"/>
      <c r="Q49" s="42"/>
    </row>
    <row r="50" spans="1:17" ht="0.95" customHeight="1">
      <c r="A50" s="152"/>
      <c r="B50" s="153"/>
      <c r="C50" s="174"/>
      <c r="D50" s="156"/>
      <c r="E50" s="157"/>
      <c r="F50" s="157"/>
      <c r="G50" s="158"/>
      <c r="H50" s="156"/>
      <c r="I50" s="157"/>
      <c r="J50" s="157"/>
      <c r="K50" s="159"/>
      <c r="L50" s="42"/>
      <c r="M50" s="42"/>
      <c r="N50" s="42"/>
      <c r="O50" s="42"/>
      <c r="P50" s="42"/>
      <c r="Q50" s="42"/>
    </row>
    <row r="51" spans="1:17" ht="15" customHeight="1">
      <c r="A51" s="432" t="s">
        <v>97</v>
      </c>
      <c r="B51" s="432"/>
      <c r="C51" s="432"/>
      <c r="D51" s="161">
        <v>-11034.673241898068</v>
      </c>
      <c r="E51" s="162">
        <v>10753.440024764626</v>
      </c>
      <c r="F51" s="162">
        <v>1274.2991751217633</v>
      </c>
      <c r="G51" s="163">
        <f t="shared" si="3"/>
        <v>993.06595798832132</v>
      </c>
      <c r="H51" s="161">
        <v>-95534.134264307562</v>
      </c>
      <c r="I51" s="162">
        <v>132623.45489248633</v>
      </c>
      <c r="J51" s="162">
        <v>-5597.5247472310439</v>
      </c>
      <c r="K51" s="164">
        <f>SUM(H51:J51)</f>
        <v>31491.795880947728</v>
      </c>
      <c r="L51" s="42"/>
      <c r="M51" s="42"/>
      <c r="N51" s="42"/>
      <c r="O51" s="42"/>
      <c r="P51" s="42"/>
      <c r="Q51" s="42"/>
    </row>
    <row r="52" spans="1:17" ht="5.0999999999999996" customHeight="1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M52" s="42"/>
    </row>
    <row r="53" spans="1:17">
      <c r="A53" s="418" t="s">
        <v>203</v>
      </c>
      <c r="B53" s="418"/>
      <c r="C53" s="418"/>
      <c r="D53" s="418"/>
      <c r="E53" s="418"/>
      <c r="F53" s="418"/>
      <c r="G53" s="418"/>
      <c r="H53" s="418"/>
      <c r="I53" s="418"/>
      <c r="J53" s="418"/>
      <c r="K53" s="418"/>
    </row>
    <row r="54" spans="1:17">
      <c r="A54" s="418"/>
      <c r="B54" s="418"/>
      <c r="C54" s="418"/>
      <c r="D54" s="418"/>
      <c r="E54" s="418"/>
      <c r="F54" s="418"/>
      <c r="G54" s="418"/>
      <c r="H54" s="418"/>
      <c r="I54" s="418"/>
      <c r="J54" s="418"/>
      <c r="K54" s="418"/>
    </row>
    <row r="55" spans="1:17">
      <c r="A55" s="418"/>
      <c r="B55" s="418"/>
      <c r="C55" s="418"/>
      <c r="D55" s="418"/>
      <c r="E55" s="418"/>
      <c r="F55" s="418"/>
      <c r="G55" s="418"/>
      <c r="H55" s="418"/>
      <c r="I55" s="418"/>
      <c r="J55" s="418"/>
      <c r="K55" s="418"/>
    </row>
    <row r="56" spans="1:17">
      <c r="A56" s="418"/>
      <c r="B56" s="418"/>
      <c r="C56" s="418"/>
      <c r="D56" s="418"/>
      <c r="E56" s="418"/>
      <c r="F56" s="418"/>
      <c r="G56" s="418"/>
      <c r="H56" s="418"/>
      <c r="I56" s="418"/>
      <c r="J56" s="418"/>
      <c r="K56" s="418"/>
    </row>
  </sheetData>
  <mergeCells count="25">
    <mergeCell ref="A51:C51"/>
    <mergeCell ref="A28:A36"/>
    <mergeCell ref="B28:B30"/>
    <mergeCell ref="B31:B33"/>
    <mergeCell ref="B34:B36"/>
    <mergeCell ref="B37:B39"/>
    <mergeCell ref="B40:B42"/>
    <mergeCell ref="B43:C43"/>
    <mergeCell ref="B44:C44"/>
    <mergeCell ref="A53:K56"/>
    <mergeCell ref="A2:K2"/>
    <mergeCell ref="D3:K3"/>
    <mergeCell ref="D4:G4"/>
    <mergeCell ref="H4:K4"/>
    <mergeCell ref="B6:B8"/>
    <mergeCell ref="B9:B11"/>
    <mergeCell ref="B12:B14"/>
    <mergeCell ref="A6:A14"/>
    <mergeCell ref="B15:B18"/>
    <mergeCell ref="B19:B22"/>
    <mergeCell ref="B23:B26"/>
    <mergeCell ref="A15:A27"/>
    <mergeCell ref="B27:C27"/>
    <mergeCell ref="B45:B47"/>
    <mergeCell ref="A37:A4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7" width="7.28515625" style="12" customWidth="1"/>
    <col min="8" max="8" width="6.7109375" style="12" customWidth="1"/>
    <col min="9" max="10" width="8.28515625" style="12" customWidth="1"/>
    <col min="11" max="11" width="8" style="12" customWidth="1"/>
    <col min="12" max="12" width="7.7109375" style="12" customWidth="1"/>
    <col min="13" max="16" width="7.42578125" style="12" customWidth="1"/>
    <col min="17" max="17" width="6.7109375" style="12" customWidth="1"/>
    <col min="18" max="18" width="8.28515625" style="12" customWidth="1"/>
    <col min="19" max="19" width="8.140625" style="12" customWidth="1"/>
    <col min="20" max="20" width="9.28515625" style="12" bestFit="1" customWidth="1"/>
    <col min="21" max="21" width="11.42578125" style="12" bestFit="1" customWidth="1"/>
    <col min="22" max="260" width="9.140625" style="12"/>
    <col min="261" max="273" width="10.7109375" style="12" customWidth="1"/>
    <col min="274" max="516" width="9.140625" style="12"/>
    <col min="517" max="529" width="10.7109375" style="12" customWidth="1"/>
    <col min="530" max="772" width="9.140625" style="12"/>
    <col min="773" max="785" width="10.7109375" style="12" customWidth="1"/>
    <col min="786" max="1028" width="9.140625" style="12"/>
    <col min="1029" max="1041" width="10.7109375" style="12" customWidth="1"/>
    <col min="1042" max="1284" width="9.140625" style="12"/>
    <col min="1285" max="1297" width="10.7109375" style="12" customWidth="1"/>
    <col min="1298" max="1540" width="9.140625" style="12"/>
    <col min="1541" max="1553" width="10.7109375" style="12" customWidth="1"/>
    <col min="1554" max="1796" width="9.140625" style="12"/>
    <col min="1797" max="1809" width="10.7109375" style="12" customWidth="1"/>
    <col min="1810" max="2052" width="9.140625" style="12"/>
    <col min="2053" max="2065" width="10.7109375" style="12" customWidth="1"/>
    <col min="2066" max="2308" width="9.140625" style="12"/>
    <col min="2309" max="2321" width="10.7109375" style="12" customWidth="1"/>
    <col min="2322" max="2564" width="9.140625" style="12"/>
    <col min="2565" max="2577" width="10.7109375" style="12" customWidth="1"/>
    <col min="2578" max="2820" width="9.140625" style="12"/>
    <col min="2821" max="2833" width="10.7109375" style="12" customWidth="1"/>
    <col min="2834" max="3076" width="9.140625" style="12"/>
    <col min="3077" max="3089" width="10.7109375" style="12" customWidth="1"/>
    <col min="3090" max="3332" width="9.140625" style="12"/>
    <col min="3333" max="3345" width="10.7109375" style="12" customWidth="1"/>
    <col min="3346" max="3588" width="9.140625" style="12"/>
    <col min="3589" max="3601" width="10.7109375" style="12" customWidth="1"/>
    <col min="3602" max="3844" width="9.140625" style="12"/>
    <col min="3845" max="3857" width="10.7109375" style="12" customWidth="1"/>
    <col min="3858" max="4100" width="9.140625" style="12"/>
    <col min="4101" max="4113" width="10.7109375" style="12" customWidth="1"/>
    <col min="4114" max="4356" width="9.140625" style="12"/>
    <col min="4357" max="4369" width="10.7109375" style="12" customWidth="1"/>
    <col min="4370" max="4612" width="9.140625" style="12"/>
    <col min="4613" max="4625" width="10.7109375" style="12" customWidth="1"/>
    <col min="4626" max="4868" width="9.140625" style="12"/>
    <col min="4869" max="4881" width="10.7109375" style="12" customWidth="1"/>
    <col min="4882" max="5124" width="9.140625" style="12"/>
    <col min="5125" max="5137" width="10.7109375" style="12" customWidth="1"/>
    <col min="5138" max="5380" width="9.140625" style="12"/>
    <col min="5381" max="5393" width="10.7109375" style="12" customWidth="1"/>
    <col min="5394" max="5636" width="9.140625" style="12"/>
    <col min="5637" max="5649" width="10.7109375" style="12" customWidth="1"/>
    <col min="5650" max="5892" width="9.140625" style="12"/>
    <col min="5893" max="5905" width="10.7109375" style="12" customWidth="1"/>
    <col min="5906" max="6148" width="9.140625" style="12"/>
    <col min="6149" max="6161" width="10.7109375" style="12" customWidth="1"/>
    <col min="6162" max="6404" width="9.140625" style="12"/>
    <col min="6405" max="6417" width="10.7109375" style="12" customWidth="1"/>
    <col min="6418" max="6660" width="9.140625" style="12"/>
    <col min="6661" max="6673" width="10.7109375" style="12" customWidth="1"/>
    <col min="6674" max="6916" width="9.140625" style="12"/>
    <col min="6917" max="6929" width="10.7109375" style="12" customWidth="1"/>
    <col min="6930" max="7172" width="9.140625" style="12"/>
    <col min="7173" max="7185" width="10.7109375" style="12" customWidth="1"/>
    <col min="7186" max="7428" width="9.140625" style="12"/>
    <col min="7429" max="7441" width="10.7109375" style="12" customWidth="1"/>
    <col min="7442" max="7684" width="9.140625" style="12"/>
    <col min="7685" max="7697" width="10.7109375" style="12" customWidth="1"/>
    <col min="7698" max="7940" width="9.140625" style="12"/>
    <col min="7941" max="7953" width="10.7109375" style="12" customWidth="1"/>
    <col min="7954" max="8196" width="9.140625" style="12"/>
    <col min="8197" max="8209" width="10.7109375" style="12" customWidth="1"/>
    <col min="8210" max="8452" width="9.140625" style="12"/>
    <col min="8453" max="8465" width="10.7109375" style="12" customWidth="1"/>
    <col min="8466" max="8708" width="9.140625" style="12"/>
    <col min="8709" max="8721" width="10.7109375" style="12" customWidth="1"/>
    <col min="8722" max="8964" width="9.140625" style="12"/>
    <col min="8965" max="8977" width="10.7109375" style="12" customWidth="1"/>
    <col min="8978" max="9220" width="9.140625" style="12"/>
    <col min="9221" max="9233" width="10.7109375" style="12" customWidth="1"/>
    <col min="9234" max="9476" width="9.140625" style="12"/>
    <col min="9477" max="9489" width="10.7109375" style="12" customWidth="1"/>
    <col min="9490" max="9732" width="9.140625" style="12"/>
    <col min="9733" max="9745" width="10.7109375" style="12" customWidth="1"/>
    <col min="9746" max="9988" width="9.140625" style="12"/>
    <col min="9989" max="10001" width="10.7109375" style="12" customWidth="1"/>
    <col min="10002" max="10244" width="9.140625" style="12"/>
    <col min="10245" max="10257" width="10.7109375" style="12" customWidth="1"/>
    <col min="10258" max="10500" width="9.140625" style="12"/>
    <col min="10501" max="10513" width="10.7109375" style="12" customWidth="1"/>
    <col min="10514" max="10756" width="9.140625" style="12"/>
    <col min="10757" max="10769" width="10.7109375" style="12" customWidth="1"/>
    <col min="10770" max="11012" width="9.140625" style="12"/>
    <col min="11013" max="11025" width="10.7109375" style="12" customWidth="1"/>
    <col min="11026" max="11268" width="9.140625" style="12"/>
    <col min="11269" max="11281" width="10.7109375" style="12" customWidth="1"/>
    <col min="11282" max="11524" width="9.140625" style="12"/>
    <col min="11525" max="11537" width="10.7109375" style="12" customWidth="1"/>
    <col min="11538" max="11780" width="9.140625" style="12"/>
    <col min="11781" max="11793" width="10.7109375" style="12" customWidth="1"/>
    <col min="11794" max="12036" width="9.140625" style="12"/>
    <col min="12037" max="12049" width="10.7109375" style="12" customWidth="1"/>
    <col min="12050" max="12292" width="9.140625" style="12"/>
    <col min="12293" max="12305" width="10.7109375" style="12" customWidth="1"/>
    <col min="12306" max="12548" width="9.140625" style="12"/>
    <col min="12549" max="12561" width="10.7109375" style="12" customWidth="1"/>
    <col min="12562" max="12804" width="9.140625" style="12"/>
    <col min="12805" max="12817" width="10.7109375" style="12" customWidth="1"/>
    <col min="12818" max="13060" width="9.140625" style="12"/>
    <col min="13061" max="13073" width="10.7109375" style="12" customWidth="1"/>
    <col min="13074" max="13316" width="9.140625" style="12"/>
    <col min="13317" max="13329" width="10.7109375" style="12" customWidth="1"/>
    <col min="13330" max="13572" width="9.140625" style="12"/>
    <col min="13573" max="13585" width="10.7109375" style="12" customWidth="1"/>
    <col min="13586" max="13828" width="9.140625" style="12"/>
    <col min="13829" max="13841" width="10.7109375" style="12" customWidth="1"/>
    <col min="13842" max="14084" width="9.140625" style="12"/>
    <col min="14085" max="14097" width="10.7109375" style="12" customWidth="1"/>
    <col min="14098" max="14340" width="9.140625" style="12"/>
    <col min="14341" max="14353" width="10.7109375" style="12" customWidth="1"/>
    <col min="14354" max="14596" width="9.140625" style="12"/>
    <col min="14597" max="14609" width="10.7109375" style="12" customWidth="1"/>
    <col min="14610" max="14852" width="9.140625" style="12"/>
    <col min="14853" max="14865" width="10.7109375" style="12" customWidth="1"/>
    <col min="14866" max="15108" width="9.140625" style="12"/>
    <col min="15109" max="15121" width="10.7109375" style="12" customWidth="1"/>
    <col min="15122" max="15364" width="9.140625" style="12"/>
    <col min="15365" max="15377" width="10.7109375" style="12" customWidth="1"/>
    <col min="15378" max="15620" width="9.140625" style="12"/>
    <col min="15621" max="15633" width="10.7109375" style="12" customWidth="1"/>
    <col min="15634" max="15876" width="9.140625" style="12"/>
    <col min="15877" max="15889" width="10.7109375" style="12" customWidth="1"/>
    <col min="15890" max="16132" width="9.140625" style="12"/>
    <col min="16133" max="16145" width="10.7109375" style="12" customWidth="1"/>
    <col min="16146" max="16384" width="9.140625" style="12"/>
  </cols>
  <sheetData>
    <row r="1" spans="1:23" ht="18">
      <c r="A1" s="441" t="s">
        <v>296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</row>
    <row r="2" spans="1:23" ht="6" customHeight="1">
      <c r="A2" s="176"/>
      <c r="B2" s="439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</row>
    <row r="3" spans="1:23" ht="15.95" customHeight="1">
      <c r="A3" s="206">
        <f>'3.1'!A4</f>
        <v>2022</v>
      </c>
      <c r="B3" s="447" t="s">
        <v>263</v>
      </c>
      <c r="C3" s="448"/>
      <c r="D3" s="448"/>
      <c r="E3" s="448"/>
      <c r="F3" s="448"/>
      <c r="G3" s="448"/>
      <c r="H3" s="448"/>
      <c r="I3" s="448"/>
      <c r="J3" s="449"/>
      <c r="K3" s="448" t="s">
        <v>221</v>
      </c>
      <c r="L3" s="448"/>
      <c r="M3" s="448"/>
      <c r="N3" s="448"/>
      <c r="O3" s="448"/>
      <c r="P3" s="448"/>
      <c r="Q3" s="448"/>
      <c r="R3" s="448"/>
      <c r="S3" s="448"/>
    </row>
    <row r="4" spans="1:23" ht="34.5" customHeight="1">
      <c r="A4" s="192"/>
      <c r="B4" s="436" t="s">
        <v>193</v>
      </c>
      <c r="C4" s="437"/>
      <c r="D4" s="437"/>
      <c r="E4" s="436" t="s">
        <v>194</v>
      </c>
      <c r="F4" s="437"/>
      <c r="G4" s="442"/>
      <c r="H4" s="443" t="s">
        <v>250</v>
      </c>
      <c r="I4" s="443" t="s">
        <v>190</v>
      </c>
      <c r="J4" s="445" t="s">
        <v>64</v>
      </c>
      <c r="K4" s="436" t="s">
        <v>193</v>
      </c>
      <c r="L4" s="437"/>
      <c r="M4" s="437"/>
      <c r="N4" s="436" t="s">
        <v>194</v>
      </c>
      <c r="O4" s="437"/>
      <c r="P4" s="442"/>
      <c r="Q4" s="443" t="s">
        <v>250</v>
      </c>
      <c r="R4" s="443" t="s">
        <v>190</v>
      </c>
      <c r="S4" s="443" t="s">
        <v>64</v>
      </c>
    </row>
    <row r="5" spans="1:23" ht="33.75">
      <c r="A5" s="193"/>
      <c r="B5" s="194" t="s">
        <v>21</v>
      </c>
      <c r="C5" s="195" t="s">
        <v>22</v>
      </c>
      <c r="D5" s="195" t="s">
        <v>192</v>
      </c>
      <c r="E5" s="194" t="s">
        <v>26</v>
      </c>
      <c r="F5" s="195" t="s">
        <v>27</v>
      </c>
      <c r="G5" s="196" t="s">
        <v>191</v>
      </c>
      <c r="H5" s="444"/>
      <c r="I5" s="444"/>
      <c r="J5" s="446"/>
      <c r="K5" s="195" t="s">
        <v>21</v>
      </c>
      <c r="L5" s="195" t="s">
        <v>22</v>
      </c>
      <c r="M5" s="195" t="s">
        <v>192</v>
      </c>
      <c r="N5" s="194" t="s">
        <v>26</v>
      </c>
      <c r="O5" s="195" t="s">
        <v>27</v>
      </c>
      <c r="P5" s="196" t="s">
        <v>191</v>
      </c>
      <c r="Q5" s="444"/>
      <c r="R5" s="444"/>
      <c r="S5" s="444"/>
    </row>
    <row r="6" spans="1:23" ht="12" customHeight="1">
      <c r="A6" s="177" t="s">
        <v>161</v>
      </c>
      <c r="B6" s="184">
        <v>3368.4318376071833</v>
      </c>
      <c r="C6" s="178">
        <v>2936.875920396245</v>
      </c>
      <c r="D6" s="179">
        <v>431.55591721093833</v>
      </c>
      <c r="E6" s="190">
        <v>678.60557000000006</v>
      </c>
      <c r="F6" s="179">
        <v>2.2123170000000001</v>
      </c>
      <c r="G6" s="186">
        <v>676.39325300000007</v>
      </c>
      <c r="H6" s="179">
        <v>12.437685999999999</v>
      </c>
      <c r="I6" s="179">
        <v>13.875976986970054</v>
      </c>
      <c r="J6" s="186">
        <v>1134.2628331979085</v>
      </c>
      <c r="K6" s="178">
        <v>35946.549281425003</v>
      </c>
      <c r="L6" s="178">
        <v>31350.171766865897</v>
      </c>
      <c r="M6" s="179">
        <v>4596.3775145591062</v>
      </c>
      <c r="N6" s="190">
        <v>7240.7298269999992</v>
      </c>
      <c r="O6" s="179">
        <v>23.541039282000007</v>
      </c>
      <c r="P6" s="186">
        <v>7217.1887877179988</v>
      </c>
      <c r="Q6" s="179">
        <v>134.89672163059998</v>
      </c>
      <c r="R6" s="179">
        <v>170.32658545830287</v>
      </c>
      <c r="S6" s="179">
        <v>12118.789609366004</v>
      </c>
      <c r="T6" s="56"/>
      <c r="U6" s="57"/>
      <c r="V6" s="57"/>
      <c r="W6" s="57"/>
    </row>
    <row r="7" spans="1:23" ht="12" customHeight="1">
      <c r="A7" s="177" t="s">
        <v>162</v>
      </c>
      <c r="B7" s="184">
        <v>3030.8876179384415</v>
      </c>
      <c r="C7" s="179">
        <v>2527.7966007449631</v>
      </c>
      <c r="D7" s="179">
        <v>503.09101719347836</v>
      </c>
      <c r="E7" s="190">
        <v>384.90369700000002</v>
      </c>
      <c r="F7" s="179">
        <v>13.730227999999999</v>
      </c>
      <c r="G7" s="186">
        <v>371.17346900000001</v>
      </c>
      <c r="H7" s="179">
        <v>10.942409000000001</v>
      </c>
      <c r="I7" s="179">
        <v>5.2935049002591983</v>
      </c>
      <c r="J7" s="186">
        <v>890.50040009373777</v>
      </c>
      <c r="K7" s="178">
        <v>32344.353733057</v>
      </c>
      <c r="L7" s="179">
        <v>26981.2211958148</v>
      </c>
      <c r="M7" s="179">
        <v>5363.1325372421998</v>
      </c>
      <c r="N7" s="190">
        <v>4108.8620759999994</v>
      </c>
      <c r="O7" s="179">
        <v>146.79278078699997</v>
      </c>
      <c r="P7" s="186">
        <v>3962.0692952129994</v>
      </c>
      <c r="Q7" s="179">
        <v>118.67620429339999</v>
      </c>
      <c r="R7" s="179">
        <v>83.090755469398573</v>
      </c>
      <c r="S7" s="179">
        <v>9526.9687922179983</v>
      </c>
      <c r="T7" s="58"/>
      <c r="U7" s="57"/>
      <c r="V7" s="57"/>
      <c r="W7" s="57"/>
    </row>
    <row r="8" spans="1:23" ht="12" customHeight="1">
      <c r="A8" s="180" t="s">
        <v>163</v>
      </c>
      <c r="B8" s="185">
        <v>3740.0577454539725</v>
      </c>
      <c r="C8" s="182">
        <v>3041.2181782033535</v>
      </c>
      <c r="D8" s="182">
        <v>698.83956725061898</v>
      </c>
      <c r="E8" s="191">
        <v>267.33676600000001</v>
      </c>
      <c r="F8" s="182">
        <v>82.844617999999983</v>
      </c>
      <c r="G8" s="187">
        <v>184.49214800000004</v>
      </c>
      <c r="H8" s="182">
        <v>12.209565000000001</v>
      </c>
      <c r="I8" s="182">
        <v>27.078212184076548</v>
      </c>
      <c r="J8" s="187">
        <v>922.6194924346953</v>
      </c>
      <c r="K8" s="181">
        <v>39968.925224856801</v>
      </c>
      <c r="L8" s="182">
        <v>32474.878708074899</v>
      </c>
      <c r="M8" s="182">
        <v>7494.046516781902</v>
      </c>
      <c r="N8" s="191">
        <v>2860.9300859999998</v>
      </c>
      <c r="O8" s="182">
        <v>885.91493354699992</v>
      </c>
      <c r="P8" s="187">
        <v>1975.0151524529999</v>
      </c>
      <c r="Q8" s="182">
        <v>132.15311265240004</v>
      </c>
      <c r="R8" s="182">
        <v>308.23921136252767</v>
      </c>
      <c r="S8" s="182">
        <v>9909.4539932498319</v>
      </c>
      <c r="T8" s="59"/>
      <c r="U8" s="57"/>
      <c r="V8" s="57"/>
      <c r="W8" s="57"/>
    </row>
    <row r="9" spans="1:23" ht="12" customHeight="1">
      <c r="A9" s="177" t="s">
        <v>164</v>
      </c>
      <c r="B9" s="184">
        <v>3646.2681503652043</v>
      </c>
      <c r="C9" s="179">
        <v>2450.724807779794</v>
      </c>
      <c r="D9" s="179">
        <v>1195.5433425854103</v>
      </c>
      <c r="E9" s="190">
        <v>58.112975999999996</v>
      </c>
      <c r="F9" s="179">
        <v>583.95101499999998</v>
      </c>
      <c r="G9" s="186">
        <v>-525.83803899999998</v>
      </c>
      <c r="H9" s="179">
        <v>11.408387000000001</v>
      </c>
      <c r="I9" s="179">
        <v>-9.7515409764110803</v>
      </c>
      <c r="J9" s="186">
        <v>671.36214960899895</v>
      </c>
      <c r="K9" s="178">
        <v>38983.402848524005</v>
      </c>
      <c r="L9" s="179">
        <v>26179.454943267701</v>
      </c>
      <c r="M9" s="179">
        <v>12803.947905256304</v>
      </c>
      <c r="N9" s="190">
        <v>622.81438000000003</v>
      </c>
      <c r="O9" s="179">
        <v>6238.6961637600007</v>
      </c>
      <c r="P9" s="186">
        <v>-5615.8817837600009</v>
      </c>
      <c r="Q9" s="179">
        <v>123.4549095963</v>
      </c>
      <c r="R9" s="179">
        <v>-73.537115569694905</v>
      </c>
      <c r="S9" s="179">
        <v>7237.9839155229056</v>
      </c>
      <c r="T9" s="58"/>
      <c r="U9" s="57"/>
      <c r="V9" s="57"/>
      <c r="W9" s="57"/>
    </row>
    <row r="10" spans="1:23" ht="12" customHeight="1">
      <c r="A10" s="177" t="s">
        <v>165</v>
      </c>
      <c r="B10" s="184">
        <v>3600.6119231410016</v>
      </c>
      <c r="C10" s="179">
        <v>2386.8278837610524</v>
      </c>
      <c r="D10" s="179">
        <v>1213.7840393799493</v>
      </c>
      <c r="E10" s="190">
        <v>0</v>
      </c>
      <c r="F10" s="179">
        <v>843.36109899999997</v>
      </c>
      <c r="G10" s="186">
        <v>-843.36109899999997</v>
      </c>
      <c r="H10" s="179">
        <v>12.335933000000001</v>
      </c>
      <c r="I10" s="179">
        <v>6.1372987744699348</v>
      </c>
      <c r="J10" s="186">
        <v>388.89617215441922</v>
      </c>
      <c r="K10" s="178">
        <v>38454.287771183997</v>
      </c>
      <c r="L10" s="179">
        <v>25494.575609104802</v>
      </c>
      <c r="M10" s="179">
        <v>12959.712162079195</v>
      </c>
      <c r="N10" s="190">
        <v>0</v>
      </c>
      <c r="O10" s="179">
        <v>9010.155727571002</v>
      </c>
      <c r="P10" s="186">
        <v>-9010.155727571002</v>
      </c>
      <c r="Q10" s="179">
        <v>133.47845841560002</v>
      </c>
      <c r="R10" s="179">
        <v>96.62239976518228</v>
      </c>
      <c r="S10" s="179">
        <v>4179.6572926889776</v>
      </c>
      <c r="T10" s="58"/>
      <c r="U10" s="57"/>
      <c r="V10" s="57"/>
      <c r="W10" s="57"/>
    </row>
    <row r="11" spans="1:23" ht="12" customHeight="1">
      <c r="A11" s="180" t="s">
        <v>166</v>
      </c>
      <c r="B11" s="185">
        <v>2992.0868665099147</v>
      </c>
      <c r="C11" s="182">
        <v>2183.7793839814467</v>
      </c>
      <c r="D11" s="182">
        <v>808.30748252846797</v>
      </c>
      <c r="E11" s="191">
        <v>1.0541230000000001</v>
      </c>
      <c r="F11" s="182">
        <v>488.84463900000003</v>
      </c>
      <c r="G11" s="187">
        <v>-487.79051600000003</v>
      </c>
      <c r="H11" s="182">
        <v>12.345179000000002</v>
      </c>
      <c r="I11" s="182">
        <v>3.4923493485855288</v>
      </c>
      <c r="J11" s="187">
        <v>336.35449487705364</v>
      </c>
      <c r="K11" s="181">
        <v>32016.791148502998</v>
      </c>
      <c r="L11" s="182">
        <v>23344.806600269101</v>
      </c>
      <c r="M11" s="182">
        <v>8671.9845482338969</v>
      </c>
      <c r="N11" s="191">
        <v>11.281193999999999</v>
      </c>
      <c r="O11" s="182">
        <v>5233.3445628020008</v>
      </c>
      <c r="P11" s="187">
        <v>-5222.0633688020007</v>
      </c>
      <c r="Q11" s="182">
        <v>133.70256810759997</v>
      </c>
      <c r="R11" s="182">
        <v>65.899671437519132</v>
      </c>
      <c r="S11" s="182">
        <v>3649.5234189770149</v>
      </c>
      <c r="T11" s="58"/>
      <c r="U11" s="57"/>
      <c r="V11" s="57"/>
      <c r="W11" s="57"/>
    </row>
    <row r="12" spans="1:23" ht="12" customHeight="1">
      <c r="A12" s="177" t="s">
        <v>167</v>
      </c>
      <c r="B12" s="184">
        <v>1764.5666832355819</v>
      </c>
      <c r="C12" s="179">
        <v>1059.5208547861516</v>
      </c>
      <c r="D12" s="179">
        <v>705.04582844943025</v>
      </c>
      <c r="E12" s="190">
        <v>0.967611</v>
      </c>
      <c r="F12" s="179">
        <v>419.18194199999999</v>
      </c>
      <c r="G12" s="186">
        <v>-418.21433100000002</v>
      </c>
      <c r="H12" s="179">
        <v>12.772386000000001</v>
      </c>
      <c r="I12" s="179">
        <v>-11.034673241898068</v>
      </c>
      <c r="J12" s="186">
        <v>288.56921020753236</v>
      </c>
      <c r="K12" s="178">
        <v>18995.561568838006</v>
      </c>
      <c r="L12" s="179">
        <v>11372.5320243442</v>
      </c>
      <c r="M12" s="179">
        <v>7623.0295444938056</v>
      </c>
      <c r="N12" s="190">
        <v>10.460077</v>
      </c>
      <c r="O12" s="179">
        <v>4537.4323403870003</v>
      </c>
      <c r="P12" s="186">
        <v>-4526.9722633870006</v>
      </c>
      <c r="Q12" s="179">
        <v>138.44255704649996</v>
      </c>
      <c r="R12" s="179">
        <v>-95.534134264307568</v>
      </c>
      <c r="S12" s="179">
        <v>3138.965703888995</v>
      </c>
      <c r="T12" s="58"/>
      <c r="U12" s="57"/>
      <c r="V12" s="57"/>
      <c r="W12" s="57"/>
    </row>
    <row r="13" spans="1:23" ht="12" customHeight="1">
      <c r="A13" s="177" t="s">
        <v>168</v>
      </c>
      <c r="B13" s="184">
        <v>1260.4085447814048</v>
      </c>
      <c r="C13" s="179">
        <v>841.7128717077677</v>
      </c>
      <c r="D13" s="179">
        <v>418.69567307363707</v>
      </c>
      <c r="E13" s="190">
        <v>1.9614500000000001</v>
      </c>
      <c r="F13" s="179">
        <v>132.453382</v>
      </c>
      <c r="G13" s="186">
        <v>-130.49193199999999</v>
      </c>
      <c r="H13" s="179">
        <v>12.147532999999999</v>
      </c>
      <c r="I13" s="179">
        <v>10.753440024764627</v>
      </c>
      <c r="J13" s="186">
        <v>311.10471409840164</v>
      </c>
      <c r="K13" s="178">
        <v>13573.808559102999</v>
      </c>
      <c r="L13" s="179">
        <v>9053.6707668315012</v>
      </c>
      <c r="M13" s="179">
        <v>4520.1377922714983</v>
      </c>
      <c r="N13" s="190">
        <v>21.151826999999997</v>
      </c>
      <c r="O13" s="179">
        <v>1427.7682443289998</v>
      </c>
      <c r="P13" s="186">
        <v>-1406.6164173289999</v>
      </c>
      <c r="Q13" s="179">
        <v>131.47756648400002</v>
      </c>
      <c r="R13" s="179">
        <v>132.62345489248634</v>
      </c>
      <c r="S13" s="179">
        <v>3377.6223963189846</v>
      </c>
      <c r="T13" s="58"/>
      <c r="U13" s="57"/>
      <c r="V13" s="57"/>
      <c r="W13" s="57"/>
    </row>
    <row r="14" spans="1:23" ht="12" customHeight="1">
      <c r="A14" s="180" t="s">
        <v>169</v>
      </c>
      <c r="B14" s="185">
        <v>776.19697855963193</v>
      </c>
      <c r="C14" s="182">
        <v>253.64251109221692</v>
      </c>
      <c r="D14" s="182">
        <v>522.55446746741495</v>
      </c>
      <c r="E14" s="191">
        <v>3.5981879999999999</v>
      </c>
      <c r="F14" s="182">
        <v>156.05039400000001</v>
      </c>
      <c r="G14" s="187">
        <v>-152.45220600000002</v>
      </c>
      <c r="H14" s="182">
        <v>11.981399999999999</v>
      </c>
      <c r="I14" s="182">
        <v>1.2742991751217632</v>
      </c>
      <c r="J14" s="187">
        <v>383.3579606425368</v>
      </c>
      <c r="K14" s="181">
        <v>8502.546646529001</v>
      </c>
      <c r="L14" s="182">
        <v>2770.1322471067997</v>
      </c>
      <c r="M14" s="182">
        <v>5732.4143994222013</v>
      </c>
      <c r="N14" s="191">
        <v>38.712868</v>
      </c>
      <c r="O14" s="182">
        <v>1700.5748317279999</v>
      </c>
      <c r="P14" s="187">
        <v>-1661.8619637279999</v>
      </c>
      <c r="Q14" s="182">
        <v>130.33476221099997</v>
      </c>
      <c r="R14" s="182">
        <v>-5.5975247472310441</v>
      </c>
      <c r="S14" s="182">
        <v>4195.2896731579685</v>
      </c>
      <c r="T14" s="58"/>
      <c r="U14" s="57"/>
      <c r="V14" s="57"/>
      <c r="W14" s="57"/>
    </row>
    <row r="15" spans="1:23" ht="12" customHeight="1">
      <c r="A15" s="177" t="s">
        <v>170</v>
      </c>
      <c r="B15" s="184"/>
      <c r="C15" s="179"/>
      <c r="D15" s="179"/>
      <c r="E15" s="190"/>
      <c r="F15" s="179"/>
      <c r="G15" s="186"/>
      <c r="H15" s="179"/>
      <c r="I15" s="179"/>
      <c r="J15" s="186"/>
      <c r="K15" s="178"/>
      <c r="L15" s="179"/>
      <c r="M15" s="179"/>
      <c r="N15" s="190"/>
      <c r="O15" s="179"/>
      <c r="P15" s="186"/>
      <c r="Q15" s="179"/>
      <c r="R15" s="179"/>
      <c r="S15" s="179"/>
      <c r="T15" s="58"/>
      <c r="U15" s="57"/>
      <c r="V15" s="57"/>
      <c r="W15" s="57"/>
    </row>
    <row r="16" spans="1:23" ht="12" customHeight="1">
      <c r="A16" s="177" t="s">
        <v>171</v>
      </c>
      <c r="B16" s="184"/>
      <c r="C16" s="179"/>
      <c r="D16" s="179"/>
      <c r="E16" s="190"/>
      <c r="F16" s="179"/>
      <c r="G16" s="186"/>
      <c r="H16" s="179"/>
      <c r="I16" s="179"/>
      <c r="J16" s="186"/>
      <c r="K16" s="178"/>
      <c r="L16" s="179"/>
      <c r="M16" s="179"/>
      <c r="N16" s="190"/>
      <c r="O16" s="179"/>
      <c r="P16" s="186"/>
      <c r="Q16" s="179"/>
      <c r="R16" s="179"/>
      <c r="S16" s="179"/>
      <c r="T16" s="58"/>
      <c r="U16" s="57"/>
      <c r="V16" s="57"/>
      <c r="W16" s="57"/>
    </row>
    <row r="17" spans="1:23" ht="12" customHeight="1">
      <c r="A17" s="180" t="s">
        <v>172</v>
      </c>
      <c r="B17" s="185"/>
      <c r="C17" s="182"/>
      <c r="D17" s="182"/>
      <c r="E17" s="191"/>
      <c r="F17" s="182"/>
      <c r="G17" s="187"/>
      <c r="H17" s="182"/>
      <c r="I17" s="182"/>
      <c r="J17" s="187"/>
      <c r="K17" s="181"/>
      <c r="L17" s="182"/>
      <c r="M17" s="182"/>
      <c r="N17" s="191"/>
      <c r="O17" s="182"/>
      <c r="P17" s="187"/>
      <c r="Q17" s="182"/>
      <c r="R17" s="182"/>
      <c r="S17" s="182"/>
      <c r="T17" s="58"/>
      <c r="U17" s="57"/>
      <c r="V17" s="57"/>
      <c r="W17" s="57"/>
    </row>
    <row r="18" spans="1:23" ht="12" customHeight="1">
      <c r="A18" s="177" t="s">
        <v>48</v>
      </c>
      <c r="B18" s="184">
        <f>SUM(B6:B8)</f>
        <v>10139.377200999597</v>
      </c>
      <c r="C18" s="178">
        <f>SUM(C6:C8)</f>
        <v>8505.8906993445617</v>
      </c>
      <c r="D18" s="178">
        <f>SUM(D6:D8)</f>
        <v>1633.4865016550357</v>
      </c>
      <c r="E18" s="184">
        <f t="shared" ref="E18:J18" si="0">SUM(E6:E8)</f>
        <v>1330.8460330000003</v>
      </c>
      <c r="F18" s="178">
        <f t="shared" si="0"/>
        <v>98.787162999999978</v>
      </c>
      <c r="G18" s="188">
        <f>SUM(G6:G8)</f>
        <v>1232.0588700000001</v>
      </c>
      <c r="H18" s="178">
        <f t="shared" si="0"/>
        <v>35.589660000000002</v>
      </c>
      <c r="I18" s="178">
        <f t="shared" si="0"/>
        <v>46.247694071305801</v>
      </c>
      <c r="J18" s="188">
        <f t="shared" si="0"/>
        <v>2947.382725726342</v>
      </c>
      <c r="K18" s="178">
        <f>SUM(K6:K8)</f>
        <v>108259.82823933879</v>
      </c>
      <c r="L18" s="178">
        <f>SUM(L6:L8)</f>
        <v>90806.271670755596</v>
      </c>
      <c r="M18" s="178">
        <f t="shared" ref="M18:S18" si="1">SUM(M6:M8)</f>
        <v>17453.556568583208</v>
      </c>
      <c r="N18" s="184">
        <f t="shared" si="1"/>
        <v>14210.521988999999</v>
      </c>
      <c r="O18" s="178">
        <f t="shared" si="1"/>
        <v>1056.2487536159999</v>
      </c>
      <c r="P18" s="188">
        <f t="shared" si="1"/>
        <v>13154.273235383998</v>
      </c>
      <c r="Q18" s="178">
        <f t="shared" si="1"/>
        <v>385.72603857640001</v>
      </c>
      <c r="R18" s="178">
        <f>SUM(R6:R8)</f>
        <v>561.65655229022911</v>
      </c>
      <c r="S18" s="178">
        <f t="shared" si="1"/>
        <v>31555.212394833834</v>
      </c>
    </row>
    <row r="19" spans="1:23" ht="12" customHeight="1">
      <c r="A19" s="177" t="s">
        <v>56</v>
      </c>
      <c r="B19" s="184">
        <f>SUM(B9:B11)</f>
        <v>10238.96694001612</v>
      </c>
      <c r="C19" s="178">
        <f>SUM(C9:C11)</f>
        <v>7021.3320755222931</v>
      </c>
      <c r="D19" s="178">
        <f t="shared" ref="D19:J19" si="2">SUM(D9:D11)</f>
        <v>3217.6348644938275</v>
      </c>
      <c r="E19" s="184">
        <f t="shared" si="2"/>
        <v>59.167098999999993</v>
      </c>
      <c r="F19" s="178">
        <f t="shared" si="2"/>
        <v>1916.1567529999998</v>
      </c>
      <c r="G19" s="188">
        <f t="shared" si="2"/>
        <v>-1856.989654</v>
      </c>
      <c r="H19" s="178">
        <f t="shared" si="2"/>
        <v>36.089499000000004</v>
      </c>
      <c r="I19" s="178">
        <f t="shared" si="2"/>
        <v>-0.12189285335561673</v>
      </c>
      <c r="J19" s="188">
        <f t="shared" si="2"/>
        <v>1396.6128166404719</v>
      </c>
      <c r="K19" s="178">
        <f>SUM(K9:K11)</f>
        <v>109454.481768211</v>
      </c>
      <c r="L19" s="178">
        <f t="shared" ref="L19:S19" si="3">SUM(L9:L11)</f>
        <v>75018.837152641601</v>
      </c>
      <c r="M19" s="178">
        <f t="shared" si="3"/>
        <v>34435.644615569399</v>
      </c>
      <c r="N19" s="184">
        <f t="shared" si="3"/>
        <v>634.09557400000006</v>
      </c>
      <c r="O19" s="178">
        <f>SUM(O9:O11)</f>
        <v>20482.196454133005</v>
      </c>
      <c r="P19" s="188">
        <f t="shared" si="3"/>
        <v>-19848.100880133003</v>
      </c>
      <c r="Q19" s="178">
        <f t="shared" si="3"/>
        <v>390.6359361195</v>
      </c>
      <c r="R19" s="178">
        <f t="shared" si="3"/>
        <v>88.984955633006507</v>
      </c>
      <c r="S19" s="178">
        <f t="shared" si="3"/>
        <v>15067.164627188899</v>
      </c>
    </row>
    <row r="20" spans="1:23" ht="12" customHeight="1">
      <c r="A20" s="177" t="s">
        <v>63</v>
      </c>
      <c r="B20" s="184">
        <f>SUM(B12:B14)</f>
        <v>3801.1722065766189</v>
      </c>
      <c r="C20" s="178">
        <f>SUM(C12:C14)</f>
        <v>2154.8762375861361</v>
      </c>
      <c r="D20" s="178">
        <f t="shared" ref="D20:J20" si="4">SUM(D12:D14)</f>
        <v>1646.2959689904822</v>
      </c>
      <c r="E20" s="184">
        <f t="shared" si="4"/>
        <v>6.5272489999999994</v>
      </c>
      <c r="F20" s="178">
        <f t="shared" si="4"/>
        <v>707.68571799999995</v>
      </c>
      <c r="G20" s="188">
        <f t="shared" si="4"/>
        <v>-701.15846900000008</v>
      </c>
      <c r="H20" s="178">
        <f t="shared" si="4"/>
        <v>36.901319000000001</v>
      </c>
      <c r="I20" s="178">
        <f>SUM(I12:I14)</f>
        <v>0.99306595798832276</v>
      </c>
      <c r="J20" s="188">
        <f t="shared" si="4"/>
        <v>983.03188494847075</v>
      </c>
      <c r="K20" s="178">
        <f>SUM(K12:K14)</f>
        <v>41071.91677447001</v>
      </c>
      <c r="L20" s="178">
        <f t="shared" ref="L20:S20" si="5">SUM(L12:L14)</f>
        <v>23196.335038282501</v>
      </c>
      <c r="M20" s="178">
        <f t="shared" si="5"/>
        <v>17875.581736187505</v>
      </c>
      <c r="N20" s="184">
        <f t="shared" si="5"/>
        <v>70.324771999999996</v>
      </c>
      <c r="O20" s="178">
        <f t="shared" si="5"/>
        <v>7665.7754164439993</v>
      </c>
      <c r="P20" s="188">
        <f t="shared" si="5"/>
        <v>-7595.4506444440003</v>
      </c>
      <c r="Q20" s="178">
        <f t="shared" si="5"/>
        <v>400.25488574149995</v>
      </c>
      <c r="R20" s="178">
        <f t="shared" si="5"/>
        <v>31.491795880947723</v>
      </c>
      <c r="S20" s="178">
        <f t="shared" si="5"/>
        <v>10711.877773365948</v>
      </c>
    </row>
    <row r="21" spans="1:23" ht="12" customHeight="1">
      <c r="A21" s="180" t="s">
        <v>57</v>
      </c>
      <c r="B21" s="391">
        <f>SUM(B15:B17)</f>
        <v>0</v>
      </c>
      <c r="C21" s="390">
        <f>SUM(C15:C17)</f>
        <v>0</v>
      </c>
      <c r="D21" s="390">
        <f t="shared" ref="D21:J21" si="6">SUM(D15:D17)</f>
        <v>0</v>
      </c>
      <c r="E21" s="391">
        <f t="shared" si="6"/>
        <v>0</v>
      </c>
      <c r="F21" s="390">
        <f t="shared" si="6"/>
        <v>0</v>
      </c>
      <c r="G21" s="392">
        <f t="shared" si="6"/>
        <v>0</v>
      </c>
      <c r="H21" s="390">
        <f t="shared" si="6"/>
        <v>0</v>
      </c>
      <c r="I21" s="390">
        <f t="shared" si="6"/>
        <v>0</v>
      </c>
      <c r="J21" s="392">
        <f t="shared" si="6"/>
        <v>0</v>
      </c>
      <c r="K21" s="390">
        <f>SUM(K15:K17)</f>
        <v>0</v>
      </c>
      <c r="L21" s="390">
        <f t="shared" ref="L21:R21" si="7">SUM(L15:L17)</f>
        <v>0</v>
      </c>
      <c r="M21" s="390">
        <f t="shared" si="7"/>
        <v>0</v>
      </c>
      <c r="N21" s="391">
        <f t="shared" si="7"/>
        <v>0</v>
      </c>
      <c r="O21" s="390">
        <f t="shared" si="7"/>
        <v>0</v>
      </c>
      <c r="P21" s="392">
        <f t="shared" si="7"/>
        <v>0</v>
      </c>
      <c r="Q21" s="390">
        <f t="shared" si="7"/>
        <v>0</v>
      </c>
      <c r="R21" s="390">
        <f t="shared" si="7"/>
        <v>0</v>
      </c>
      <c r="S21" s="390">
        <f>SUM(S15:S17)</f>
        <v>0</v>
      </c>
    </row>
    <row r="22" spans="1:23" ht="12" customHeight="1">
      <c r="A22" s="177" t="s">
        <v>58</v>
      </c>
      <c r="B22" s="184">
        <f>SUM(B6:B11)</f>
        <v>20378.344141015717</v>
      </c>
      <c r="C22" s="178">
        <f>SUM(C6:C11)</f>
        <v>15527.222774866856</v>
      </c>
      <c r="D22" s="178">
        <f t="shared" ref="D22:J22" si="8">SUM(D6:D11)</f>
        <v>4851.1213661488637</v>
      </c>
      <c r="E22" s="184">
        <f t="shared" si="8"/>
        <v>1390.013132</v>
      </c>
      <c r="F22" s="178">
        <f t="shared" si="8"/>
        <v>2014.9439159999997</v>
      </c>
      <c r="G22" s="188">
        <f t="shared" si="8"/>
        <v>-624.9307839999999</v>
      </c>
      <c r="H22" s="178">
        <f t="shared" si="8"/>
        <v>71.679158999999999</v>
      </c>
      <c r="I22" s="178">
        <f t="shared" si="8"/>
        <v>46.125801217950183</v>
      </c>
      <c r="J22" s="188">
        <f t="shared" si="8"/>
        <v>4343.9955423668143</v>
      </c>
      <c r="K22" s="178">
        <f>SUM(K6:K11)</f>
        <v>217714.31000754979</v>
      </c>
      <c r="L22" s="178">
        <f t="shared" ref="L22:S22" si="9">SUM(L6:L11)</f>
        <v>165825.1088233972</v>
      </c>
      <c r="M22" s="178">
        <f t="shared" si="9"/>
        <v>51889.201184152611</v>
      </c>
      <c r="N22" s="184">
        <f t="shared" si="9"/>
        <v>14844.617562999998</v>
      </c>
      <c r="O22" s="178">
        <f t="shared" si="9"/>
        <v>21538.445207749002</v>
      </c>
      <c r="P22" s="188">
        <f t="shared" si="9"/>
        <v>-6693.8276447490052</v>
      </c>
      <c r="Q22" s="178">
        <f t="shared" si="9"/>
        <v>776.36197469590002</v>
      </c>
      <c r="R22" s="178">
        <f t="shared" si="9"/>
        <v>650.64150792323562</v>
      </c>
      <c r="S22" s="178">
        <f t="shared" si="9"/>
        <v>46622.377022022731</v>
      </c>
    </row>
    <row r="23" spans="1:23" ht="12" customHeight="1">
      <c r="A23" s="180" t="s">
        <v>59</v>
      </c>
      <c r="B23" s="391">
        <f>SUM(B12:B17)</f>
        <v>3801.1722065766189</v>
      </c>
      <c r="C23" s="390">
        <f>SUM(C12:C17)</f>
        <v>2154.8762375861361</v>
      </c>
      <c r="D23" s="390">
        <f t="shared" ref="D23:J23" si="10">SUM(D12:D17)</f>
        <v>1646.2959689904822</v>
      </c>
      <c r="E23" s="391">
        <f t="shared" si="10"/>
        <v>6.5272489999999994</v>
      </c>
      <c r="F23" s="390">
        <f t="shared" si="10"/>
        <v>707.68571799999995</v>
      </c>
      <c r="G23" s="392">
        <f t="shared" si="10"/>
        <v>-701.15846900000008</v>
      </c>
      <c r="H23" s="390">
        <f t="shared" si="10"/>
        <v>36.901319000000001</v>
      </c>
      <c r="I23" s="390">
        <f t="shared" si="10"/>
        <v>0.99306595798832276</v>
      </c>
      <c r="J23" s="392">
        <f t="shared" si="10"/>
        <v>983.03188494847075</v>
      </c>
      <c r="K23" s="390">
        <f>SUM(K12:K17)</f>
        <v>41071.91677447001</v>
      </c>
      <c r="L23" s="390">
        <f t="shared" ref="L23:S23" si="11">SUM(L12:L17)</f>
        <v>23196.335038282501</v>
      </c>
      <c r="M23" s="390">
        <f t="shared" si="11"/>
        <v>17875.581736187505</v>
      </c>
      <c r="N23" s="391">
        <f t="shared" si="11"/>
        <v>70.324771999999996</v>
      </c>
      <c r="O23" s="390">
        <f t="shared" si="11"/>
        <v>7665.7754164439993</v>
      </c>
      <c r="P23" s="392">
        <f t="shared" si="11"/>
        <v>-7595.4506444440003</v>
      </c>
      <c r="Q23" s="390">
        <f t="shared" si="11"/>
        <v>400.25488574149995</v>
      </c>
      <c r="R23" s="390">
        <f t="shared" si="11"/>
        <v>31.491795880947723</v>
      </c>
      <c r="S23" s="390">
        <f t="shared" si="11"/>
        <v>10711.877773365948</v>
      </c>
    </row>
    <row r="24" spans="1:23" ht="12" customHeight="1">
      <c r="A24" s="183" t="s">
        <v>173</v>
      </c>
      <c r="B24" s="393">
        <f>SUM(B6:B17)</f>
        <v>24179.516347592333</v>
      </c>
      <c r="C24" s="394">
        <f>SUM(C6:C17)</f>
        <v>17682.099012452993</v>
      </c>
      <c r="D24" s="394">
        <f t="shared" ref="D24:J24" si="12">SUM(D6:D17)</f>
        <v>6497.4173351393465</v>
      </c>
      <c r="E24" s="393">
        <f t="shared" si="12"/>
        <v>1396.540381</v>
      </c>
      <c r="F24" s="394">
        <f t="shared" si="12"/>
        <v>2722.6296339999999</v>
      </c>
      <c r="G24" s="395">
        <f t="shared" si="12"/>
        <v>-1326.0892529999996</v>
      </c>
      <c r="H24" s="394">
        <f t="shared" si="12"/>
        <v>108.58047799999999</v>
      </c>
      <c r="I24" s="394">
        <f t="shared" si="12"/>
        <v>47.118867175938504</v>
      </c>
      <c r="J24" s="395">
        <f t="shared" si="12"/>
        <v>5327.0274273152854</v>
      </c>
      <c r="K24" s="394">
        <f>SUM(K6:K17)</f>
        <v>258786.22678201977</v>
      </c>
      <c r="L24" s="394">
        <f t="shared" ref="L24:S24" si="13">SUM(L6:L17)</f>
        <v>189021.4438616797</v>
      </c>
      <c r="M24" s="394">
        <f t="shared" si="13"/>
        <v>69764.78292034012</v>
      </c>
      <c r="N24" s="393">
        <f t="shared" si="13"/>
        <v>14914.942334999998</v>
      </c>
      <c r="O24" s="394">
        <f t="shared" si="13"/>
        <v>29204.220624193003</v>
      </c>
      <c r="P24" s="395">
        <f t="shared" si="13"/>
        <v>-14289.278289193007</v>
      </c>
      <c r="Q24" s="394">
        <f t="shared" si="13"/>
        <v>1176.6168604374</v>
      </c>
      <c r="R24" s="394">
        <f t="shared" si="13"/>
        <v>682.13330380418324</v>
      </c>
      <c r="S24" s="394">
        <f t="shared" si="13"/>
        <v>57334.254795388675</v>
      </c>
    </row>
    <row r="25" spans="1:23" ht="8.1" customHeight="1"/>
    <row r="26" spans="1:23" ht="13.5" customHeight="1">
      <c r="A26" s="438" t="s">
        <v>251</v>
      </c>
      <c r="B26" s="438"/>
      <c r="C26" s="438"/>
      <c r="D26" s="438"/>
      <c r="E26" s="438"/>
      <c r="F26" s="438"/>
      <c r="G26" s="438"/>
      <c r="H26" s="438"/>
      <c r="I26" s="438"/>
      <c r="J26" s="60"/>
      <c r="K26" s="438" t="s">
        <v>252</v>
      </c>
      <c r="L26" s="438"/>
      <c r="M26" s="438"/>
      <c r="N26" s="438"/>
      <c r="O26" s="438"/>
      <c r="P26" s="438"/>
      <c r="Q26" s="438"/>
      <c r="R26" s="438"/>
      <c r="S26" s="438"/>
    </row>
    <row r="27" spans="1:23" ht="8.1" customHeight="1">
      <c r="D27" s="61"/>
      <c r="E27" s="62" t="s">
        <v>199</v>
      </c>
      <c r="F27" s="62" t="s">
        <v>200</v>
      </c>
      <c r="G27" s="63"/>
      <c r="H27" s="63"/>
      <c r="L27" s="63"/>
      <c r="M27" s="62"/>
      <c r="N27" s="62" t="s">
        <v>201</v>
      </c>
      <c r="O27" s="61" t="s">
        <v>202</v>
      </c>
    </row>
    <row r="28" spans="1:23" ht="8.1" customHeight="1">
      <c r="D28" s="61" t="str">
        <f>A6</f>
        <v>Leden</v>
      </c>
      <c r="E28" s="62">
        <f>B6</f>
        <v>3368.4318376071833</v>
      </c>
      <c r="F28" s="62">
        <f>C6*-1</f>
        <v>-2936.875920396245</v>
      </c>
      <c r="G28" s="63"/>
      <c r="L28" s="63"/>
      <c r="M28" s="62" t="str">
        <f>A6</f>
        <v>Leden</v>
      </c>
      <c r="N28" s="62">
        <f>E6</f>
        <v>678.60557000000006</v>
      </c>
      <c r="O28" s="62">
        <f>F6*-1</f>
        <v>-2.2123170000000001</v>
      </c>
    </row>
    <row r="29" spans="1:23" ht="8.1" customHeight="1">
      <c r="D29" s="61" t="str">
        <f t="shared" ref="D29:D39" si="14">A7</f>
        <v>Únor</v>
      </c>
      <c r="E29" s="62">
        <f t="shared" ref="E29:E39" si="15">B7</f>
        <v>3030.8876179384415</v>
      </c>
      <c r="F29" s="62">
        <f t="shared" ref="F29:F39" si="16">C7*-1</f>
        <v>-2527.7966007449631</v>
      </c>
      <c r="G29" s="63"/>
      <c r="L29" s="63"/>
      <c r="M29" s="62" t="str">
        <f t="shared" ref="M29:M39" si="17">A7</f>
        <v>Únor</v>
      </c>
      <c r="N29" s="62">
        <f t="shared" ref="N29:N39" si="18">E7</f>
        <v>384.90369700000002</v>
      </c>
      <c r="O29" s="62">
        <f t="shared" ref="O29:O39" si="19">F7*-1</f>
        <v>-13.730227999999999</v>
      </c>
    </row>
    <row r="30" spans="1:23" ht="8.1" customHeight="1">
      <c r="D30" s="61" t="str">
        <f t="shared" si="14"/>
        <v>Březen</v>
      </c>
      <c r="E30" s="62">
        <f t="shared" si="15"/>
        <v>3740.0577454539725</v>
      </c>
      <c r="F30" s="62">
        <f t="shared" si="16"/>
        <v>-3041.2181782033535</v>
      </c>
      <c r="G30" s="63"/>
      <c r="L30" s="63"/>
      <c r="M30" s="62" t="str">
        <f t="shared" si="17"/>
        <v>Březen</v>
      </c>
      <c r="N30" s="62">
        <f t="shared" si="18"/>
        <v>267.33676600000001</v>
      </c>
      <c r="O30" s="62">
        <f t="shared" si="19"/>
        <v>-82.844617999999983</v>
      </c>
    </row>
    <row r="31" spans="1:23" ht="8.1" customHeight="1">
      <c r="D31" s="61" t="str">
        <f t="shared" si="14"/>
        <v>Duben</v>
      </c>
      <c r="E31" s="62">
        <f t="shared" si="15"/>
        <v>3646.2681503652043</v>
      </c>
      <c r="F31" s="62">
        <f t="shared" si="16"/>
        <v>-2450.724807779794</v>
      </c>
      <c r="G31" s="63"/>
      <c r="L31" s="63"/>
      <c r="M31" s="62" t="str">
        <f t="shared" si="17"/>
        <v>Duben</v>
      </c>
      <c r="N31" s="62">
        <f t="shared" si="18"/>
        <v>58.112975999999996</v>
      </c>
      <c r="O31" s="62">
        <f t="shared" si="19"/>
        <v>-583.95101499999998</v>
      </c>
    </row>
    <row r="32" spans="1:23" ht="8.1" customHeight="1">
      <c r="D32" s="61" t="str">
        <f t="shared" si="14"/>
        <v>Květen</v>
      </c>
      <c r="E32" s="62">
        <f t="shared" si="15"/>
        <v>3600.6119231410016</v>
      </c>
      <c r="F32" s="62">
        <f t="shared" si="16"/>
        <v>-2386.8278837610524</v>
      </c>
      <c r="G32" s="63"/>
      <c r="L32" s="63"/>
      <c r="M32" s="62" t="str">
        <f t="shared" si="17"/>
        <v>Květen</v>
      </c>
      <c r="N32" s="62">
        <f t="shared" si="18"/>
        <v>0</v>
      </c>
      <c r="O32" s="62">
        <f t="shared" si="19"/>
        <v>-843.36109899999997</v>
      </c>
    </row>
    <row r="33" spans="4:15" ht="8.1" customHeight="1">
      <c r="D33" s="61" t="str">
        <f t="shared" si="14"/>
        <v>Červen</v>
      </c>
      <c r="E33" s="62">
        <f t="shared" si="15"/>
        <v>2992.0868665099147</v>
      </c>
      <c r="F33" s="62">
        <f t="shared" si="16"/>
        <v>-2183.7793839814467</v>
      </c>
      <c r="G33" s="63"/>
      <c r="L33" s="63"/>
      <c r="M33" s="62" t="str">
        <f t="shared" si="17"/>
        <v>Červen</v>
      </c>
      <c r="N33" s="62">
        <f t="shared" si="18"/>
        <v>1.0541230000000001</v>
      </c>
      <c r="O33" s="62">
        <f t="shared" si="19"/>
        <v>-488.84463900000003</v>
      </c>
    </row>
    <row r="34" spans="4:15" ht="8.1" customHeight="1">
      <c r="D34" s="61" t="str">
        <f t="shared" si="14"/>
        <v>Červenec</v>
      </c>
      <c r="E34" s="62">
        <f t="shared" si="15"/>
        <v>1764.5666832355819</v>
      </c>
      <c r="F34" s="62">
        <f t="shared" si="16"/>
        <v>-1059.5208547861516</v>
      </c>
      <c r="G34" s="63"/>
      <c r="L34" s="63"/>
      <c r="M34" s="62" t="str">
        <f t="shared" si="17"/>
        <v>Červenec</v>
      </c>
      <c r="N34" s="62">
        <f t="shared" si="18"/>
        <v>0.967611</v>
      </c>
      <c r="O34" s="62">
        <f t="shared" si="19"/>
        <v>-419.18194199999999</v>
      </c>
    </row>
    <row r="35" spans="4:15" ht="8.1" customHeight="1">
      <c r="D35" s="61" t="str">
        <f t="shared" si="14"/>
        <v>Srpen</v>
      </c>
      <c r="E35" s="62">
        <f t="shared" si="15"/>
        <v>1260.4085447814048</v>
      </c>
      <c r="F35" s="62">
        <f t="shared" si="16"/>
        <v>-841.7128717077677</v>
      </c>
      <c r="G35" s="63"/>
      <c r="L35" s="63"/>
      <c r="M35" s="62" t="str">
        <f t="shared" si="17"/>
        <v>Srpen</v>
      </c>
      <c r="N35" s="62">
        <f t="shared" si="18"/>
        <v>1.9614500000000001</v>
      </c>
      <c r="O35" s="62">
        <f t="shared" si="19"/>
        <v>-132.453382</v>
      </c>
    </row>
    <row r="36" spans="4:15" ht="8.1" customHeight="1">
      <c r="D36" s="61" t="str">
        <f t="shared" si="14"/>
        <v>Září</v>
      </c>
      <c r="E36" s="62">
        <f t="shared" si="15"/>
        <v>776.19697855963193</v>
      </c>
      <c r="F36" s="62">
        <f t="shared" si="16"/>
        <v>-253.64251109221692</v>
      </c>
      <c r="G36" s="63"/>
      <c r="L36" s="63"/>
      <c r="M36" s="62" t="str">
        <f t="shared" si="17"/>
        <v>Září</v>
      </c>
      <c r="N36" s="62">
        <f t="shared" si="18"/>
        <v>3.5981879999999999</v>
      </c>
      <c r="O36" s="62">
        <f t="shared" si="19"/>
        <v>-156.05039400000001</v>
      </c>
    </row>
    <row r="37" spans="4:15" ht="8.1" customHeight="1">
      <c r="D37" s="61" t="str">
        <f t="shared" si="14"/>
        <v>Říjen</v>
      </c>
      <c r="E37" s="62">
        <f t="shared" si="15"/>
        <v>0</v>
      </c>
      <c r="F37" s="62">
        <f t="shared" si="16"/>
        <v>0</v>
      </c>
      <c r="G37" s="63"/>
      <c r="L37" s="63"/>
      <c r="M37" s="62" t="str">
        <f t="shared" si="17"/>
        <v>Říjen</v>
      </c>
      <c r="N37" s="62">
        <f t="shared" si="18"/>
        <v>0</v>
      </c>
      <c r="O37" s="62">
        <f t="shared" si="19"/>
        <v>0</v>
      </c>
    </row>
    <row r="38" spans="4:15" ht="8.1" customHeight="1">
      <c r="D38" s="61" t="str">
        <f t="shared" si="14"/>
        <v>Listopad</v>
      </c>
      <c r="E38" s="62">
        <f t="shared" si="15"/>
        <v>0</v>
      </c>
      <c r="F38" s="62">
        <f t="shared" si="16"/>
        <v>0</v>
      </c>
      <c r="G38" s="63"/>
      <c r="L38" s="63"/>
      <c r="M38" s="62" t="str">
        <f t="shared" si="17"/>
        <v>Listopad</v>
      </c>
      <c r="N38" s="62">
        <f t="shared" si="18"/>
        <v>0</v>
      </c>
      <c r="O38" s="62">
        <f t="shared" si="19"/>
        <v>0</v>
      </c>
    </row>
    <row r="39" spans="4:15" ht="8.1" customHeight="1">
      <c r="D39" s="61" t="str">
        <f t="shared" si="14"/>
        <v>Prosinec</v>
      </c>
      <c r="E39" s="62">
        <f t="shared" si="15"/>
        <v>0</v>
      </c>
      <c r="F39" s="62">
        <f t="shared" si="16"/>
        <v>0</v>
      </c>
      <c r="M39" s="62" t="str">
        <f t="shared" si="17"/>
        <v>Prosinec</v>
      </c>
      <c r="N39" s="62">
        <f t="shared" si="18"/>
        <v>0</v>
      </c>
      <c r="O39" s="62">
        <f t="shared" si="19"/>
        <v>0</v>
      </c>
    </row>
    <row r="40" spans="4:15" ht="12" customHeight="1">
      <c r="M40" s="63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B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6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12" customWidth="1"/>
    <col min="2" max="3" width="7.7109375" style="12" customWidth="1"/>
    <col min="4" max="4" width="7.28515625" style="12" customWidth="1"/>
    <col min="5" max="6" width="7.7109375" style="12" customWidth="1"/>
    <col min="7" max="7" width="7.42578125" style="12" customWidth="1"/>
    <col min="8" max="8" width="9.140625" style="12" customWidth="1"/>
    <col min="9" max="12" width="7.7109375" style="12" customWidth="1"/>
    <col min="13" max="13" width="9" style="12" customWidth="1"/>
    <col min="14" max="18" width="4.7109375" style="12" customWidth="1"/>
    <col min="19" max="20" width="6.7109375" style="12" customWidth="1"/>
    <col min="21" max="259" width="9.140625" style="12"/>
    <col min="260" max="272" width="10.7109375" style="12" customWidth="1"/>
    <col min="273" max="515" width="9.140625" style="12"/>
    <col min="516" max="528" width="10.7109375" style="12" customWidth="1"/>
    <col min="529" max="771" width="9.140625" style="12"/>
    <col min="772" max="784" width="10.7109375" style="12" customWidth="1"/>
    <col min="785" max="1027" width="9.140625" style="12"/>
    <col min="1028" max="1040" width="10.7109375" style="12" customWidth="1"/>
    <col min="1041" max="1283" width="9.140625" style="12"/>
    <col min="1284" max="1296" width="10.7109375" style="12" customWidth="1"/>
    <col min="1297" max="1539" width="9.140625" style="12"/>
    <col min="1540" max="1552" width="10.7109375" style="12" customWidth="1"/>
    <col min="1553" max="1795" width="9.140625" style="12"/>
    <col min="1796" max="1808" width="10.7109375" style="12" customWidth="1"/>
    <col min="1809" max="2051" width="9.140625" style="12"/>
    <col min="2052" max="2064" width="10.7109375" style="12" customWidth="1"/>
    <col min="2065" max="2307" width="9.140625" style="12"/>
    <col min="2308" max="2320" width="10.7109375" style="12" customWidth="1"/>
    <col min="2321" max="2563" width="9.140625" style="12"/>
    <col min="2564" max="2576" width="10.7109375" style="12" customWidth="1"/>
    <col min="2577" max="2819" width="9.140625" style="12"/>
    <col min="2820" max="2832" width="10.7109375" style="12" customWidth="1"/>
    <col min="2833" max="3075" width="9.140625" style="12"/>
    <col min="3076" max="3088" width="10.7109375" style="12" customWidth="1"/>
    <col min="3089" max="3331" width="9.140625" style="12"/>
    <col min="3332" max="3344" width="10.7109375" style="12" customWidth="1"/>
    <col min="3345" max="3587" width="9.140625" style="12"/>
    <col min="3588" max="3600" width="10.7109375" style="12" customWidth="1"/>
    <col min="3601" max="3843" width="9.140625" style="12"/>
    <col min="3844" max="3856" width="10.7109375" style="12" customWidth="1"/>
    <col min="3857" max="4099" width="9.140625" style="12"/>
    <col min="4100" max="4112" width="10.7109375" style="12" customWidth="1"/>
    <col min="4113" max="4355" width="9.140625" style="12"/>
    <col min="4356" max="4368" width="10.7109375" style="12" customWidth="1"/>
    <col min="4369" max="4611" width="9.140625" style="12"/>
    <col min="4612" max="4624" width="10.7109375" style="12" customWidth="1"/>
    <col min="4625" max="4867" width="9.140625" style="12"/>
    <col min="4868" max="4880" width="10.7109375" style="12" customWidth="1"/>
    <col min="4881" max="5123" width="9.140625" style="12"/>
    <col min="5124" max="5136" width="10.7109375" style="12" customWidth="1"/>
    <col min="5137" max="5379" width="9.140625" style="12"/>
    <col min="5380" max="5392" width="10.7109375" style="12" customWidth="1"/>
    <col min="5393" max="5635" width="9.140625" style="12"/>
    <col min="5636" max="5648" width="10.7109375" style="12" customWidth="1"/>
    <col min="5649" max="5891" width="9.140625" style="12"/>
    <col min="5892" max="5904" width="10.7109375" style="12" customWidth="1"/>
    <col min="5905" max="6147" width="9.140625" style="12"/>
    <col min="6148" max="6160" width="10.7109375" style="12" customWidth="1"/>
    <col min="6161" max="6403" width="9.140625" style="12"/>
    <col min="6404" max="6416" width="10.7109375" style="12" customWidth="1"/>
    <col min="6417" max="6659" width="9.140625" style="12"/>
    <col min="6660" max="6672" width="10.7109375" style="12" customWidth="1"/>
    <col min="6673" max="6915" width="9.140625" style="12"/>
    <col min="6916" max="6928" width="10.7109375" style="12" customWidth="1"/>
    <col min="6929" max="7171" width="9.140625" style="12"/>
    <col min="7172" max="7184" width="10.7109375" style="12" customWidth="1"/>
    <col min="7185" max="7427" width="9.140625" style="12"/>
    <col min="7428" max="7440" width="10.7109375" style="12" customWidth="1"/>
    <col min="7441" max="7683" width="9.140625" style="12"/>
    <col min="7684" max="7696" width="10.7109375" style="12" customWidth="1"/>
    <col min="7697" max="7939" width="9.140625" style="12"/>
    <col min="7940" max="7952" width="10.7109375" style="12" customWidth="1"/>
    <col min="7953" max="8195" width="9.140625" style="12"/>
    <col min="8196" max="8208" width="10.7109375" style="12" customWidth="1"/>
    <col min="8209" max="8451" width="9.140625" style="12"/>
    <col min="8452" max="8464" width="10.7109375" style="12" customWidth="1"/>
    <col min="8465" max="8707" width="9.140625" style="12"/>
    <col min="8708" max="8720" width="10.7109375" style="12" customWidth="1"/>
    <col min="8721" max="8963" width="9.140625" style="12"/>
    <col min="8964" max="8976" width="10.7109375" style="12" customWidth="1"/>
    <col min="8977" max="9219" width="9.140625" style="12"/>
    <col min="9220" max="9232" width="10.7109375" style="12" customWidth="1"/>
    <col min="9233" max="9475" width="9.140625" style="12"/>
    <col min="9476" max="9488" width="10.7109375" style="12" customWidth="1"/>
    <col min="9489" max="9731" width="9.140625" style="12"/>
    <col min="9732" max="9744" width="10.7109375" style="12" customWidth="1"/>
    <col min="9745" max="9987" width="9.140625" style="12"/>
    <col min="9988" max="10000" width="10.7109375" style="12" customWidth="1"/>
    <col min="10001" max="10243" width="9.140625" style="12"/>
    <col min="10244" max="10256" width="10.7109375" style="12" customWidth="1"/>
    <col min="10257" max="10499" width="9.140625" style="12"/>
    <col min="10500" max="10512" width="10.7109375" style="12" customWidth="1"/>
    <col min="10513" max="10755" width="9.140625" style="12"/>
    <col min="10756" max="10768" width="10.7109375" style="12" customWidth="1"/>
    <col min="10769" max="11011" width="9.140625" style="12"/>
    <col min="11012" max="11024" width="10.7109375" style="12" customWidth="1"/>
    <col min="11025" max="11267" width="9.140625" style="12"/>
    <col min="11268" max="11280" width="10.7109375" style="12" customWidth="1"/>
    <col min="11281" max="11523" width="9.140625" style="12"/>
    <col min="11524" max="11536" width="10.7109375" style="12" customWidth="1"/>
    <col min="11537" max="11779" width="9.140625" style="12"/>
    <col min="11780" max="11792" width="10.7109375" style="12" customWidth="1"/>
    <col min="11793" max="12035" width="9.140625" style="12"/>
    <col min="12036" max="12048" width="10.7109375" style="12" customWidth="1"/>
    <col min="12049" max="12291" width="9.140625" style="12"/>
    <col min="12292" max="12304" width="10.7109375" style="12" customWidth="1"/>
    <col min="12305" max="12547" width="9.140625" style="12"/>
    <col min="12548" max="12560" width="10.7109375" style="12" customWidth="1"/>
    <col min="12561" max="12803" width="9.140625" style="12"/>
    <col min="12804" max="12816" width="10.7109375" style="12" customWidth="1"/>
    <col min="12817" max="13059" width="9.140625" style="12"/>
    <col min="13060" max="13072" width="10.7109375" style="12" customWidth="1"/>
    <col min="13073" max="13315" width="9.140625" style="12"/>
    <col min="13316" max="13328" width="10.7109375" style="12" customWidth="1"/>
    <col min="13329" max="13571" width="9.140625" style="12"/>
    <col min="13572" max="13584" width="10.7109375" style="12" customWidth="1"/>
    <col min="13585" max="13827" width="9.140625" style="12"/>
    <col min="13828" max="13840" width="10.7109375" style="12" customWidth="1"/>
    <col min="13841" max="14083" width="9.140625" style="12"/>
    <col min="14084" max="14096" width="10.7109375" style="12" customWidth="1"/>
    <col min="14097" max="14339" width="9.140625" style="12"/>
    <col min="14340" max="14352" width="10.7109375" style="12" customWidth="1"/>
    <col min="14353" max="14595" width="9.140625" style="12"/>
    <col min="14596" max="14608" width="10.7109375" style="12" customWidth="1"/>
    <col min="14609" max="14851" width="9.140625" style="12"/>
    <col min="14852" max="14864" width="10.7109375" style="12" customWidth="1"/>
    <col min="14865" max="15107" width="9.140625" style="12"/>
    <col min="15108" max="15120" width="10.7109375" style="12" customWidth="1"/>
    <col min="15121" max="15363" width="9.140625" style="12"/>
    <col min="15364" max="15376" width="10.7109375" style="12" customWidth="1"/>
    <col min="15377" max="15619" width="9.140625" style="12"/>
    <col min="15620" max="15632" width="10.7109375" style="12" customWidth="1"/>
    <col min="15633" max="15875" width="9.140625" style="12"/>
    <col min="15876" max="15888" width="10.7109375" style="12" customWidth="1"/>
    <col min="15889" max="16131" width="9.140625" style="12"/>
    <col min="16132" max="16144" width="10.7109375" style="12" customWidth="1"/>
    <col min="16145" max="16384" width="9.140625" style="12"/>
  </cols>
  <sheetData>
    <row r="1" spans="1:22" ht="20.25">
      <c r="A1" s="69" t="s">
        <v>291</v>
      </c>
    </row>
    <row r="2" spans="1:22" ht="18">
      <c r="A2" s="398" t="s">
        <v>297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2" ht="6" customHeight="1">
      <c r="A3" s="207"/>
      <c r="B3" s="208"/>
      <c r="C3" s="208"/>
      <c r="D3" s="208"/>
      <c r="E3" s="208"/>
      <c r="F3" s="208"/>
      <c r="G3" s="208"/>
      <c r="H3" s="208"/>
      <c r="I3" s="208"/>
      <c r="J3" s="208"/>
      <c r="K3" s="209"/>
      <c r="L3" s="208"/>
      <c r="M3" s="208"/>
      <c r="N3" s="208"/>
      <c r="O3" s="208"/>
      <c r="P3" s="208"/>
      <c r="Q3" s="208"/>
      <c r="R3" s="208"/>
    </row>
    <row r="4" spans="1:22" ht="15.95" customHeight="1">
      <c r="A4" s="206">
        <f>'3.1'!A4</f>
        <v>2022</v>
      </c>
      <c r="B4" s="447" t="s">
        <v>263</v>
      </c>
      <c r="C4" s="453"/>
      <c r="D4" s="453"/>
      <c r="E4" s="453"/>
      <c r="F4" s="453"/>
      <c r="G4" s="453"/>
      <c r="H4" s="449"/>
      <c r="I4" s="447" t="s">
        <v>221</v>
      </c>
      <c r="J4" s="453"/>
      <c r="K4" s="453"/>
      <c r="L4" s="453"/>
      <c r="M4" s="453"/>
      <c r="N4" s="447" t="s">
        <v>233</v>
      </c>
      <c r="O4" s="453"/>
      <c r="P4" s="453"/>
      <c r="Q4" s="453"/>
      <c r="R4" s="449"/>
      <c r="S4" s="241" t="s">
        <v>263</v>
      </c>
      <c r="T4" s="241" t="s">
        <v>221</v>
      </c>
    </row>
    <row r="5" spans="1:22" ht="36.75" customHeight="1">
      <c r="A5" s="220"/>
      <c r="B5" s="452" t="s">
        <v>155</v>
      </c>
      <c r="C5" s="444"/>
      <c r="D5" s="444"/>
      <c r="E5" s="444" t="s">
        <v>156</v>
      </c>
      <c r="F5" s="444"/>
      <c r="G5" s="444"/>
      <c r="H5" s="198" t="s">
        <v>153</v>
      </c>
      <c r="I5" s="452" t="s">
        <v>155</v>
      </c>
      <c r="J5" s="444"/>
      <c r="K5" s="444" t="s">
        <v>156</v>
      </c>
      <c r="L5" s="444"/>
      <c r="M5" s="197" t="s">
        <v>153</v>
      </c>
      <c r="N5" s="452" t="s">
        <v>266</v>
      </c>
      <c r="O5" s="444"/>
      <c r="P5" s="444"/>
      <c r="Q5" s="444"/>
      <c r="R5" s="446"/>
      <c r="S5" s="443" t="s">
        <v>154</v>
      </c>
      <c r="T5" s="443"/>
    </row>
    <row r="6" spans="1:22" ht="44.25" customHeight="1">
      <c r="A6" s="229"/>
      <c r="B6" s="244">
        <f>A4</f>
        <v>2022</v>
      </c>
      <c r="C6" s="245">
        <f>B6-1</f>
        <v>2021</v>
      </c>
      <c r="D6" s="195" t="s">
        <v>267</v>
      </c>
      <c r="E6" s="245">
        <f>B6</f>
        <v>2022</v>
      </c>
      <c r="F6" s="245">
        <f>C6</f>
        <v>2021</v>
      </c>
      <c r="G6" s="195" t="s">
        <v>268</v>
      </c>
      <c r="H6" s="246">
        <f>B6</f>
        <v>2022</v>
      </c>
      <c r="I6" s="244">
        <f>B6</f>
        <v>2022</v>
      </c>
      <c r="J6" s="245">
        <f>C6</f>
        <v>2021</v>
      </c>
      <c r="K6" s="245">
        <f>B6</f>
        <v>2022</v>
      </c>
      <c r="L6" s="245">
        <f>C6</f>
        <v>2021</v>
      </c>
      <c r="M6" s="245">
        <f>B6</f>
        <v>2022</v>
      </c>
      <c r="N6" s="230" t="s">
        <v>62</v>
      </c>
      <c r="O6" s="231" t="s">
        <v>174</v>
      </c>
      <c r="P6" s="231" t="s">
        <v>175</v>
      </c>
      <c r="Q6" s="231" t="s">
        <v>114</v>
      </c>
      <c r="R6" s="232" t="s">
        <v>116</v>
      </c>
      <c r="S6" s="444"/>
      <c r="T6" s="444"/>
    </row>
    <row r="7" spans="1:22" ht="12" customHeight="1">
      <c r="A7" s="177" t="s">
        <v>161</v>
      </c>
      <c r="B7" s="184">
        <v>1134.2625732048143</v>
      </c>
      <c r="C7" s="178">
        <v>1273.1091500516641</v>
      </c>
      <c r="D7" s="212">
        <v>-0.10906101557844841</v>
      </c>
      <c r="E7" s="179">
        <v>1205.7431048765241</v>
      </c>
      <c r="F7" s="179">
        <v>1283.925619090659</v>
      </c>
      <c r="G7" s="212">
        <v>-6.089333607153017E-2</v>
      </c>
      <c r="H7" s="186">
        <v>1205.7431048765241</v>
      </c>
      <c r="I7" s="190">
        <v>12118.789925745998</v>
      </c>
      <c r="J7" s="179">
        <v>13598.778336891666</v>
      </c>
      <c r="K7" s="179">
        <v>12882.508633895299</v>
      </c>
      <c r="L7" s="178">
        <v>13714.314985766725</v>
      </c>
      <c r="M7" s="178">
        <v>12882.508633895299</v>
      </c>
      <c r="N7" s="184">
        <v>0.78709677419354818</v>
      </c>
      <c r="O7" s="178">
        <v>8.6</v>
      </c>
      <c r="P7" s="178">
        <v>-3.8</v>
      </c>
      <c r="Q7" s="178">
        <v>-1.2258064516129035</v>
      </c>
      <c r="R7" s="188">
        <v>2.0129032258064514</v>
      </c>
      <c r="S7" s="210">
        <v>74.624275932857174</v>
      </c>
      <c r="T7" s="210">
        <v>797.307178999999</v>
      </c>
      <c r="U7" s="57"/>
      <c r="V7" s="68"/>
    </row>
    <row r="8" spans="1:22" ht="12" customHeight="1">
      <c r="A8" s="177" t="s">
        <v>162</v>
      </c>
      <c r="B8" s="184">
        <v>890.50037327489224</v>
      </c>
      <c r="C8" s="179">
        <v>1165.2067587806339</v>
      </c>
      <c r="D8" s="212">
        <v>-0.23575763136940306</v>
      </c>
      <c r="E8" s="179">
        <v>992.34776233082323</v>
      </c>
      <c r="F8" s="179">
        <v>1146.9243592637986</v>
      </c>
      <c r="G8" s="212">
        <v>-0.13477488352605643</v>
      </c>
      <c r="H8" s="186">
        <v>992.34776233082323</v>
      </c>
      <c r="I8" s="190">
        <v>9526.9687340309974</v>
      </c>
      <c r="J8" s="179">
        <v>12450.501212999245</v>
      </c>
      <c r="K8" s="179">
        <v>10616.577363402139</v>
      </c>
      <c r="L8" s="178">
        <v>12255.149584933597</v>
      </c>
      <c r="M8" s="178">
        <v>10616.577363402139</v>
      </c>
      <c r="N8" s="190">
        <v>3.0892857142857144</v>
      </c>
      <c r="O8" s="179">
        <v>6.7</v>
      </c>
      <c r="P8" s="179">
        <v>-2</v>
      </c>
      <c r="Q8" s="179">
        <v>-0.15517241379310354</v>
      </c>
      <c r="R8" s="188">
        <v>3.2444581280788181</v>
      </c>
      <c r="S8" s="210">
        <v>41.797281820219396</v>
      </c>
      <c r="T8" s="210">
        <v>447.16588500000057</v>
      </c>
      <c r="U8" s="57"/>
      <c r="V8" s="68"/>
    </row>
    <row r="9" spans="1:22" ht="12" customHeight="1">
      <c r="A9" s="180" t="s">
        <v>163</v>
      </c>
      <c r="B9" s="185">
        <v>922.61982519439664</v>
      </c>
      <c r="C9" s="182">
        <v>1091.1742333659163</v>
      </c>
      <c r="D9" s="215">
        <v>-0.15447066382018967</v>
      </c>
      <c r="E9" s="182">
        <v>915.4910560358029</v>
      </c>
      <c r="F9" s="182">
        <v>1071.0224170552283</v>
      </c>
      <c r="G9" s="215">
        <v>-0.1452176523504132</v>
      </c>
      <c r="H9" s="187">
        <v>915.4910560358029</v>
      </c>
      <c r="I9" s="191">
        <v>9909.4544420370003</v>
      </c>
      <c r="J9" s="182">
        <v>11642.422582350146</v>
      </c>
      <c r="K9" s="182">
        <v>9832.8874625771787</v>
      </c>
      <c r="L9" s="181">
        <v>11427.410209333224</v>
      </c>
      <c r="M9" s="189">
        <v>9832.8874625771787</v>
      </c>
      <c r="N9" s="191">
        <v>3.3161290322580643</v>
      </c>
      <c r="O9" s="182">
        <v>9.8000000000000007</v>
      </c>
      <c r="P9" s="182">
        <v>-2.1</v>
      </c>
      <c r="Q9" s="182">
        <v>3.512903225806451</v>
      </c>
      <c r="R9" s="189">
        <v>-0.19677419354838666</v>
      </c>
      <c r="S9" s="216">
        <v>71.652965030747765</v>
      </c>
      <c r="T9" s="216">
        <v>769.59327900000153</v>
      </c>
      <c r="U9" s="57"/>
      <c r="V9" s="68"/>
    </row>
    <row r="10" spans="1:22" ht="12" customHeight="1">
      <c r="A10" s="177" t="s">
        <v>164</v>
      </c>
      <c r="B10" s="184">
        <v>671.36203982845257</v>
      </c>
      <c r="C10" s="179">
        <v>882.21591334015864</v>
      </c>
      <c r="D10" s="212">
        <v>-0.23900484033822514</v>
      </c>
      <c r="E10" s="179">
        <v>605.2961340668877</v>
      </c>
      <c r="F10" s="179">
        <v>783.3973331043785</v>
      </c>
      <c r="G10" s="212">
        <v>-0.22734465833796871</v>
      </c>
      <c r="H10" s="186">
        <v>605.2961340668877</v>
      </c>
      <c r="I10" s="190">
        <v>7237.9839086889997</v>
      </c>
      <c r="J10" s="179">
        <v>9418.4088102613405</v>
      </c>
      <c r="K10" s="179">
        <v>6525.7244503833781</v>
      </c>
      <c r="L10" s="178">
        <v>8363.4360165986054</v>
      </c>
      <c r="M10" s="178">
        <v>6525.7244503833781</v>
      </c>
      <c r="N10" s="184">
        <v>6.6166666666666663</v>
      </c>
      <c r="O10" s="178">
        <v>13.3</v>
      </c>
      <c r="P10" s="178">
        <v>-1</v>
      </c>
      <c r="Q10" s="178">
        <v>8.6366666666666667</v>
      </c>
      <c r="R10" s="188">
        <v>-2.0200000000000005</v>
      </c>
      <c r="S10" s="210">
        <v>20.144951341097272</v>
      </c>
      <c r="T10" s="210">
        <v>217.18357799999998</v>
      </c>
      <c r="U10" s="57"/>
      <c r="V10" s="68"/>
    </row>
    <row r="11" spans="1:22" ht="12" customHeight="1">
      <c r="A11" s="177" t="s">
        <v>165</v>
      </c>
      <c r="B11" s="184">
        <v>388.89642773175905</v>
      </c>
      <c r="C11" s="179">
        <v>583.12096512511641</v>
      </c>
      <c r="D11" s="212">
        <v>-0.33307760998043329</v>
      </c>
      <c r="E11" s="179">
        <v>408.72629326716236</v>
      </c>
      <c r="F11" s="179">
        <v>531.23739759003411</v>
      </c>
      <c r="G11" s="212">
        <v>-0.23061460823098126</v>
      </c>
      <c r="H11" s="186">
        <v>408.72629326716236</v>
      </c>
      <c r="I11" s="190">
        <v>4179.6571014479996</v>
      </c>
      <c r="J11" s="179">
        <v>6226.3806927155729</v>
      </c>
      <c r="K11" s="179">
        <v>4392.7782113260655</v>
      </c>
      <c r="L11" s="178">
        <v>5672.3844166593235</v>
      </c>
      <c r="M11" s="178">
        <v>4392.7782113260655</v>
      </c>
      <c r="N11" s="190">
        <v>14.500000000000002</v>
      </c>
      <c r="O11" s="179">
        <v>20.6</v>
      </c>
      <c r="P11" s="179">
        <v>9.6999999999999993</v>
      </c>
      <c r="Q11" s="179">
        <v>13.522580645161288</v>
      </c>
      <c r="R11" s="188">
        <v>0.97741935483871423</v>
      </c>
      <c r="S11" s="210">
        <v>41.189720334021821</v>
      </c>
      <c r="T11" s="210">
        <v>442.68606199999959</v>
      </c>
      <c r="U11" s="57"/>
      <c r="V11" s="68"/>
    </row>
    <row r="12" spans="1:22" ht="12" customHeight="1">
      <c r="A12" s="180" t="s">
        <v>166</v>
      </c>
      <c r="B12" s="185">
        <v>336.35371810523372</v>
      </c>
      <c r="C12" s="182">
        <v>415.25958095448908</v>
      </c>
      <c r="D12" s="215">
        <v>-0.19001575512812346</v>
      </c>
      <c r="E12" s="182">
        <v>343.04053123321125</v>
      </c>
      <c r="F12" s="182">
        <v>423.47888333731743</v>
      </c>
      <c r="G12" s="215">
        <v>-0.18994654814944784</v>
      </c>
      <c r="H12" s="187">
        <v>343.04053123321125</v>
      </c>
      <c r="I12" s="191">
        <v>3649.5234233930014</v>
      </c>
      <c r="J12" s="182">
        <v>4436.5117991174047</v>
      </c>
      <c r="K12" s="182">
        <v>3722.0770472264999</v>
      </c>
      <c r="L12" s="181">
        <v>4524.3244196428977</v>
      </c>
      <c r="M12" s="189">
        <v>3722.0770472264999</v>
      </c>
      <c r="N12" s="191">
        <v>18.956666666666667</v>
      </c>
      <c r="O12" s="182">
        <v>25</v>
      </c>
      <c r="P12" s="182">
        <v>14.7</v>
      </c>
      <c r="Q12" s="182">
        <v>16.59</v>
      </c>
      <c r="R12" s="189">
        <v>2.3666666666666671</v>
      </c>
      <c r="S12" s="216">
        <v>54.094859195698191</v>
      </c>
      <c r="T12" s="216">
        <v>586.94163000000049</v>
      </c>
      <c r="U12" s="66"/>
      <c r="V12" s="68"/>
    </row>
    <row r="13" spans="1:22" ht="12" customHeight="1">
      <c r="A13" s="177" t="s">
        <v>167</v>
      </c>
      <c r="B13" s="184">
        <v>288.56926119243906</v>
      </c>
      <c r="C13" s="179">
        <v>382.26749122851908</v>
      </c>
      <c r="D13" s="212">
        <v>-0.24511168798308125</v>
      </c>
      <c r="E13" s="179">
        <v>290.00651385366569</v>
      </c>
      <c r="F13" s="179">
        <v>385.01381832880293</v>
      </c>
      <c r="G13" s="212">
        <v>-0.24676336264378104</v>
      </c>
      <c r="H13" s="186">
        <v>280</v>
      </c>
      <c r="I13" s="190">
        <v>3138.9657122920003</v>
      </c>
      <c r="J13" s="179">
        <v>4081.9397439643967</v>
      </c>
      <c r="K13" s="179">
        <v>3154.5996949443738</v>
      </c>
      <c r="L13" s="178">
        <v>4111.2656531714492</v>
      </c>
      <c r="M13" s="178">
        <v>2980</v>
      </c>
      <c r="N13" s="184">
        <v>18.874193548387094</v>
      </c>
      <c r="O13" s="178">
        <v>24.9</v>
      </c>
      <c r="P13" s="178">
        <v>13.3</v>
      </c>
      <c r="Q13" s="178">
        <v>18.522580645161291</v>
      </c>
      <c r="R13" s="188">
        <v>0.35161290322580285</v>
      </c>
      <c r="S13" s="210">
        <v>31.227703551804204</v>
      </c>
      <c r="T13" s="210">
        <v>339.68520199999955</v>
      </c>
      <c r="U13" s="57"/>
      <c r="V13" s="65"/>
    </row>
    <row r="14" spans="1:22" ht="12" customHeight="1">
      <c r="A14" s="177" t="s">
        <v>168</v>
      </c>
      <c r="B14" s="184">
        <v>311.10451066410326</v>
      </c>
      <c r="C14" s="179">
        <v>363.44071679746889</v>
      </c>
      <c r="D14" s="212">
        <v>-0.14400204411475043</v>
      </c>
      <c r="E14" s="179">
        <v>316.66361055716817</v>
      </c>
      <c r="F14" s="179">
        <v>355.73549433169762</v>
      </c>
      <c r="G14" s="212">
        <v>-0.10983408852111268</v>
      </c>
      <c r="H14" s="186">
        <v>290</v>
      </c>
      <c r="I14" s="190">
        <v>3377.6223941210001</v>
      </c>
      <c r="J14" s="179">
        <v>3873.7501156336721</v>
      </c>
      <c r="K14" s="179">
        <v>3437.9768398019391</v>
      </c>
      <c r="L14" s="178">
        <v>3791.6236365732707</v>
      </c>
      <c r="M14" s="178">
        <v>3090</v>
      </c>
      <c r="N14" s="190">
        <v>19.361290322580643</v>
      </c>
      <c r="O14" s="179">
        <v>25.2</v>
      </c>
      <c r="P14" s="179">
        <v>15</v>
      </c>
      <c r="Q14" s="179">
        <v>18.119354838709679</v>
      </c>
      <c r="R14" s="188">
        <v>1.2419354838709644</v>
      </c>
      <c r="S14" s="210">
        <v>53.527349882236706</v>
      </c>
      <c r="T14" s="210">
        <v>581.13929999999925</v>
      </c>
      <c r="U14" s="57"/>
      <c r="V14" s="65"/>
    </row>
    <row r="15" spans="1:22" ht="12" customHeight="1">
      <c r="A15" s="180" t="s">
        <v>169</v>
      </c>
      <c r="B15" s="185">
        <v>383.35752637665405</v>
      </c>
      <c r="C15" s="182">
        <v>429.16409860486493</v>
      </c>
      <c r="D15" s="215">
        <v>-0.10673439921260838</v>
      </c>
      <c r="E15" s="182">
        <v>364.5525872537109</v>
      </c>
      <c r="F15" s="182">
        <v>453.30654023794932</v>
      </c>
      <c r="G15" s="215">
        <v>-0.19579235044270432</v>
      </c>
      <c r="H15" s="187">
        <v>400</v>
      </c>
      <c r="I15" s="191">
        <v>4195.2896770559992</v>
      </c>
      <c r="J15" s="182">
        <v>4575.0590896934445</v>
      </c>
      <c r="K15" s="182">
        <v>3989.4970121100205</v>
      </c>
      <c r="L15" s="181">
        <v>4832.4270694473416</v>
      </c>
      <c r="M15" s="181">
        <v>4260</v>
      </c>
      <c r="N15" s="191">
        <v>12.16</v>
      </c>
      <c r="O15" s="182">
        <v>18.100000000000001</v>
      </c>
      <c r="P15" s="182">
        <v>7.7</v>
      </c>
      <c r="Q15" s="182">
        <v>13.223333333333333</v>
      </c>
      <c r="R15" s="189">
        <v>-1.0633333333333326</v>
      </c>
      <c r="S15" s="216">
        <v>46.027365517677886</v>
      </c>
      <c r="T15" s="216">
        <v>503.70189500000004</v>
      </c>
      <c r="U15" s="57"/>
      <c r="V15" s="65"/>
    </row>
    <row r="16" spans="1:22" ht="12" customHeight="1">
      <c r="A16" s="177" t="s">
        <v>170</v>
      </c>
      <c r="B16" s="184"/>
      <c r="C16" s="179">
        <v>710.64530506306801</v>
      </c>
      <c r="D16" s="212"/>
      <c r="E16" s="179"/>
      <c r="F16" s="179">
        <v>706.09674405398198</v>
      </c>
      <c r="G16" s="212"/>
      <c r="H16" s="186">
        <v>670</v>
      </c>
      <c r="I16" s="190"/>
      <c r="J16" s="179">
        <v>7601.8089078956318</v>
      </c>
      <c r="K16" s="179"/>
      <c r="L16" s="178">
        <v>7553.1527198498834</v>
      </c>
      <c r="M16" s="178">
        <v>7140</v>
      </c>
      <c r="N16" s="184"/>
      <c r="O16" s="178"/>
      <c r="P16" s="178"/>
      <c r="Q16" s="178">
        <v>8.3548387096774199</v>
      </c>
      <c r="R16" s="188"/>
      <c r="S16" s="210"/>
      <c r="T16" s="210"/>
      <c r="U16" s="57"/>
      <c r="V16" s="65"/>
    </row>
    <row r="17" spans="1:22" ht="12" customHeight="1">
      <c r="A17" s="177" t="s">
        <v>171</v>
      </c>
      <c r="B17" s="184"/>
      <c r="C17" s="179">
        <v>976.24192688788401</v>
      </c>
      <c r="D17" s="212"/>
      <c r="E17" s="179"/>
      <c r="F17" s="179">
        <v>986.6655418940195</v>
      </c>
      <c r="G17" s="212"/>
      <c r="H17" s="186">
        <v>890</v>
      </c>
      <c r="I17" s="190"/>
      <c r="J17" s="179">
        <v>10424.295084390295</v>
      </c>
      <c r="K17" s="179"/>
      <c r="L17" s="178">
        <v>10535.598272337184</v>
      </c>
      <c r="M17" s="178">
        <v>9480</v>
      </c>
      <c r="N17" s="190"/>
      <c r="O17" s="179"/>
      <c r="P17" s="179"/>
      <c r="Q17" s="179">
        <v>3.5466666666666664</v>
      </c>
      <c r="R17" s="188"/>
      <c r="S17" s="210"/>
      <c r="T17" s="210"/>
      <c r="U17" s="57"/>
      <c r="V17" s="65"/>
    </row>
    <row r="18" spans="1:22" ht="12" customHeight="1">
      <c r="A18" s="180" t="s">
        <v>172</v>
      </c>
      <c r="B18" s="185"/>
      <c r="C18" s="182">
        <v>1161.8881056025075</v>
      </c>
      <c r="D18" s="215"/>
      <c r="E18" s="182"/>
      <c r="F18" s="182">
        <v>1192.8079687562265</v>
      </c>
      <c r="G18" s="215"/>
      <c r="H18" s="187">
        <v>1090</v>
      </c>
      <c r="I18" s="191"/>
      <c r="J18" s="182">
        <v>12407.620587736272</v>
      </c>
      <c r="K18" s="182"/>
      <c r="L18" s="181">
        <v>12737.808949925529</v>
      </c>
      <c r="M18" s="181">
        <v>11610</v>
      </c>
      <c r="N18" s="191"/>
      <c r="O18" s="182"/>
      <c r="P18" s="182"/>
      <c r="Q18" s="182">
        <v>-0.38387096774193558</v>
      </c>
      <c r="R18" s="189"/>
      <c r="S18" s="216"/>
      <c r="T18" s="216"/>
      <c r="U18" s="57"/>
      <c r="V18" s="65"/>
    </row>
    <row r="19" spans="1:22" ht="12" customHeight="1">
      <c r="A19" s="177" t="s">
        <v>48</v>
      </c>
      <c r="B19" s="223">
        <f>SUM(B7:B9)</f>
        <v>2947.382771674103</v>
      </c>
      <c r="C19" s="213">
        <v>3529.4901421982145</v>
      </c>
      <c r="D19" s="212">
        <f>(B19-C19)/C19</f>
        <v>-0.16492675912718857</v>
      </c>
      <c r="E19" s="213">
        <f t="shared" ref="E19" si="0">SUM(E7:E9)</f>
        <v>3113.5819232431504</v>
      </c>
      <c r="F19" s="213">
        <v>3501.8723954096859</v>
      </c>
      <c r="G19" s="212">
        <f t="shared" ref="G19:G25" si="1">(E19-F19)/F19</f>
        <v>-0.1108808169810851</v>
      </c>
      <c r="H19" s="403">
        <f>SUM(H7:H9)</f>
        <v>3113.5819232431504</v>
      </c>
      <c r="I19" s="223">
        <f>SUM(I7:I9)</f>
        <v>31555.213101813995</v>
      </c>
      <c r="J19" s="213">
        <v>37691.702132241058</v>
      </c>
      <c r="K19" s="213">
        <f>SUM(K7:K9)</f>
        <v>33331.973459874614</v>
      </c>
      <c r="L19" s="213">
        <v>37396.874780033548</v>
      </c>
      <c r="M19" s="403">
        <f>SUM(M7:M9)</f>
        <v>33331.973459874614</v>
      </c>
      <c r="N19" s="223">
        <f>AVERAGE(N7:N9)</f>
        <v>2.3975038402457756</v>
      </c>
      <c r="O19" s="213">
        <f>MAX(O7:O9)</f>
        <v>9.8000000000000007</v>
      </c>
      <c r="P19" s="213">
        <f>MIN(P7:P9)</f>
        <v>-3.8</v>
      </c>
      <c r="Q19" s="213">
        <f>AVERAGE(Q7:Q9)</f>
        <v>0.71064145346681462</v>
      </c>
      <c r="R19" s="226">
        <f>N19-Q19</f>
        <v>1.6868623867789609</v>
      </c>
      <c r="S19" s="213">
        <f>SUM(S7:S9)</f>
        <v>188.07452278382434</v>
      </c>
      <c r="T19" s="213">
        <f>SUM(T7:T9)</f>
        <v>2014.0663430000011</v>
      </c>
      <c r="U19" s="63"/>
      <c r="V19" s="65"/>
    </row>
    <row r="20" spans="1:22" ht="12" customHeight="1">
      <c r="A20" s="177" t="s">
        <v>56</v>
      </c>
      <c r="B20" s="223">
        <f>SUM(B10:B12)</f>
        <v>1396.6121856654454</v>
      </c>
      <c r="C20" s="213">
        <v>1880.5964594197642</v>
      </c>
      <c r="D20" s="212">
        <f>(B20-C20)/C20</f>
        <v>-0.25735679301642755</v>
      </c>
      <c r="E20" s="213">
        <f t="shared" ref="E20:I20" si="2">SUM(E10:E12)</f>
        <v>1357.0629585672614</v>
      </c>
      <c r="F20" s="213">
        <v>1738.1136140317301</v>
      </c>
      <c r="G20" s="212">
        <f>(E20-F20)/F20</f>
        <v>-0.21923230586784442</v>
      </c>
      <c r="H20" s="226">
        <f>SUM(H10:H12)</f>
        <v>1357.0629585672614</v>
      </c>
      <c r="I20" s="223">
        <f t="shared" si="2"/>
        <v>15067.164433530001</v>
      </c>
      <c r="J20" s="213">
        <v>20081.301302094318</v>
      </c>
      <c r="K20" s="213">
        <f>SUM(K10:K12)</f>
        <v>14640.579708935944</v>
      </c>
      <c r="L20" s="213">
        <v>18560.144852900827</v>
      </c>
      <c r="M20" s="226">
        <f>SUM(M10:M12)</f>
        <v>14640.579708935944</v>
      </c>
      <c r="N20" s="223">
        <f>AVERAGE(N10:N12)</f>
        <v>13.357777777777779</v>
      </c>
      <c r="O20" s="213">
        <f>MAX(O10:O12)</f>
        <v>25</v>
      </c>
      <c r="P20" s="213">
        <f>MIN(P10:P12)</f>
        <v>-1</v>
      </c>
      <c r="Q20" s="213">
        <f>AVERAGE(Q10:Q12)</f>
        <v>12.916415770609319</v>
      </c>
      <c r="R20" s="226">
        <f t="shared" ref="R20:R25" si="3">N20-Q20</f>
        <v>0.44136200716845941</v>
      </c>
      <c r="S20" s="213">
        <f>SUM(S10:S12)</f>
        <v>115.42953087081729</v>
      </c>
      <c r="T20" s="213">
        <f>SUM(T10:T12)</f>
        <v>1246.8112700000001</v>
      </c>
      <c r="V20" s="65"/>
    </row>
    <row r="21" spans="1:22" ht="12" customHeight="1">
      <c r="A21" s="177" t="s">
        <v>63</v>
      </c>
      <c r="B21" s="223">
        <f>SUM(B13:B15)</f>
        <v>983.03129823319637</v>
      </c>
      <c r="C21" s="213">
        <v>1174.8723066308528</v>
      </c>
      <c r="D21" s="212">
        <f t="shared" ref="D21:D25" si="4">(B21-C21)/C21</f>
        <v>-0.16328668853195913</v>
      </c>
      <c r="E21" s="213">
        <f t="shared" ref="E21:K21" si="5">SUM(E13:E15)</f>
        <v>971.2227116645447</v>
      </c>
      <c r="F21" s="213">
        <v>1194.0558528984498</v>
      </c>
      <c r="G21" s="212">
        <f t="shared" si="1"/>
        <v>-0.18661869182500981</v>
      </c>
      <c r="H21" s="226">
        <f>SUM(H13:H15)</f>
        <v>970</v>
      </c>
      <c r="I21" s="223">
        <f t="shared" si="5"/>
        <v>10711.877783469001</v>
      </c>
      <c r="J21" s="213">
        <v>12530.748949291514</v>
      </c>
      <c r="K21" s="213">
        <f t="shared" si="5"/>
        <v>10582.073546856333</v>
      </c>
      <c r="L21" s="213">
        <v>12735.316359192062</v>
      </c>
      <c r="M21" s="226">
        <f>SUM(M13:M15)</f>
        <v>10330</v>
      </c>
      <c r="N21" s="223">
        <f>AVERAGE(N13:N15)</f>
        <v>16.798494623655913</v>
      </c>
      <c r="O21" s="213">
        <f>MAX(O13:O15)</f>
        <v>25.2</v>
      </c>
      <c r="P21" s="213">
        <f>MIN(P13:P15)</f>
        <v>7.7</v>
      </c>
      <c r="Q21" s="213">
        <f>AVERAGE(Q13:Q15)</f>
        <v>16.621756272401431</v>
      </c>
      <c r="R21" s="226">
        <f>N21-Q21</f>
        <v>0.17673835125448178</v>
      </c>
      <c r="S21" s="213">
        <f t="shared" ref="S21:T21" si="6">SUM(S13:S15)</f>
        <v>130.7824189517188</v>
      </c>
      <c r="T21" s="213">
        <f t="shared" si="6"/>
        <v>1424.5263969999987</v>
      </c>
      <c r="V21" s="65"/>
    </row>
    <row r="22" spans="1:22" ht="12" customHeight="1">
      <c r="A22" s="180" t="s">
        <v>57</v>
      </c>
      <c r="B22" s="233">
        <f>SUM(B16:B18)</f>
        <v>0</v>
      </c>
      <c r="C22" s="217">
        <v>2848.7753375534594</v>
      </c>
      <c r="D22" s="235">
        <f t="shared" si="4"/>
        <v>-1</v>
      </c>
      <c r="E22" s="237">
        <f t="shared" ref="E22:K22" si="7">SUM(E16:E18)</f>
        <v>0</v>
      </c>
      <c r="F22" s="217">
        <v>2885.5702547042283</v>
      </c>
      <c r="G22" s="235">
        <f t="shared" si="1"/>
        <v>-1</v>
      </c>
      <c r="H22" s="227">
        <f>SUM(H16:H18)</f>
        <v>2650</v>
      </c>
      <c r="I22" s="233">
        <f t="shared" si="7"/>
        <v>0</v>
      </c>
      <c r="J22" s="217">
        <v>30433.724580022201</v>
      </c>
      <c r="K22" s="237">
        <f t="shared" si="7"/>
        <v>0</v>
      </c>
      <c r="L22" s="217">
        <v>30826.559942112595</v>
      </c>
      <c r="M22" s="227">
        <f>SUM(M16:M18)</f>
        <v>28230</v>
      </c>
      <c r="N22" s="233" t="e">
        <f>AVERAGE(N16:N18)</f>
        <v>#DIV/0!</v>
      </c>
      <c r="O22" s="237">
        <f>MAX(O16:O18)</f>
        <v>0</v>
      </c>
      <c r="P22" s="237">
        <f>MIN(P16:P18)</f>
        <v>0</v>
      </c>
      <c r="Q22" s="217">
        <f>AVERAGE(Q16:Q18)</f>
        <v>3.83921146953405</v>
      </c>
      <c r="R22" s="239" t="e">
        <f t="shared" si="3"/>
        <v>#DIV/0!</v>
      </c>
      <c r="S22" s="237">
        <f t="shared" ref="S22:T22" si="8">SUM(S16:S18)</f>
        <v>0</v>
      </c>
      <c r="T22" s="237">
        <f t="shared" si="8"/>
        <v>0</v>
      </c>
      <c r="V22" s="65"/>
    </row>
    <row r="23" spans="1:22" ht="12" customHeight="1">
      <c r="A23" s="177" t="s">
        <v>58</v>
      </c>
      <c r="B23" s="223">
        <f>SUM(B7:B12)</f>
        <v>4343.9949573395479</v>
      </c>
      <c r="C23" s="213">
        <v>5410.0866016179789</v>
      </c>
      <c r="D23" s="212">
        <f t="shared" si="4"/>
        <v>-0.1970562992392022</v>
      </c>
      <c r="E23" s="213">
        <f>SUM(E7:E12)</f>
        <v>4470.6448818104118</v>
      </c>
      <c r="F23" s="213">
        <v>5239.9860094414153</v>
      </c>
      <c r="G23" s="212">
        <f>(E23-F23)/F23</f>
        <v>-0.14682121788966676</v>
      </c>
      <c r="H23" s="226">
        <f>SUM(H7:H12)</f>
        <v>4470.6448818104118</v>
      </c>
      <c r="I23" s="223">
        <f t="shared" ref="I23:K23" si="9">SUM(I7:I12)</f>
        <v>46622.377535344</v>
      </c>
      <c r="J23" s="213">
        <v>57773.003434335376</v>
      </c>
      <c r="K23" s="213">
        <f t="shared" si="9"/>
        <v>47972.553168810555</v>
      </c>
      <c r="L23" s="213">
        <v>55957.019632934382</v>
      </c>
      <c r="M23" s="226">
        <f>SUM(M7:M12)</f>
        <v>47972.553168810555</v>
      </c>
      <c r="N23" s="223">
        <f>AVERAGE(N7:N12)</f>
        <v>7.8776408090117771</v>
      </c>
      <c r="O23" s="213">
        <f>MAX(O7:O12)</f>
        <v>25</v>
      </c>
      <c r="P23" s="213">
        <f>MIN(P7:P12)</f>
        <v>-3.8</v>
      </c>
      <c r="Q23" s="213">
        <f>AVERAGE(Q7:Q12)</f>
        <v>6.8135286120380663</v>
      </c>
      <c r="R23" s="226">
        <f t="shared" si="3"/>
        <v>1.0641121969737108</v>
      </c>
      <c r="S23" s="213">
        <f>SUM(S7:S12)</f>
        <v>303.50405365464161</v>
      </c>
      <c r="T23" s="213">
        <f>SUM(T7:T12)</f>
        <v>3260.8776130000015</v>
      </c>
      <c r="V23" s="65"/>
    </row>
    <row r="24" spans="1:22" ht="12" customHeight="1">
      <c r="A24" s="180" t="s">
        <v>59</v>
      </c>
      <c r="B24" s="233">
        <f>SUM(B13:B18)</f>
        <v>983.03129823319637</v>
      </c>
      <c r="C24" s="217">
        <v>4023.6476441843124</v>
      </c>
      <c r="D24" s="235">
        <f t="shared" si="4"/>
        <v>-0.75568653491464466</v>
      </c>
      <c r="E24" s="237">
        <f t="shared" ref="E24:K24" si="10">SUM(E13:E18)</f>
        <v>971.2227116645447</v>
      </c>
      <c r="F24" s="217">
        <v>4079.6261076026776</v>
      </c>
      <c r="G24" s="235">
        <f t="shared" si="1"/>
        <v>-0.76193340123630426</v>
      </c>
      <c r="H24" s="227">
        <f>SUM(H13:H18)</f>
        <v>3620</v>
      </c>
      <c r="I24" s="233">
        <f t="shared" si="10"/>
        <v>10711.877783469001</v>
      </c>
      <c r="J24" s="217">
        <v>42964.473529313713</v>
      </c>
      <c r="K24" s="237">
        <f t="shared" si="10"/>
        <v>10582.073546856333</v>
      </c>
      <c r="L24" s="217">
        <v>43561.876301304655</v>
      </c>
      <c r="M24" s="227">
        <f>SUM(M13:M18)</f>
        <v>38560</v>
      </c>
      <c r="N24" s="233">
        <f>AVERAGE(N13:N18)</f>
        <v>16.798494623655913</v>
      </c>
      <c r="O24" s="237">
        <f>MAX(O13:O18)</f>
        <v>25.2</v>
      </c>
      <c r="P24" s="237">
        <f>MIN(P13:P18)</f>
        <v>7.7</v>
      </c>
      <c r="Q24" s="217">
        <f>AVERAGE(Q13:Q18)</f>
        <v>10.230483870967742</v>
      </c>
      <c r="R24" s="239">
        <f t="shared" si="3"/>
        <v>6.5680107526881706</v>
      </c>
      <c r="S24" s="237">
        <f t="shared" ref="S24:T24" si="11">SUM(S13:S18)</f>
        <v>130.7824189517188</v>
      </c>
      <c r="T24" s="237">
        <f t="shared" si="11"/>
        <v>1424.5263969999987</v>
      </c>
      <c r="V24" s="65"/>
    </row>
    <row r="25" spans="1:22" ht="12" customHeight="1">
      <c r="A25" s="218" t="s">
        <v>173</v>
      </c>
      <c r="B25" s="234">
        <f>SUM(B7:B18)</f>
        <v>5327.026255572744</v>
      </c>
      <c r="C25" s="219">
        <v>9433.7342458022922</v>
      </c>
      <c r="D25" s="236">
        <f t="shared" si="4"/>
        <v>-0.43532156866268529</v>
      </c>
      <c r="E25" s="238">
        <f t="shared" ref="E25:K25" si="12">SUM(E7:E18)</f>
        <v>5441.8675934749563</v>
      </c>
      <c r="F25" s="219">
        <v>9319.6121170440929</v>
      </c>
      <c r="G25" s="236">
        <f t="shared" si="1"/>
        <v>-0.41608432570679166</v>
      </c>
      <c r="H25" s="228">
        <f>SUM(H7:H18)</f>
        <v>8090.6448818104118</v>
      </c>
      <c r="I25" s="234">
        <f t="shared" si="12"/>
        <v>57334.255318812997</v>
      </c>
      <c r="J25" s="219">
        <v>100737.47696364907</v>
      </c>
      <c r="K25" s="238">
        <f t="shared" si="12"/>
        <v>58554.626715666884</v>
      </c>
      <c r="L25" s="219">
        <v>99518.895934239044</v>
      </c>
      <c r="M25" s="228">
        <f>SUM(M7:M18)</f>
        <v>86532.553168810555</v>
      </c>
      <c r="N25" s="234">
        <f>AVERAGE(N7:N18)</f>
        <v>10.851258747226488</v>
      </c>
      <c r="O25" s="238">
        <f>MAX(O7:O18)</f>
        <v>25.2</v>
      </c>
      <c r="P25" s="238">
        <f>MIN(P7:P18)</f>
        <v>-3.8</v>
      </c>
      <c r="Q25" s="219">
        <f>AVERAGE(Q7:Q18)</f>
        <v>8.5220062415029041</v>
      </c>
      <c r="R25" s="240">
        <f t="shared" si="3"/>
        <v>2.3292525057235842</v>
      </c>
      <c r="S25" s="238">
        <f t="shared" ref="S25:T25" si="13">SUM(S7:S18)</f>
        <v>434.28647260636041</v>
      </c>
      <c r="T25" s="238">
        <f t="shared" si="13"/>
        <v>4685.4040100000002</v>
      </c>
      <c r="V25" s="65"/>
    </row>
    <row r="26" spans="1:22" ht="11.25" customHeight="1">
      <c r="A26" s="451" t="s">
        <v>314</v>
      </c>
      <c r="B26" s="451"/>
      <c r="C26" s="451"/>
      <c r="D26" s="451"/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451"/>
    </row>
    <row r="27" spans="1:22" ht="15" customHeight="1">
      <c r="A27" s="450" t="s">
        <v>253</v>
      </c>
      <c r="B27" s="450"/>
      <c r="C27" s="450"/>
      <c r="D27" s="450"/>
      <c r="E27" s="450"/>
      <c r="F27" s="450"/>
      <c r="G27" s="450"/>
      <c r="H27" s="450"/>
      <c r="I27" s="450"/>
      <c r="J27" s="450" t="s">
        <v>157</v>
      </c>
      <c r="K27" s="450"/>
      <c r="L27" s="450"/>
      <c r="M27" s="450"/>
      <c r="N27" s="450"/>
      <c r="O27" s="450"/>
      <c r="P27" s="450"/>
      <c r="Q27" s="450"/>
      <c r="R27" s="450"/>
      <c r="S27" s="450"/>
      <c r="T27" s="450"/>
    </row>
    <row r="28" spans="1:22" ht="8.1" customHeight="1">
      <c r="A28" s="61"/>
      <c r="B28" s="61"/>
      <c r="C28" s="61"/>
      <c r="D28" s="61"/>
      <c r="E28" s="61" t="s">
        <v>138</v>
      </c>
      <c r="F28" s="61" t="s">
        <v>133</v>
      </c>
      <c r="G28" s="61"/>
      <c r="H28" s="61"/>
      <c r="I28" s="61"/>
      <c r="J28" s="61"/>
      <c r="K28" s="61"/>
      <c r="L28" s="61"/>
      <c r="M28" s="61"/>
      <c r="N28" s="62" t="str">
        <f>N6</f>
        <v>Průměr</v>
      </c>
      <c r="O28" s="62" t="str">
        <f>Q6</f>
        <v>Normál</v>
      </c>
      <c r="P28" s="62"/>
      <c r="Q28" s="61"/>
      <c r="R28" s="61"/>
      <c r="S28" s="61"/>
      <c r="T28" s="61"/>
    </row>
    <row r="29" spans="1:22" ht="6.95" customHeight="1">
      <c r="A29" s="61"/>
      <c r="B29" s="61"/>
      <c r="C29" s="61"/>
      <c r="D29" s="61" t="str">
        <f>A7</f>
        <v>Leden</v>
      </c>
      <c r="E29" s="62">
        <f>B7</f>
        <v>1134.2625732048143</v>
      </c>
      <c r="F29" s="62">
        <f>E7</f>
        <v>1205.7431048765241</v>
      </c>
      <c r="G29" s="62"/>
      <c r="H29" s="62"/>
      <c r="I29" s="61"/>
      <c r="J29" s="61"/>
      <c r="K29" s="61"/>
      <c r="L29" s="61"/>
      <c r="M29" s="61" t="str">
        <f>A7</f>
        <v>Leden</v>
      </c>
      <c r="N29" s="62">
        <f>N7</f>
        <v>0.78709677419354818</v>
      </c>
      <c r="O29" s="62">
        <f>Q7</f>
        <v>-1.2258064516129035</v>
      </c>
      <c r="P29" s="62"/>
      <c r="Q29" s="61"/>
      <c r="R29" s="61"/>
      <c r="S29" s="61"/>
      <c r="T29" s="61"/>
    </row>
    <row r="30" spans="1:22" ht="6.95" customHeight="1">
      <c r="A30" s="61"/>
      <c r="B30" s="61"/>
      <c r="C30" s="61"/>
      <c r="D30" s="61" t="str">
        <f t="shared" ref="D30:D39" si="14">A8</f>
        <v>Únor</v>
      </c>
      <c r="E30" s="62">
        <f t="shared" ref="E30:E40" si="15">B8</f>
        <v>890.50037327489224</v>
      </c>
      <c r="F30" s="62">
        <f t="shared" ref="F30:F40" si="16">E8</f>
        <v>992.34776233082323</v>
      </c>
      <c r="G30" s="62"/>
      <c r="H30" s="62"/>
      <c r="I30" s="61"/>
      <c r="J30" s="61"/>
      <c r="K30" s="61"/>
      <c r="L30" s="61"/>
      <c r="M30" s="61" t="str">
        <f t="shared" ref="M30:M40" si="17">A8</f>
        <v>Únor</v>
      </c>
      <c r="N30" s="62">
        <f t="shared" ref="N30:N40" si="18">N8</f>
        <v>3.0892857142857144</v>
      </c>
      <c r="O30" s="62">
        <f t="shared" ref="O30:O40" si="19">Q8</f>
        <v>-0.15517241379310354</v>
      </c>
      <c r="P30" s="62"/>
      <c r="Q30" s="61"/>
      <c r="R30" s="61"/>
      <c r="S30" s="61"/>
      <c r="T30" s="61"/>
    </row>
    <row r="31" spans="1:22" ht="6.95" customHeight="1">
      <c r="A31" s="61"/>
      <c r="B31" s="61"/>
      <c r="C31" s="61"/>
      <c r="D31" s="61" t="str">
        <f t="shared" si="14"/>
        <v>Březen</v>
      </c>
      <c r="E31" s="62">
        <f t="shared" si="15"/>
        <v>922.61982519439664</v>
      </c>
      <c r="F31" s="62">
        <f t="shared" si="16"/>
        <v>915.4910560358029</v>
      </c>
      <c r="G31" s="62"/>
      <c r="H31" s="62"/>
      <c r="I31" s="61"/>
      <c r="J31" s="61"/>
      <c r="K31" s="61"/>
      <c r="L31" s="61"/>
      <c r="M31" s="61" t="str">
        <f t="shared" si="17"/>
        <v>Březen</v>
      </c>
      <c r="N31" s="62">
        <f t="shared" si="18"/>
        <v>3.3161290322580643</v>
      </c>
      <c r="O31" s="62">
        <f t="shared" si="19"/>
        <v>3.512903225806451</v>
      </c>
      <c r="P31" s="62"/>
      <c r="Q31" s="61"/>
      <c r="R31" s="61"/>
      <c r="S31" s="61"/>
      <c r="T31" s="61"/>
    </row>
    <row r="32" spans="1:22" ht="6.95" customHeight="1">
      <c r="A32" s="61"/>
      <c r="B32" s="61"/>
      <c r="C32" s="61"/>
      <c r="D32" s="61" t="str">
        <f t="shared" si="14"/>
        <v>Duben</v>
      </c>
      <c r="E32" s="62">
        <f t="shared" si="15"/>
        <v>671.36203982845257</v>
      </c>
      <c r="F32" s="62">
        <f t="shared" si="16"/>
        <v>605.2961340668877</v>
      </c>
      <c r="G32" s="62"/>
      <c r="H32" s="62"/>
      <c r="I32" s="61"/>
      <c r="J32" s="61"/>
      <c r="K32" s="61"/>
      <c r="L32" s="61"/>
      <c r="M32" s="61" t="str">
        <f t="shared" si="17"/>
        <v>Duben</v>
      </c>
      <c r="N32" s="62">
        <f t="shared" si="18"/>
        <v>6.6166666666666663</v>
      </c>
      <c r="O32" s="62">
        <f t="shared" si="19"/>
        <v>8.6366666666666667</v>
      </c>
      <c r="P32" s="62"/>
      <c r="Q32" s="61"/>
      <c r="R32" s="61"/>
      <c r="S32" s="61"/>
      <c r="T32" s="61"/>
    </row>
    <row r="33" spans="1:20" ht="6.95" customHeight="1">
      <c r="A33" s="61"/>
      <c r="B33" s="61"/>
      <c r="C33" s="61"/>
      <c r="D33" s="61" t="str">
        <f t="shared" si="14"/>
        <v>Květen</v>
      </c>
      <c r="E33" s="62">
        <f t="shared" si="15"/>
        <v>388.89642773175905</v>
      </c>
      <c r="F33" s="62">
        <f t="shared" si="16"/>
        <v>408.72629326716236</v>
      </c>
      <c r="G33" s="62"/>
      <c r="H33" s="62"/>
      <c r="I33" s="61"/>
      <c r="J33" s="61"/>
      <c r="K33" s="61"/>
      <c r="L33" s="61"/>
      <c r="M33" s="61" t="str">
        <f t="shared" si="17"/>
        <v>Květen</v>
      </c>
      <c r="N33" s="62">
        <f t="shared" si="18"/>
        <v>14.500000000000002</v>
      </c>
      <c r="O33" s="62">
        <f t="shared" si="19"/>
        <v>13.522580645161288</v>
      </c>
      <c r="P33" s="62"/>
      <c r="Q33" s="61"/>
      <c r="R33" s="61"/>
      <c r="S33" s="61"/>
      <c r="T33" s="61"/>
    </row>
    <row r="34" spans="1:20" ht="6.95" customHeight="1">
      <c r="A34" s="61"/>
      <c r="B34" s="61"/>
      <c r="C34" s="61"/>
      <c r="D34" s="61" t="str">
        <f t="shared" si="14"/>
        <v>Červen</v>
      </c>
      <c r="E34" s="62">
        <f t="shared" si="15"/>
        <v>336.35371810523372</v>
      </c>
      <c r="F34" s="62">
        <f t="shared" si="16"/>
        <v>343.04053123321125</v>
      </c>
      <c r="G34" s="62"/>
      <c r="H34" s="62"/>
      <c r="I34" s="61"/>
      <c r="J34" s="61"/>
      <c r="K34" s="61"/>
      <c r="L34" s="61"/>
      <c r="M34" s="61" t="str">
        <f t="shared" si="17"/>
        <v>Červen</v>
      </c>
      <c r="N34" s="62">
        <f t="shared" si="18"/>
        <v>18.956666666666667</v>
      </c>
      <c r="O34" s="62">
        <f t="shared" si="19"/>
        <v>16.59</v>
      </c>
      <c r="P34" s="62"/>
      <c r="Q34" s="61"/>
      <c r="R34" s="61"/>
      <c r="S34" s="61"/>
      <c r="T34" s="61"/>
    </row>
    <row r="35" spans="1:20" ht="6.95" customHeight="1">
      <c r="A35" s="61"/>
      <c r="B35" s="61"/>
      <c r="C35" s="61"/>
      <c r="D35" s="61" t="str">
        <f t="shared" si="14"/>
        <v>Červenec</v>
      </c>
      <c r="E35" s="62">
        <f t="shared" si="15"/>
        <v>288.56926119243906</v>
      </c>
      <c r="F35" s="62">
        <f t="shared" si="16"/>
        <v>290.00651385366569</v>
      </c>
      <c r="G35" s="62"/>
      <c r="H35" s="62"/>
      <c r="I35" s="61"/>
      <c r="J35" s="61"/>
      <c r="K35" s="61"/>
      <c r="L35" s="61"/>
      <c r="M35" s="61" t="str">
        <f t="shared" si="17"/>
        <v>Červenec</v>
      </c>
      <c r="N35" s="62">
        <f t="shared" si="18"/>
        <v>18.874193548387094</v>
      </c>
      <c r="O35" s="62">
        <f t="shared" si="19"/>
        <v>18.522580645161291</v>
      </c>
      <c r="P35" s="62"/>
      <c r="Q35" s="61"/>
      <c r="R35" s="61"/>
      <c r="S35" s="61"/>
      <c r="T35" s="61"/>
    </row>
    <row r="36" spans="1:20" ht="6.95" customHeight="1">
      <c r="A36" s="61"/>
      <c r="B36" s="61"/>
      <c r="C36" s="61"/>
      <c r="D36" s="61" t="str">
        <f t="shared" si="14"/>
        <v>Srpen</v>
      </c>
      <c r="E36" s="62">
        <f t="shared" si="15"/>
        <v>311.10451066410326</v>
      </c>
      <c r="F36" s="62">
        <f t="shared" si="16"/>
        <v>316.66361055716817</v>
      </c>
      <c r="G36" s="62"/>
      <c r="H36" s="62"/>
      <c r="I36" s="61"/>
      <c r="J36" s="61"/>
      <c r="K36" s="61"/>
      <c r="L36" s="61"/>
      <c r="M36" s="61" t="str">
        <f t="shared" si="17"/>
        <v>Srpen</v>
      </c>
      <c r="N36" s="62">
        <f t="shared" si="18"/>
        <v>19.361290322580643</v>
      </c>
      <c r="O36" s="62">
        <f t="shared" si="19"/>
        <v>18.119354838709679</v>
      </c>
      <c r="P36" s="62"/>
      <c r="Q36" s="61"/>
      <c r="R36" s="61"/>
      <c r="S36" s="61"/>
      <c r="T36" s="61"/>
    </row>
    <row r="37" spans="1:20" ht="6.95" customHeight="1">
      <c r="A37" s="61"/>
      <c r="B37" s="61"/>
      <c r="C37" s="61"/>
      <c r="D37" s="61" t="str">
        <f t="shared" si="14"/>
        <v>Září</v>
      </c>
      <c r="E37" s="62">
        <f t="shared" si="15"/>
        <v>383.35752637665405</v>
      </c>
      <c r="F37" s="62">
        <f t="shared" si="16"/>
        <v>364.5525872537109</v>
      </c>
      <c r="G37" s="62"/>
      <c r="H37" s="62"/>
      <c r="I37" s="61"/>
      <c r="J37" s="61"/>
      <c r="K37" s="61"/>
      <c r="L37" s="61"/>
      <c r="M37" s="61" t="str">
        <f t="shared" si="17"/>
        <v>Září</v>
      </c>
      <c r="N37" s="62">
        <f t="shared" si="18"/>
        <v>12.16</v>
      </c>
      <c r="O37" s="62">
        <f t="shared" si="19"/>
        <v>13.223333333333333</v>
      </c>
      <c r="P37" s="62"/>
      <c r="Q37" s="61"/>
      <c r="R37" s="61"/>
      <c r="S37" s="61"/>
      <c r="T37" s="61"/>
    </row>
    <row r="38" spans="1:20" ht="6.95" customHeight="1">
      <c r="A38" s="61"/>
      <c r="B38" s="61"/>
      <c r="C38" s="61"/>
      <c r="D38" s="61" t="str">
        <f t="shared" si="14"/>
        <v>Říjen</v>
      </c>
      <c r="E38" s="62">
        <f t="shared" si="15"/>
        <v>0</v>
      </c>
      <c r="F38" s="62">
        <f t="shared" si="16"/>
        <v>0</v>
      </c>
      <c r="G38" s="62"/>
      <c r="H38" s="62"/>
      <c r="I38" s="61"/>
      <c r="J38" s="61"/>
      <c r="K38" s="61"/>
      <c r="L38" s="61"/>
      <c r="M38" s="61" t="str">
        <f t="shared" si="17"/>
        <v>Říjen</v>
      </c>
      <c r="N38" s="62">
        <f t="shared" si="18"/>
        <v>0</v>
      </c>
      <c r="O38" s="62">
        <f t="shared" si="19"/>
        <v>8.3548387096774199</v>
      </c>
      <c r="P38" s="62"/>
      <c r="Q38" s="61"/>
      <c r="R38" s="61"/>
      <c r="S38" s="61"/>
      <c r="T38" s="61"/>
    </row>
    <row r="39" spans="1:20" ht="6.95" customHeight="1">
      <c r="A39" s="61"/>
      <c r="B39" s="61"/>
      <c r="C39" s="61"/>
      <c r="D39" s="61" t="str">
        <f t="shared" si="14"/>
        <v>Listopad</v>
      </c>
      <c r="E39" s="62">
        <f t="shared" si="15"/>
        <v>0</v>
      </c>
      <c r="F39" s="62">
        <f t="shared" si="16"/>
        <v>0</v>
      </c>
      <c r="G39" s="61"/>
      <c r="H39" s="61"/>
      <c r="I39" s="61"/>
      <c r="J39" s="61"/>
      <c r="K39" s="61"/>
      <c r="L39" s="61"/>
      <c r="M39" s="61" t="str">
        <f t="shared" si="17"/>
        <v>Listopad</v>
      </c>
      <c r="N39" s="62">
        <f t="shared" si="18"/>
        <v>0</v>
      </c>
      <c r="O39" s="62">
        <f t="shared" si="19"/>
        <v>3.5466666666666664</v>
      </c>
      <c r="P39" s="61"/>
      <c r="Q39" s="61"/>
      <c r="R39" s="61"/>
      <c r="S39" s="61"/>
      <c r="T39" s="61"/>
    </row>
    <row r="40" spans="1:20" ht="6.95" customHeight="1">
      <c r="A40" s="61"/>
      <c r="B40" s="61"/>
      <c r="C40" s="61"/>
      <c r="D40" s="61" t="str">
        <f>A18</f>
        <v>Prosinec</v>
      </c>
      <c r="E40" s="62">
        <f t="shared" si="15"/>
        <v>0</v>
      </c>
      <c r="F40" s="62">
        <f t="shared" si="16"/>
        <v>0</v>
      </c>
      <c r="G40" s="61"/>
      <c r="H40" s="61"/>
      <c r="I40" s="61"/>
      <c r="J40" s="61"/>
      <c r="K40" s="61"/>
      <c r="L40" s="61"/>
      <c r="M40" s="61" t="str">
        <f t="shared" si="17"/>
        <v>Prosinec</v>
      </c>
      <c r="N40" s="62">
        <f t="shared" si="18"/>
        <v>0</v>
      </c>
      <c r="O40" s="62">
        <f t="shared" si="19"/>
        <v>-0.38387096774193558</v>
      </c>
      <c r="P40" s="61"/>
      <c r="Q40" s="61"/>
      <c r="R40" s="61"/>
      <c r="S40" s="61"/>
      <c r="T40" s="61"/>
    </row>
    <row r="41" spans="1:20" ht="12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</row>
    <row r="42" spans="1:20" ht="12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</row>
    <row r="43" spans="1:20" ht="12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</row>
    <row r="54" spans="9:10">
      <c r="I54" s="63"/>
      <c r="J54" s="63"/>
    </row>
    <row r="56" spans="9:10">
      <c r="I56" s="68"/>
      <c r="J56" s="68"/>
    </row>
  </sheetData>
  <mergeCells count="12">
    <mergeCell ref="I4:M4"/>
    <mergeCell ref="N4:R4"/>
    <mergeCell ref="N5:R5"/>
    <mergeCell ref="B4:H4"/>
    <mergeCell ref="I5:J5"/>
    <mergeCell ref="K5:L5"/>
    <mergeCell ref="A27:I27"/>
    <mergeCell ref="J27:T27"/>
    <mergeCell ref="A26:T26"/>
    <mergeCell ref="B5:D5"/>
    <mergeCell ref="E5:G5"/>
    <mergeCell ref="S5:T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G22 C19:G19 J19 L19 C20 L20 B24:G24 C23:D23 I21:L22 I20:J20 I24:L24 I23:L23 N19:R19 N20 N21:T22 N24:T24 N23:R23 P20:R20 E20:F20 F2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12" customWidth="1"/>
    <col min="2" max="3" width="5.42578125" style="12" customWidth="1"/>
    <col min="4" max="4" width="6.5703125" style="12" customWidth="1"/>
    <col min="5" max="5" width="7.7109375" style="12" customWidth="1"/>
    <col min="6" max="6" width="4.140625" style="12" customWidth="1"/>
    <col min="7" max="7" width="7.7109375" style="12" customWidth="1"/>
    <col min="8" max="13" width="6.7109375" style="12" customWidth="1"/>
    <col min="14" max="14" width="7.5703125" style="12" customWidth="1"/>
    <col min="15" max="18" width="7.28515625" style="12" customWidth="1"/>
    <col min="19" max="20" width="6.7109375" style="12" customWidth="1"/>
    <col min="21" max="21" width="8" style="12" customWidth="1"/>
    <col min="22" max="22" width="9.28515625" style="12" bestFit="1" customWidth="1"/>
    <col min="23" max="23" width="11.42578125" style="12" bestFit="1" customWidth="1"/>
    <col min="24" max="262" width="9.140625" style="12"/>
    <col min="263" max="275" width="10.7109375" style="12" customWidth="1"/>
    <col min="276" max="518" width="9.140625" style="12"/>
    <col min="519" max="531" width="10.7109375" style="12" customWidth="1"/>
    <col min="532" max="774" width="9.140625" style="12"/>
    <col min="775" max="787" width="10.7109375" style="12" customWidth="1"/>
    <col min="788" max="1030" width="9.140625" style="12"/>
    <col min="1031" max="1043" width="10.7109375" style="12" customWidth="1"/>
    <col min="1044" max="1286" width="9.140625" style="12"/>
    <col min="1287" max="1299" width="10.7109375" style="12" customWidth="1"/>
    <col min="1300" max="1542" width="9.140625" style="12"/>
    <col min="1543" max="1555" width="10.7109375" style="12" customWidth="1"/>
    <col min="1556" max="1798" width="9.140625" style="12"/>
    <col min="1799" max="1811" width="10.7109375" style="12" customWidth="1"/>
    <col min="1812" max="2054" width="9.140625" style="12"/>
    <col min="2055" max="2067" width="10.7109375" style="12" customWidth="1"/>
    <col min="2068" max="2310" width="9.140625" style="12"/>
    <col min="2311" max="2323" width="10.7109375" style="12" customWidth="1"/>
    <col min="2324" max="2566" width="9.140625" style="12"/>
    <col min="2567" max="2579" width="10.7109375" style="12" customWidth="1"/>
    <col min="2580" max="2822" width="9.140625" style="12"/>
    <col min="2823" max="2835" width="10.7109375" style="12" customWidth="1"/>
    <col min="2836" max="3078" width="9.140625" style="12"/>
    <col min="3079" max="3091" width="10.7109375" style="12" customWidth="1"/>
    <col min="3092" max="3334" width="9.140625" style="12"/>
    <col min="3335" max="3347" width="10.7109375" style="12" customWidth="1"/>
    <col min="3348" max="3590" width="9.140625" style="12"/>
    <col min="3591" max="3603" width="10.7109375" style="12" customWidth="1"/>
    <col min="3604" max="3846" width="9.140625" style="12"/>
    <col min="3847" max="3859" width="10.7109375" style="12" customWidth="1"/>
    <col min="3860" max="4102" width="9.140625" style="12"/>
    <col min="4103" max="4115" width="10.7109375" style="12" customWidth="1"/>
    <col min="4116" max="4358" width="9.140625" style="12"/>
    <col min="4359" max="4371" width="10.7109375" style="12" customWidth="1"/>
    <col min="4372" max="4614" width="9.140625" style="12"/>
    <col min="4615" max="4627" width="10.7109375" style="12" customWidth="1"/>
    <col min="4628" max="4870" width="9.140625" style="12"/>
    <col min="4871" max="4883" width="10.7109375" style="12" customWidth="1"/>
    <col min="4884" max="5126" width="9.140625" style="12"/>
    <col min="5127" max="5139" width="10.7109375" style="12" customWidth="1"/>
    <col min="5140" max="5382" width="9.140625" style="12"/>
    <col min="5383" max="5395" width="10.7109375" style="12" customWidth="1"/>
    <col min="5396" max="5638" width="9.140625" style="12"/>
    <col min="5639" max="5651" width="10.7109375" style="12" customWidth="1"/>
    <col min="5652" max="5894" width="9.140625" style="12"/>
    <col min="5895" max="5907" width="10.7109375" style="12" customWidth="1"/>
    <col min="5908" max="6150" width="9.140625" style="12"/>
    <col min="6151" max="6163" width="10.7109375" style="12" customWidth="1"/>
    <col min="6164" max="6406" width="9.140625" style="12"/>
    <col min="6407" max="6419" width="10.7109375" style="12" customWidth="1"/>
    <col min="6420" max="6662" width="9.140625" style="12"/>
    <col min="6663" max="6675" width="10.7109375" style="12" customWidth="1"/>
    <col min="6676" max="6918" width="9.140625" style="12"/>
    <col min="6919" max="6931" width="10.7109375" style="12" customWidth="1"/>
    <col min="6932" max="7174" width="9.140625" style="12"/>
    <col min="7175" max="7187" width="10.7109375" style="12" customWidth="1"/>
    <col min="7188" max="7430" width="9.140625" style="12"/>
    <col min="7431" max="7443" width="10.7109375" style="12" customWidth="1"/>
    <col min="7444" max="7686" width="9.140625" style="12"/>
    <col min="7687" max="7699" width="10.7109375" style="12" customWidth="1"/>
    <col min="7700" max="7942" width="9.140625" style="12"/>
    <col min="7943" max="7955" width="10.7109375" style="12" customWidth="1"/>
    <col min="7956" max="8198" width="9.140625" style="12"/>
    <col min="8199" max="8211" width="10.7109375" style="12" customWidth="1"/>
    <col min="8212" max="8454" width="9.140625" style="12"/>
    <col min="8455" max="8467" width="10.7109375" style="12" customWidth="1"/>
    <col min="8468" max="8710" width="9.140625" style="12"/>
    <col min="8711" max="8723" width="10.7109375" style="12" customWidth="1"/>
    <col min="8724" max="8966" width="9.140625" style="12"/>
    <col min="8967" max="8979" width="10.7109375" style="12" customWidth="1"/>
    <col min="8980" max="9222" width="9.140625" style="12"/>
    <col min="9223" max="9235" width="10.7109375" style="12" customWidth="1"/>
    <col min="9236" max="9478" width="9.140625" style="12"/>
    <col min="9479" max="9491" width="10.7109375" style="12" customWidth="1"/>
    <col min="9492" max="9734" width="9.140625" style="12"/>
    <col min="9735" max="9747" width="10.7109375" style="12" customWidth="1"/>
    <col min="9748" max="9990" width="9.140625" style="12"/>
    <col min="9991" max="10003" width="10.7109375" style="12" customWidth="1"/>
    <col min="10004" max="10246" width="9.140625" style="12"/>
    <col min="10247" max="10259" width="10.7109375" style="12" customWidth="1"/>
    <col min="10260" max="10502" width="9.140625" style="12"/>
    <col min="10503" max="10515" width="10.7109375" style="12" customWidth="1"/>
    <col min="10516" max="10758" width="9.140625" style="12"/>
    <col min="10759" max="10771" width="10.7109375" style="12" customWidth="1"/>
    <col min="10772" max="11014" width="9.140625" style="12"/>
    <col min="11015" max="11027" width="10.7109375" style="12" customWidth="1"/>
    <col min="11028" max="11270" width="9.140625" style="12"/>
    <col min="11271" max="11283" width="10.7109375" style="12" customWidth="1"/>
    <col min="11284" max="11526" width="9.140625" style="12"/>
    <col min="11527" max="11539" width="10.7109375" style="12" customWidth="1"/>
    <col min="11540" max="11782" width="9.140625" style="12"/>
    <col min="11783" max="11795" width="10.7109375" style="12" customWidth="1"/>
    <col min="11796" max="12038" width="9.140625" style="12"/>
    <col min="12039" max="12051" width="10.7109375" style="12" customWidth="1"/>
    <col min="12052" max="12294" width="9.140625" style="12"/>
    <col min="12295" max="12307" width="10.7109375" style="12" customWidth="1"/>
    <col min="12308" max="12550" width="9.140625" style="12"/>
    <col min="12551" max="12563" width="10.7109375" style="12" customWidth="1"/>
    <col min="12564" max="12806" width="9.140625" style="12"/>
    <col min="12807" max="12819" width="10.7109375" style="12" customWidth="1"/>
    <col min="12820" max="13062" width="9.140625" style="12"/>
    <col min="13063" max="13075" width="10.7109375" style="12" customWidth="1"/>
    <col min="13076" max="13318" width="9.140625" style="12"/>
    <col min="13319" max="13331" width="10.7109375" style="12" customWidth="1"/>
    <col min="13332" max="13574" width="9.140625" style="12"/>
    <col min="13575" max="13587" width="10.7109375" style="12" customWidth="1"/>
    <col min="13588" max="13830" width="9.140625" style="12"/>
    <col min="13831" max="13843" width="10.7109375" style="12" customWidth="1"/>
    <col min="13844" max="14086" width="9.140625" style="12"/>
    <col min="14087" max="14099" width="10.7109375" style="12" customWidth="1"/>
    <col min="14100" max="14342" width="9.140625" style="12"/>
    <col min="14343" max="14355" width="10.7109375" style="12" customWidth="1"/>
    <col min="14356" max="14598" width="9.140625" style="12"/>
    <col min="14599" max="14611" width="10.7109375" style="12" customWidth="1"/>
    <col min="14612" max="14854" width="9.140625" style="12"/>
    <col min="14855" max="14867" width="10.7109375" style="12" customWidth="1"/>
    <col min="14868" max="15110" width="9.140625" style="12"/>
    <col min="15111" max="15123" width="10.7109375" style="12" customWidth="1"/>
    <col min="15124" max="15366" width="9.140625" style="12"/>
    <col min="15367" max="15379" width="10.7109375" style="12" customWidth="1"/>
    <col min="15380" max="15622" width="9.140625" style="12"/>
    <col min="15623" max="15635" width="10.7109375" style="12" customWidth="1"/>
    <col min="15636" max="15878" width="9.140625" style="12"/>
    <col min="15879" max="15891" width="10.7109375" style="12" customWidth="1"/>
    <col min="15892" max="16134" width="9.140625" style="12"/>
    <col min="16135" max="16147" width="10.7109375" style="12" customWidth="1"/>
    <col min="16148" max="16384" width="9.140625" style="12"/>
  </cols>
  <sheetData>
    <row r="1" spans="1:36" ht="18">
      <c r="A1" s="441" t="s">
        <v>298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</row>
    <row r="2" spans="1:36" ht="6" customHeight="1">
      <c r="A2" s="250"/>
      <c r="B2" s="455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</row>
    <row r="3" spans="1:36" ht="18" customHeight="1">
      <c r="A3" s="261">
        <f>'3.1'!A4</f>
        <v>2022</v>
      </c>
      <c r="B3" s="447" t="s">
        <v>160</v>
      </c>
      <c r="C3" s="453"/>
      <c r="D3" s="453"/>
      <c r="E3" s="453"/>
      <c r="F3" s="453"/>
      <c r="G3" s="449"/>
      <c r="H3" s="453" t="s">
        <v>60</v>
      </c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</row>
    <row r="4" spans="1:36" ht="18" customHeight="1">
      <c r="A4" s="211"/>
      <c r="B4" s="258"/>
      <c r="C4" s="259"/>
      <c r="D4" s="259"/>
      <c r="E4" s="259"/>
      <c r="F4" s="259"/>
      <c r="G4" s="260"/>
      <c r="H4" s="262" t="s">
        <v>263</v>
      </c>
      <c r="I4" s="262"/>
      <c r="J4" s="262"/>
      <c r="K4" s="262"/>
      <c r="L4" s="262"/>
      <c r="M4" s="457" t="s">
        <v>269</v>
      </c>
      <c r="N4" s="262"/>
      <c r="O4" s="263" t="s">
        <v>221</v>
      </c>
      <c r="P4" s="262"/>
      <c r="Q4" s="262"/>
      <c r="R4" s="262"/>
      <c r="S4" s="262"/>
      <c r="T4" s="457" t="s">
        <v>269</v>
      </c>
      <c r="U4" s="262"/>
    </row>
    <row r="5" spans="1:36" ht="16.5" customHeight="1">
      <c r="A5" s="214"/>
      <c r="B5" s="244" t="s">
        <v>4</v>
      </c>
      <c r="C5" s="245" t="s">
        <v>5</v>
      </c>
      <c r="D5" s="195" t="s">
        <v>6</v>
      </c>
      <c r="E5" s="245" t="s">
        <v>7</v>
      </c>
      <c r="F5" s="245" t="s">
        <v>93</v>
      </c>
      <c r="G5" s="246" t="s">
        <v>0</v>
      </c>
      <c r="H5" s="245" t="s">
        <v>4</v>
      </c>
      <c r="I5" s="245" t="s">
        <v>5</v>
      </c>
      <c r="J5" s="195" t="s">
        <v>6</v>
      </c>
      <c r="K5" s="245" t="s">
        <v>7</v>
      </c>
      <c r="L5" s="245" t="s">
        <v>93</v>
      </c>
      <c r="M5" s="458"/>
      <c r="N5" s="245" t="s">
        <v>0</v>
      </c>
      <c r="O5" s="244" t="s">
        <v>4</v>
      </c>
      <c r="P5" s="245" t="s">
        <v>5</v>
      </c>
      <c r="Q5" s="195" t="s">
        <v>6</v>
      </c>
      <c r="R5" s="245" t="s">
        <v>7</v>
      </c>
      <c r="S5" s="245" t="s">
        <v>93</v>
      </c>
      <c r="T5" s="458"/>
      <c r="U5" s="245" t="s">
        <v>0</v>
      </c>
    </row>
    <row r="6" spans="1:36" ht="12.95" customHeight="1">
      <c r="A6" s="177" t="s">
        <v>161</v>
      </c>
      <c r="B6" s="253">
        <v>1589</v>
      </c>
      <c r="C6" s="248">
        <v>6422</v>
      </c>
      <c r="D6" s="249">
        <v>206565</v>
      </c>
      <c r="E6" s="249">
        <v>2603081</v>
      </c>
      <c r="F6" s="249">
        <v>269</v>
      </c>
      <c r="G6" s="255">
        <v>2817926</v>
      </c>
      <c r="H6" s="178">
        <v>417.8761824965423</v>
      </c>
      <c r="I6" s="178">
        <v>113.89226187318174</v>
      </c>
      <c r="J6" s="179">
        <v>194.25971169325581</v>
      </c>
      <c r="K6" s="179">
        <v>376.53221797080107</v>
      </c>
      <c r="L6" s="179">
        <v>8.1911284262710922</v>
      </c>
      <c r="M6" s="179">
        <v>23.511330737856248</v>
      </c>
      <c r="N6" s="179">
        <v>1134.2628331979081</v>
      </c>
      <c r="O6" s="184">
        <v>4464.9772652500005</v>
      </c>
      <c r="P6" s="178">
        <v>1216.8533480500002</v>
      </c>
      <c r="Q6" s="179">
        <v>2075.4122010419997</v>
      </c>
      <c r="R6" s="179">
        <v>4022.5961266499999</v>
      </c>
      <c r="S6" s="179">
        <v>87.494825248000012</v>
      </c>
      <c r="T6" s="179">
        <v>251.45584312599999</v>
      </c>
      <c r="U6" s="179">
        <v>12118.789609366</v>
      </c>
      <c r="V6" s="56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</row>
    <row r="7" spans="1:36" ht="12.95" customHeight="1">
      <c r="A7" s="177" t="s">
        <v>162</v>
      </c>
      <c r="B7" s="253">
        <v>1604</v>
      </c>
      <c r="C7" s="249">
        <v>6404</v>
      </c>
      <c r="D7" s="249">
        <v>206570</v>
      </c>
      <c r="E7" s="249">
        <v>2601500</v>
      </c>
      <c r="F7" s="249">
        <v>267</v>
      </c>
      <c r="G7" s="255">
        <v>2816345</v>
      </c>
      <c r="H7" s="178">
        <v>333.16496980097912</v>
      </c>
      <c r="I7" s="179">
        <v>88.552413955088454</v>
      </c>
      <c r="J7" s="179">
        <v>149.38257536260662</v>
      </c>
      <c r="K7" s="179">
        <v>289.3871280833709</v>
      </c>
      <c r="L7" s="179">
        <v>7.9088505263358826</v>
      </c>
      <c r="M7" s="179">
        <v>22.104462365356802</v>
      </c>
      <c r="N7" s="179">
        <v>890.50040009373788</v>
      </c>
      <c r="O7" s="184">
        <v>3563.7369240569997</v>
      </c>
      <c r="P7" s="179">
        <v>947.62199068999973</v>
      </c>
      <c r="Q7" s="179">
        <v>1598.3664674999998</v>
      </c>
      <c r="R7" s="179">
        <v>3095.9852085000002</v>
      </c>
      <c r="S7" s="179">
        <v>84.59846069000001</v>
      </c>
      <c r="T7" s="179">
        <v>236.65974078100004</v>
      </c>
      <c r="U7" s="179">
        <v>9526.9687922179983</v>
      </c>
      <c r="V7" s="58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</row>
    <row r="8" spans="1:36" ht="12.95" customHeight="1">
      <c r="A8" s="180" t="s">
        <v>163</v>
      </c>
      <c r="B8" s="254">
        <v>1590</v>
      </c>
      <c r="C8" s="252">
        <v>6333</v>
      </c>
      <c r="D8" s="252">
        <v>206703</v>
      </c>
      <c r="E8" s="252">
        <v>2598845</v>
      </c>
      <c r="F8" s="252">
        <v>266</v>
      </c>
      <c r="G8" s="256">
        <v>2813737</v>
      </c>
      <c r="H8" s="181">
        <v>379.5177550534919</v>
      </c>
      <c r="I8" s="182">
        <v>89.034741068460633</v>
      </c>
      <c r="J8" s="182">
        <v>148.29408307661922</v>
      </c>
      <c r="K8" s="182">
        <v>278.02440668042067</v>
      </c>
      <c r="L8" s="182">
        <v>8.4542786574713151</v>
      </c>
      <c r="M8" s="182">
        <v>19.294227898231501</v>
      </c>
      <c r="N8" s="182">
        <v>922.61949243469508</v>
      </c>
      <c r="O8" s="185">
        <v>4077.0794042900002</v>
      </c>
      <c r="P8" s="182">
        <v>956.47539709999967</v>
      </c>
      <c r="Q8" s="182">
        <v>1592.6357480540948</v>
      </c>
      <c r="R8" s="182">
        <v>2985.2951682687376</v>
      </c>
      <c r="S8" s="182">
        <v>90.752821179999984</v>
      </c>
      <c r="T8" s="182">
        <v>207.21545435699989</v>
      </c>
      <c r="U8" s="182">
        <v>9909.4539932498319</v>
      </c>
      <c r="V8" s="59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</row>
    <row r="9" spans="1:36" ht="12.95" customHeight="1">
      <c r="A9" s="177" t="s">
        <v>164</v>
      </c>
      <c r="B9" s="253">
        <v>1597</v>
      </c>
      <c r="C9" s="249">
        <v>6325</v>
      </c>
      <c r="D9" s="249">
        <v>206580</v>
      </c>
      <c r="E9" s="249">
        <v>2595254</v>
      </c>
      <c r="F9" s="249">
        <v>267</v>
      </c>
      <c r="G9" s="255">
        <v>2810023</v>
      </c>
      <c r="H9" s="178">
        <v>282.6245843377099</v>
      </c>
      <c r="I9" s="179">
        <v>65.722493463260207</v>
      </c>
      <c r="J9" s="179">
        <v>106.42392799712559</v>
      </c>
      <c r="K9" s="179">
        <v>202.24702490695273</v>
      </c>
      <c r="L9" s="179">
        <v>7.5344390691538381</v>
      </c>
      <c r="M9" s="179">
        <v>6.8096798347968086</v>
      </c>
      <c r="N9" s="179">
        <v>671.36214960899906</v>
      </c>
      <c r="O9" s="184">
        <v>3045.8723572199992</v>
      </c>
      <c r="P9" s="179">
        <v>709.00925124999992</v>
      </c>
      <c r="Q9" s="179">
        <v>1147.6814270952573</v>
      </c>
      <c r="R9" s="179">
        <v>2180.5954954686508</v>
      </c>
      <c r="S9" s="179">
        <v>81.220817919999988</v>
      </c>
      <c r="T9" s="179">
        <v>73.604566568999928</v>
      </c>
      <c r="U9" s="179">
        <v>7237.9839155229074</v>
      </c>
      <c r="V9" s="58"/>
      <c r="W9" s="57"/>
      <c r="X9" s="57"/>
      <c r="Y9" s="57"/>
    </row>
    <row r="10" spans="1:36" ht="12.95" customHeight="1">
      <c r="A10" s="177" t="s">
        <v>165</v>
      </c>
      <c r="B10" s="253">
        <v>1593</v>
      </c>
      <c r="C10" s="249">
        <v>6336</v>
      </c>
      <c r="D10" s="249">
        <v>206441</v>
      </c>
      <c r="E10" s="249">
        <v>2591925</v>
      </c>
      <c r="F10" s="249">
        <v>267</v>
      </c>
      <c r="G10" s="255">
        <v>2806562</v>
      </c>
      <c r="H10" s="178">
        <v>258.94452558089102</v>
      </c>
      <c r="I10" s="179">
        <v>31.625946046684192</v>
      </c>
      <c r="J10" s="179">
        <v>32.38876027348585</v>
      </c>
      <c r="K10" s="179">
        <v>53.285019932516519</v>
      </c>
      <c r="L10" s="179">
        <v>8.0277099220274248</v>
      </c>
      <c r="M10" s="179">
        <v>4.6242103988143199</v>
      </c>
      <c r="N10" s="179">
        <v>388.89617215441922</v>
      </c>
      <c r="O10" s="184">
        <v>2782.5941548759997</v>
      </c>
      <c r="P10" s="179">
        <v>339.93987856999991</v>
      </c>
      <c r="Q10" s="179">
        <v>348.16597261510276</v>
      </c>
      <c r="R10" s="179">
        <v>572.75985395987436</v>
      </c>
      <c r="S10" s="179">
        <v>86.268259439999994</v>
      </c>
      <c r="T10" s="179">
        <v>49.929173227999947</v>
      </c>
      <c r="U10" s="179">
        <v>4179.6572926889767</v>
      </c>
      <c r="V10" s="58"/>
      <c r="W10" s="57"/>
      <c r="X10" s="57"/>
      <c r="Y10" s="57"/>
    </row>
    <row r="11" spans="1:36" ht="12.95" customHeight="1">
      <c r="A11" s="180" t="s">
        <v>166</v>
      </c>
      <c r="B11" s="254">
        <v>1591</v>
      </c>
      <c r="C11" s="252">
        <v>6324</v>
      </c>
      <c r="D11" s="252">
        <v>205977</v>
      </c>
      <c r="E11" s="252">
        <v>2588055</v>
      </c>
      <c r="F11" s="252">
        <v>269</v>
      </c>
      <c r="G11" s="256">
        <v>2802216</v>
      </c>
      <c r="H11" s="181">
        <v>251.40916096732676</v>
      </c>
      <c r="I11" s="182">
        <v>24.137694260499966</v>
      </c>
      <c r="J11" s="182">
        <v>19.747869799824556</v>
      </c>
      <c r="K11" s="182">
        <v>31.423549326765514</v>
      </c>
      <c r="L11" s="182">
        <v>7.9767455237439293</v>
      </c>
      <c r="M11" s="182">
        <v>1.6594749988929134</v>
      </c>
      <c r="N11" s="182">
        <v>336.35449487705364</v>
      </c>
      <c r="O11" s="185">
        <v>2727.8744485210004</v>
      </c>
      <c r="P11" s="182">
        <v>261.7555653500001</v>
      </c>
      <c r="Q11" s="182">
        <v>214.22030429838711</v>
      </c>
      <c r="R11" s="182">
        <v>340.87825455462865</v>
      </c>
      <c r="S11" s="182">
        <v>86.487387070000011</v>
      </c>
      <c r="T11" s="182">
        <v>18.30745918299996</v>
      </c>
      <c r="U11" s="182">
        <v>3649.5234189770167</v>
      </c>
      <c r="V11" s="58"/>
      <c r="W11" s="57"/>
      <c r="X11" s="57"/>
      <c r="Y11" s="57"/>
    </row>
    <row r="12" spans="1:36" ht="12.95" customHeight="1">
      <c r="A12" s="177" t="s">
        <v>167</v>
      </c>
      <c r="B12" s="253">
        <v>1581</v>
      </c>
      <c r="C12" s="249">
        <v>6324</v>
      </c>
      <c r="D12" s="249">
        <v>205424</v>
      </c>
      <c r="E12" s="249">
        <v>2585051</v>
      </c>
      <c r="F12" s="249">
        <v>268</v>
      </c>
      <c r="G12" s="255">
        <v>2798648</v>
      </c>
      <c r="H12" s="178">
        <v>212.19557257776958</v>
      </c>
      <c r="I12" s="179">
        <v>21.886337260689473</v>
      </c>
      <c r="J12" s="179">
        <v>18.029142669322621</v>
      </c>
      <c r="K12" s="179">
        <v>28.601476632582163</v>
      </c>
      <c r="L12" s="179">
        <v>7.1853922112521529</v>
      </c>
      <c r="M12" s="179">
        <v>0.6712888559164355</v>
      </c>
      <c r="N12" s="179">
        <v>288.56921020753231</v>
      </c>
      <c r="O12" s="184">
        <v>2307.8901587209998</v>
      </c>
      <c r="P12" s="179">
        <v>238.05937745000006</v>
      </c>
      <c r="Q12" s="179">
        <v>196.12152131776091</v>
      </c>
      <c r="R12" s="179">
        <v>311.17994267823474</v>
      </c>
      <c r="S12" s="179">
        <v>78.134612270000019</v>
      </c>
      <c r="T12" s="179">
        <v>7.5800914519999409</v>
      </c>
      <c r="U12" s="179">
        <v>3138.965703888995</v>
      </c>
      <c r="V12" s="58"/>
      <c r="W12" s="57"/>
      <c r="X12" s="57"/>
      <c r="Y12" s="57"/>
    </row>
    <row r="13" spans="1:36" ht="12.95" customHeight="1">
      <c r="A13" s="177" t="s">
        <v>168</v>
      </c>
      <c r="B13" s="253">
        <v>1580</v>
      </c>
      <c r="C13" s="249">
        <v>6340</v>
      </c>
      <c r="D13" s="249">
        <v>205193</v>
      </c>
      <c r="E13" s="249">
        <v>2581381</v>
      </c>
      <c r="F13" s="249">
        <v>269</v>
      </c>
      <c r="G13" s="255">
        <v>2794763</v>
      </c>
      <c r="H13" s="178">
        <v>234.27638728867652</v>
      </c>
      <c r="I13" s="179">
        <v>23.830479745173498</v>
      </c>
      <c r="J13" s="179">
        <v>17.648244034524843</v>
      </c>
      <c r="K13" s="179">
        <v>27.449349972155332</v>
      </c>
      <c r="L13" s="179">
        <v>7.1834483326315635</v>
      </c>
      <c r="M13" s="179">
        <v>0.71680472523997041</v>
      </c>
      <c r="N13" s="179">
        <v>311.10471409840176</v>
      </c>
      <c r="O13" s="184">
        <v>2543.3167270309996</v>
      </c>
      <c r="P13" s="179">
        <v>258.75943551999995</v>
      </c>
      <c r="Q13" s="179">
        <v>191.62938941472714</v>
      </c>
      <c r="R13" s="179">
        <v>298.06734010225767</v>
      </c>
      <c r="S13" s="179">
        <v>77.970101449999987</v>
      </c>
      <c r="T13" s="179">
        <v>7.8794028009999453</v>
      </c>
      <c r="U13" s="179">
        <v>3377.6223963189841</v>
      </c>
      <c r="V13" s="58"/>
      <c r="W13" s="57"/>
      <c r="X13" s="57"/>
      <c r="Y13" s="57"/>
    </row>
    <row r="14" spans="1:36" ht="12.95" customHeight="1">
      <c r="A14" s="180" t="s">
        <v>169</v>
      </c>
      <c r="B14" s="254">
        <v>1578</v>
      </c>
      <c r="C14" s="252">
        <v>6340</v>
      </c>
      <c r="D14" s="252">
        <v>204578</v>
      </c>
      <c r="E14" s="252">
        <v>2578129</v>
      </c>
      <c r="F14" s="252">
        <v>271</v>
      </c>
      <c r="G14" s="256">
        <v>2790896</v>
      </c>
      <c r="H14" s="181">
        <v>242.46662009726981</v>
      </c>
      <c r="I14" s="182">
        <v>32.997978248616526</v>
      </c>
      <c r="J14" s="182">
        <v>37.53341935625658</v>
      </c>
      <c r="K14" s="182">
        <v>61.003104364331691</v>
      </c>
      <c r="L14" s="182">
        <v>6.6186550827523094</v>
      </c>
      <c r="M14" s="182">
        <v>2.7381834933099349</v>
      </c>
      <c r="N14" s="182">
        <v>383.35796064253685</v>
      </c>
      <c r="O14" s="185">
        <v>2653.4583193360004</v>
      </c>
      <c r="P14" s="182">
        <v>361.13443099999995</v>
      </c>
      <c r="Q14" s="182">
        <v>410.75268184842724</v>
      </c>
      <c r="R14" s="182">
        <v>667.54882757754137</v>
      </c>
      <c r="S14" s="182">
        <v>72.38430846</v>
      </c>
      <c r="T14" s="182">
        <v>30.01110493600001</v>
      </c>
      <c r="U14" s="182">
        <v>4195.2896731579685</v>
      </c>
      <c r="V14" s="58"/>
      <c r="W14" s="57"/>
      <c r="X14" s="57"/>
      <c r="Y14" s="57"/>
    </row>
    <row r="15" spans="1:36" ht="12.95" customHeight="1">
      <c r="A15" s="177" t="s">
        <v>170</v>
      </c>
      <c r="B15" s="253"/>
      <c r="C15" s="249"/>
      <c r="D15" s="249"/>
      <c r="E15" s="249"/>
      <c r="F15" s="249"/>
      <c r="G15" s="255"/>
      <c r="H15" s="178"/>
      <c r="I15" s="179"/>
      <c r="J15" s="179"/>
      <c r="K15" s="179"/>
      <c r="L15" s="179"/>
      <c r="M15" s="179"/>
      <c r="N15" s="179"/>
      <c r="O15" s="184"/>
      <c r="P15" s="179"/>
      <c r="Q15" s="179"/>
      <c r="R15" s="179"/>
      <c r="S15" s="179"/>
      <c r="T15" s="179"/>
      <c r="U15" s="179"/>
      <c r="V15" s="58"/>
      <c r="W15" s="57"/>
      <c r="X15" s="57"/>
      <c r="Y15" s="57"/>
    </row>
    <row r="16" spans="1:36" ht="12.95" customHeight="1">
      <c r="A16" s="177" t="s">
        <v>171</v>
      </c>
      <c r="B16" s="253"/>
      <c r="C16" s="249"/>
      <c r="D16" s="249"/>
      <c r="E16" s="249"/>
      <c r="F16" s="249"/>
      <c r="G16" s="255"/>
      <c r="H16" s="178"/>
      <c r="I16" s="179"/>
      <c r="J16" s="179"/>
      <c r="K16" s="179"/>
      <c r="L16" s="179"/>
      <c r="M16" s="179"/>
      <c r="N16" s="179"/>
      <c r="O16" s="184"/>
      <c r="P16" s="179"/>
      <c r="Q16" s="179"/>
      <c r="R16" s="179"/>
      <c r="S16" s="179"/>
      <c r="T16" s="179"/>
      <c r="U16" s="179"/>
      <c r="V16" s="58"/>
      <c r="W16" s="57"/>
      <c r="X16" s="57"/>
      <c r="Y16" s="57"/>
    </row>
    <row r="17" spans="1:25" ht="12.95" customHeight="1">
      <c r="A17" s="180" t="s">
        <v>172</v>
      </c>
      <c r="B17" s="254"/>
      <c r="C17" s="252"/>
      <c r="D17" s="252"/>
      <c r="E17" s="252"/>
      <c r="F17" s="252"/>
      <c r="G17" s="256"/>
      <c r="H17" s="181"/>
      <c r="I17" s="182"/>
      <c r="J17" s="182"/>
      <c r="K17" s="182"/>
      <c r="L17" s="182"/>
      <c r="M17" s="182"/>
      <c r="N17" s="182"/>
      <c r="O17" s="185"/>
      <c r="P17" s="182"/>
      <c r="Q17" s="182"/>
      <c r="R17" s="182"/>
      <c r="S17" s="182"/>
      <c r="T17" s="182"/>
      <c r="U17" s="182"/>
      <c r="V17" s="58"/>
      <c r="W17" s="57"/>
      <c r="X17" s="57"/>
      <c r="Y17" s="57"/>
    </row>
    <row r="18" spans="1:25" ht="12.95" customHeight="1">
      <c r="A18" s="177" t="s">
        <v>48</v>
      </c>
      <c r="B18" s="253">
        <f>B8</f>
        <v>1590</v>
      </c>
      <c r="C18" s="248">
        <f t="shared" ref="C18:E18" si="0">C8</f>
        <v>6333</v>
      </c>
      <c r="D18" s="248">
        <f t="shared" si="0"/>
        <v>206703</v>
      </c>
      <c r="E18" s="248">
        <f t="shared" si="0"/>
        <v>2598845</v>
      </c>
      <c r="F18" s="248">
        <f t="shared" ref="F18" si="1">F8</f>
        <v>266</v>
      </c>
      <c r="G18" s="257">
        <f>G8</f>
        <v>2813737</v>
      </c>
      <c r="H18" s="178">
        <f>SUM(H6:H8)</f>
        <v>1130.5589073510132</v>
      </c>
      <c r="I18" s="178">
        <f>SUM(I6:I8)</f>
        <v>291.47941689673081</v>
      </c>
      <c r="J18" s="178">
        <f t="shared" ref="J18:K18" si="2">SUM(J6:J8)</f>
        <v>491.93637013248167</v>
      </c>
      <c r="K18" s="178">
        <f t="shared" si="2"/>
        <v>943.94375273459264</v>
      </c>
      <c r="L18" s="178">
        <f t="shared" ref="L18" si="3">SUM(L6:L8)</f>
        <v>24.554257610078288</v>
      </c>
      <c r="M18" s="178">
        <f t="shared" ref="M18" si="4">SUM(M6:M8)</f>
        <v>64.910021001444548</v>
      </c>
      <c r="N18" s="178">
        <f>SUM(N6:N8)</f>
        <v>2947.3827257263411</v>
      </c>
      <c r="O18" s="184">
        <f>SUM(O6:O8)</f>
        <v>12105.793593597</v>
      </c>
      <c r="P18" s="178">
        <f>SUM(P6:P8)</f>
        <v>3120.9507358399997</v>
      </c>
      <c r="Q18" s="178">
        <f t="shared" ref="Q18:U18" si="5">SUM(Q6:Q8)</f>
        <v>5266.4144165960943</v>
      </c>
      <c r="R18" s="178">
        <f t="shared" si="5"/>
        <v>10103.876503418738</v>
      </c>
      <c r="S18" s="178">
        <f t="shared" ref="S18" si="6">SUM(S6:S8)</f>
        <v>262.84610711799996</v>
      </c>
      <c r="T18" s="178">
        <f t="shared" ref="T18" si="7">SUM(T6:T8)</f>
        <v>695.33103826399997</v>
      </c>
      <c r="U18" s="178">
        <f t="shared" si="5"/>
        <v>31555.212394833827</v>
      </c>
    </row>
    <row r="19" spans="1:25" ht="12.95" customHeight="1">
      <c r="A19" s="177" t="s">
        <v>56</v>
      </c>
      <c r="B19" s="253">
        <f>B11</f>
        <v>1591</v>
      </c>
      <c r="C19" s="248">
        <f t="shared" ref="C19:G19" si="8">C11</f>
        <v>6324</v>
      </c>
      <c r="D19" s="248">
        <f t="shared" si="8"/>
        <v>205977</v>
      </c>
      <c r="E19" s="248">
        <f t="shared" si="8"/>
        <v>2588055</v>
      </c>
      <c r="F19" s="248">
        <f t="shared" ref="F19" si="9">F11</f>
        <v>269</v>
      </c>
      <c r="G19" s="257">
        <f t="shared" si="8"/>
        <v>2802216</v>
      </c>
      <c r="H19" s="178">
        <f>SUM(H9:H11)</f>
        <v>792.97827088592771</v>
      </c>
      <c r="I19" s="178">
        <f>SUM(I9:I11)</f>
        <v>121.48613377044437</v>
      </c>
      <c r="J19" s="178">
        <f t="shared" ref="J19:N19" si="10">SUM(J9:J11)</f>
        <v>158.560558070436</v>
      </c>
      <c r="K19" s="178">
        <f t="shared" si="10"/>
        <v>286.95559416623479</v>
      </c>
      <c r="L19" s="178">
        <f t="shared" ref="L19" si="11">SUM(L9:L11)</f>
        <v>23.538894514925193</v>
      </c>
      <c r="M19" s="178">
        <f t="shared" ref="M19" si="12">SUM(M9:M11)</f>
        <v>13.093365232504041</v>
      </c>
      <c r="N19" s="178">
        <f t="shared" si="10"/>
        <v>1396.6128166404719</v>
      </c>
      <c r="O19" s="184">
        <f>SUM(O9:O11)</f>
        <v>8556.3409606169989</v>
      </c>
      <c r="P19" s="178">
        <f>SUM(P9:P11)</f>
        <v>1310.7046951699999</v>
      </c>
      <c r="Q19" s="178">
        <f t="shared" ref="Q19:U19" si="13">SUM(Q9:Q11)</f>
        <v>1710.0677040087473</v>
      </c>
      <c r="R19" s="178">
        <f t="shared" si="13"/>
        <v>3094.2336039831539</v>
      </c>
      <c r="S19" s="178">
        <f t="shared" ref="S19" si="14">SUM(S9:S11)</f>
        <v>253.97646442999999</v>
      </c>
      <c r="T19" s="178">
        <f t="shared" ref="T19" si="15">SUM(T9:T11)</f>
        <v>141.84119897999983</v>
      </c>
      <c r="U19" s="178">
        <f t="shared" si="13"/>
        <v>15067.1646271889</v>
      </c>
    </row>
    <row r="20" spans="1:25" ht="12.95" customHeight="1">
      <c r="A20" s="177" t="s">
        <v>63</v>
      </c>
      <c r="B20" s="253">
        <f>B14</f>
        <v>1578</v>
      </c>
      <c r="C20" s="248">
        <f t="shared" ref="C20:G20" si="16">C14</f>
        <v>6340</v>
      </c>
      <c r="D20" s="248">
        <f t="shared" si="16"/>
        <v>204578</v>
      </c>
      <c r="E20" s="248">
        <f t="shared" si="16"/>
        <v>2578129</v>
      </c>
      <c r="F20" s="248">
        <f t="shared" ref="F20" si="17">F14</f>
        <v>271</v>
      </c>
      <c r="G20" s="257">
        <f t="shared" si="16"/>
        <v>2790896</v>
      </c>
      <c r="H20" s="178">
        <f>SUM(H12:H14)</f>
        <v>688.93857996371594</v>
      </c>
      <c r="I20" s="178">
        <f>SUM(I12:I14)</f>
        <v>78.714795254479498</v>
      </c>
      <c r="J20" s="178">
        <f t="shared" ref="J20:N20" si="18">SUM(J12:J14)</f>
        <v>73.210806060104034</v>
      </c>
      <c r="K20" s="178">
        <f t="shared" si="18"/>
        <v>117.05393096906919</v>
      </c>
      <c r="L20" s="178">
        <f t="shared" ref="L20" si="19">SUM(L12:L14)</f>
        <v>20.987495626636026</v>
      </c>
      <c r="M20" s="178">
        <f t="shared" ref="M20" si="20">SUM(M12:M14)</f>
        <v>4.1262770744663406</v>
      </c>
      <c r="N20" s="178">
        <f t="shared" si="18"/>
        <v>983.03188494847086</v>
      </c>
      <c r="O20" s="184">
        <f>SUM(O12:O14)</f>
        <v>7504.6652050879993</v>
      </c>
      <c r="P20" s="178">
        <f>SUM(P12:P14)</f>
        <v>857.9532439699999</v>
      </c>
      <c r="Q20" s="178">
        <f t="shared" ref="Q20:U20" si="21">SUM(Q12:Q14)</f>
        <v>798.50359258091521</v>
      </c>
      <c r="R20" s="178">
        <f t="shared" si="21"/>
        <v>1276.7961103580337</v>
      </c>
      <c r="S20" s="178">
        <f t="shared" ref="S20" si="22">SUM(S12:S14)</f>
        <v>228.48902218000001</v>
      </c>
      <c r="T20" s="178">
        <f t="shared" ref="T20" si="23">SUM(T12:T14)</f>
        <v>45.470599188999898</v>
      </c>
      <c r="U20" s="178">
        <f t="shared" si="21"/>
        <v>10711.877773365948</v>
      </c>
    </row>
    <row r="21" spans="1:25" ht="12.95" customHeight="1">
      <c r="A21" s="180" t="s">
        <v>57</v>
      </c>
      <c r="B21" s="353">
        <f>B17</f>
        <v>0</v>
      </c>
      <c r="C21" s="354">
        <f t="shared" ref="C21:E21" si="24">C17</f>
        <v>0</v>
      </c>
      <c r="D21" s="354">
        <f t="shared" si="24"/>
        <v>0</v>
      </c>
      <c r="E21" s="354">
        <f t="shared" si="24"/>
        <v>0</v>
      </c>
      <c r="F21" s="354">
        <f t="shared" ref="F21" si="25">F17</f>
        <v>0</v>
      </c>
      <c r="G21" s="355">
        <f>G17</f>
        <v>0</v>
      </c>
      <c r="H21" s="390">
        <f>SUM(H15:H17)</f>
        <v>0</v>
      </c>
      <c r="I21" s="390">
        <f>SUM(I15:I17)</f>
        <v>0</v>
      </c>
      <c r="J21" s="390">
        <f t="shared" ref="J21:N21" si="26">SUM(J15:J17)</f>
        <v>0</v>
      </c>
      <c r="K21" s="390">
        <f t="shared" si="26"/>
        <v>0</v>
      </c>
      <c r="L21" s="390">
        <f t="shared" ref="L21" si="27">SUM(L15:L17)</f>
        <v>0</v>
      </c>
      <c r="M21" s="390">
        <f t="shared" ref="M21" si="28">SUM(M15:M17)</f>
        <v>0</v>
      </c>
      <c r="N21" s="390">
        <f t="shared" si="26"/>
        <v>0</v>
      </c>
      <c r="O21" s="391">
        <f>SUM(O15:O17)</f>
        <v>0</v>
      </c>
      <c r="P21" s="390">
        <f>SUM(P15:P17)</f>
        <v>0</v>
      </c>
      <c r="Q21" s="390">
        <f t="shared" ref="Q21:U21" si="29">SUM(Q15:Q17)</f>
        <v>0</v>
      </c>
      <c r="R21" s="390">
        <f t="shared" si="29"/>
        <v>0</v>
      </c>
      <c r="S21" s="390">
        <f t="shared" ref="S21" si="30">SUM(S15:S17)</f>
        <v>0</v>
      </c>
      <c r="T21" s="390">
        <f t="shared" ref="T21" si="31">SUM(T15:T17)</f>
        <v>0</v>
      </c>
      <c r="U21" s="390">
        <f t="shared" si="29"/>
        <v>0</v>
      </c>
    </row>
    <row r="22" spans="1:25" ht="12.95" customHeight="1">
      <c r="A22" s="177" t="s">
        <v>58</v>
      </c>
      <c r="B22" s="253">
        <f>B11</f>
        <v>1591</v>
      </c>
      <c r="C22" s="248">
        <f t="shared" ref="C22:G22" si="32">C11</f>
        <v>6324</v>
      </c>
      <c r="D22" s="248">
        <f t="shared" si="32"/>
        <v>205977</v>
      </c>
      <c r="E22" s="248">
        <f t="shared" si="32"/>
        <v>2588055</v>
      </c>
      <c r="F22" s="248">
        <f t="shared" ref="F22" si="33">F11</f>
        <v>269</v>
      </c>
      <c r="G22" s="257">
        <f t="shared" si="32"/>
        <v>2802216</v>
      </c>
      <c r="H22" s="178">
        <f>SUM(H6:H11)</f>
        <v>1923.5371782369407</v>
      </c>
      <c r="I22" s="178">
        <f>SUM(I6:I11)</f>
        <v>412.96555066717519</v>
      </c>
      <c r="J22" s="178">
        <f t="shared" ref="J22:N22" si="34">SUM(J6:J11)</f>
        <v>650.49692820291773</v>
      </c>
      <c r="K22" s="178">
        <f t="shared" si="34"/>
        <v>1230.8993469008274</v>
      </c>
      <c r="L22" s="178">
        <f t="shared" ref="L22" si="35">SUM(L6:L11)</f>
        <v>48.093152125003485</v>
      </c>
      <c r="M22" s="178">
        <f t="shared" ref="M22" si="36">SUM(M6:M11)</f>
        <v>78.003386233948603</v>
      </c>
      <c r="N22" s="178">
        <f t="shared" si="34"/>
        <v>4343.9955423668125</v>
      </c>
      <c r="O22" s="184">
        <f>SUM(O6:O11)</f>
        <v>20662.134554214001</v>
      </c>
      <c r="P22" s="178">
        <f>SUM(P6:P11)</f>
        <v>4431.65543101</v>
      </c>
      <c r="Q22" s="178">
        <f t="shared" ref="Q22:U22" si="37">SUM(Q6:Q11)</f>
        <v>6976.4821206048418</v>
      </c>
      <c r="R22" s="178">
        <f t="shared" si="37"/>
        <v>13198.110107401893</v>
      </c>
      <c r="S22" s="178">
        <f t="shared" ref="S22" si="38">SUM(S6:S11)</f>
        <v>516.82257154800004</v>
      </c>
      <c r="T22" s="178">
        <f t="shared" ref="T22" si="39">SUM(T6:T11)</f>
        <v>837.1722372439998</v>
      </c>
      <c r="U22" s="178">
        <f t="shared" si="37"/>
        <v>46622.377022022731</v>
      </c>
    </row>
    <row r="23" spans="1:25" ht="12.95" customHeight="1">
      <c r="A23" s="180" t="s">
        <v>59</v>
      </c>
      <c r="B23" s="353">
        <f>B17</f>
        <v>0</v>
      </c>
      <c r="C23" s="354">
        <f t="shared" ref="C23:G23" si="40">C17</f>
        <v>0</v>
      </c>
      <c r="D23" s="354">
        <f t="shared" si="40"/>
        <v>0</v>
      </c>
      <c r="E23" s="354">
        <f t="shared" si="40"/>
        <v>0</v>
      </c>
      <c r="F23" s="354">
        <f t="shared" ref="F23" si="41">F17</f>
        <v>0</v>
      </c>
      <c r="G23" s="355">
        <f t="shared" si="40"/>
        <v>0</v>
      </c>
      <c r="H23" s="390">
        <f>SUM(H12:H17)</f>
        <v>688.93857996371594</v>
      </c>
      <c r="I23" s="390">
        <f>SUM(I12:I17)</f>
        <v>78.714795254479498</v>
      </c>
      <c r="J23" s="390">
        <f t="shared" ref="J23:N23" si="42">SUM(J12:J17)</f>
        <v>73.210806060104034</v>
      </c>
      <c r="K23" s="390">
        <f t="shared" si="42"/>
        <v>117.05393096906919</v>
      </c>
      <c r="L23" s="390">
        <f t="shared" ref="L23" si="43">SUM(L12:L17)</f>
        <v>20.987495626636026</v>
      </c>
      <c r="M23" s="390">
        <f t="shared" ref="M23" si="44">SUM(M12:M17)</f>
        <v>4.1262770744663406</v>
      </c>
      <c r="N23" s="390">
        <f t="shared" si="42"/>
        <v>983.03188494847086</v>
      </c>
      <c r="O23" s="391">
        <f>SUM(O12:O17)</f>
        <v>7504.6652050879993</v>
      </c>
      <c r="P23" s="390">
        <f>SUM(P12:P17)</f>
        <v>857.9532439699999</v>
      </c>
      <c r="Q23" s="390">
        <f t="shared" ref="Q23:U23" si="45">SUM(Q12:Q17)</f>
        <v>798.50359258091521</v>
      </c>
      <c r="R23" s="390">
        <f t="shared" si="45"/>
        <v>1276.7961103580337</v>
      </c>
      <c r="S23" s="390">
        <f t="shared" ref="S23" si="46">SUM(S12:S17)</f>
        <v>228.48902218000001</v>
      </c>
      <c r="T23" s="390">
        <f t="shared" ref="T23" si="47">SUM(T12:T17)</f>
        <v>45.470599188999898</v>
      </c>
      <c r="U23" s="390">
        <f t="shared" si="45"/>
        <v>10711.877773365948</v>
      </c>
    </row>
    <row r="24" spans="1:25" ht="12.95" customHeight="1">
      <c r="A24" s="180" t="s">
        <v>173</v>
      </c>
      <c r="B24" s="353">
        <f>B17</f>
        <v>0</v>
      </c>
      <c r="C24" s="354">
        <f t="shared" ref="C24:G24" si="48">C17</f>
        <v>0</v>
      </c>
      <c r="D24" s="354">
        <f t="shared" si="48"/>
        <v>0</v>
      </c>
      <c r="E24" s="354">
        <f t="shared" si="48"/>
        <v>0</v>
      </c>
      <c r="F24" s="354">
        <f t="shared" ref="F24" si="49">F17</f>
        <v>0</v>
      </c>
      <c r="G24" s="355">
        <f t="shared" si="48"/>
        <v>0</v>
      </c>
      <c r="H24" s="390">
        <f>SUM(H6:H17)</f>
        <v>2612.4757582006569</v>
      </c>
      <c r="I24" s="390">
        <f>SUM(I6:I17)</f>
        <v>491.68034592165463</v>
      </c>
      <c r="J24" s="390">
        <f t="shared" ref="J24:N24" si="50">SUM(J6:J17)</f>
        <v>723.70773426302173</v>
      </c>
      <c r="K24" s="390">
        <f t="shared" si="50"/>
        <v>1347.9532778698965</v>
      </c>
      <c r="L24" s="390">
        <f t="shared" ref="L24" si="51">SUM(L6:L17)</f>
        <v>69.080647751639503</v>
      </c>
      <c r="M24" s="390">
        <f t="shared" ref="M24" si="52">SUM(M6:M17)</f>
        <v>82.129663308414933</v>
      </c>
      <c r="N24" s="390">
        <f t="shared" si="50"/>
        <v>5327.0274273152836</v>
      </c>
      <c r="O24" s="391">
        <f>SUM(O6:O17)</f>
        <v>28166.799759302001</v>
      </c>
      <c r="P24" s="390">
        <f>SUM(P6:P17)</f>
        <v>5289.6086749799997</v>
      </c>
      <c r="Q24" s="390">
        <f t="shared" ref="Q24:U24" si="53">SUM(Q6:Q17)</f>
        <v>7774.985713185758</v>
      </c>
      <c r="R24" s="390">
        <f t="shared" si="53"/>
        <v>14474.906217759926</v>
      </c>
      <c r="S24" s="390">
        <f t="shared" ref="S24" si="54">SUM(S6:S17)</f>
        <v>745.31159372800016</v>
      </c>
      <c r="T24" s="390">
        <f t="shared" ref="T24" si="55">SUM(T6:T17)</f>
        <v>882.64283643299973</v>
      </c>
      <c r="U24" s="390">
        <f t="shared" si="53"/>
        <v>57334.254795388675</v>
      </c>
    </row>
    <row r="25" spans="1:25" ht="15" customHeight="1"/>
    <row r="26" spans="1:25" ht="26.1" customHeight="1">
      <c r="A26" s="438" t="s">
        <v>318</v>
      </c>
      <c r="B26" s="438"/>
      <c r="C26" s="438"/>
      <c r="D26" s="438"/>
      <c r="E26" s="438"/>
      <c r="F26" s="438"/>
      <c r="G26" s="438"/>
      <c r="H26" s="438"/>
      <c r="I26" s="438" t="s">
        <v>257</v>
      </c>
      <c r="J26" s="438"/>
      <c r="K26" s="438"/>
      <c r="L26" s="438"/>
      <c r="M26" s="438"/>
      <c r="N26" s="119"/>
      <c r="O26" s="119"/>
      <c r="P26" s="438" t="s">
        <v>258</v>
      </c>
      <c r="Q26" s="450"/>
      <c r="R26" s="450"/>
      <c r="S26" s="450"/>
      <c r="T26" s="450"/>
    </row>
    <row r="27" spans="1:25" ht="12" customHeight="1">
      <c r="A27" s="67"/>
      <c r="B27" s="70" t="str">
        <f>B5</f>
        <v>VO</v>
      </c>
      <c r="C27" s="70" t="str">
        <f t="shared" ref="C27:E27" si="56">C5</f>
        <v>SO</v>
      </c>
      <c r="D27" s="70" t="str">
        <f t="shared" si="56"/>
        <v>MO</v>
      </c>
      <c r="E27" s="70" t="str">
        <f t="shared" si="56"/>
        <v>DOM</v>
      </c>
      <c r="F27" s="70" t="str">
        <f>F5</f>
        <v>CNG</v>
      </c>
      <c r="G27" s="399"/>
      <c r="H27" s="72"/>
      <c r="I27" s="70" t="str">
        <f>H5</f>
        <v>VO</v>
      </c>
      <c r="J27" s="70" t="str">
        <f t="shared" ref="J27" si="57">I5</f>
        <v>SO</v>
      </c>
      <c r="K27" s="70" t="str">
        <f>J5</f>
        <v>MO</v>
      </c>
      <c r="L27" s="70" t="str">
        <f t="shared" ref="L27:M27" si="58">K5</f>
        <v>DOM</v>
      </c>
      <c r="M27" s="70" t="str">
        <f t="shared" si="58"/>
        <v>CNG</v>
      </c>
      <c r="N27" s="71"/>
      <c r="O27" s="73"/>
      <c r="P27" s="70" t="str">
        <f>O5</f>
        <v>VO</v>
      </c>
      <c r="Q27" s="70" t="str">
        <f t="shared" ref="Q27:T27" si="59">P5</f>
        <v>SO</v>
      </c>
      <c r="R27" s="70" t="str">
        <f t="shared" si="59"/>
        <v>MO</v>
      </c>
      <c r="S27" s="70" t="str">
        <f t="shared" si="59"/>
        <v>DOM</v>
      </c>
      <c r="T27" s="70" t="str">
        <f t="shared" si="59"/>
        <v>CNG</v>
      </c>
      <c r="U27" s="60"/>
    </row>
    <row r="28" spans="1:25" ht="12" customHeight="1">
      <c r="B28" s="74">
        <f>B19</f>
        <v>1591</v>
      </c>
      <c r="C28" s="74">
        <f>C19</f>
        <v>6324</v>
      </c>
      <c r="D28" s="74">
        <f>D19</f>
        <v>205977</v>
      </c>
      <c r="E28" s="74">
        <f>E19</f>
        <v>2588055</v>
      </c>
      <c r="F28" s="74">
        <f>F19</f>
        <v>269</v>
      </c>
      <c r="G28" s="400"/>
      <c r="H28" s="73" t="str">
        <f>A18</f>
        <v>I. čtvrtletí</v>
      </c>
      <c r="I28" s="75">
        <f>H18</f>
        <v>1130.5589073510132</v>
      </c>
      <c r="J28" s="75">
        <f t="shared" ref="J28:M28" si="60">I18</f>
        <v>291.47941689673081</v>
      </c>
      <c r="K28" s="75">
        <f t="shared" si="60"/>
        <v>491.93637013248167</v>
      </c>
      <c r="L28" s="75">
        <f t="shared" si="60"/>
        <v>943.94375273459264</v>
      </c>
      <c r="M28" s="75">
        <f t="shared" si="60"/>
        <v>24.554257610078288</v>
      </c>
      <c r="N28" s="61"/>
      <c r="O28" s="72" t="str">
        <f>A18</f>
        <v>I. čtvrtletí</v>
      </c>
      <c r="P28" s="74">
        <f>O18</f>
        <v>12105.793593597</v>
      </c>
      <c r="Q28" s="74">
        <f t="shared" ref="Q28:T28" si="61">P18</f>
        <v>3120.9507358399997</v>
      </c>
      <c r="R28" s="74">
        <f t="shared" si="61"/>
        <v>5266.4144165960943</v>
      </c>
      <c r="S28" s="74">
        <f t="shared" si="61"/>
        <v>10103.876503418738</v>
      </c>
      <c r="T28" s="74">
        <f t="shared" si="61"/>
        <v>262.84610711799996</v>
      </c>
      <c r="U28" s="63"/>
    </row>
    <row r="29" spans="1:25" ht="12" customHeight="1">
      <c r="B29" s="61"/>
      <c r="C29" s="61"/>
      <c r="D29" s="61"/>
      <c r="E29" s="62"/>
      <c r="F29" s="62"/>
      <c r="G29" s="62"/>
      <c r="H29" s="73" t="str">
        <f t="shared" ref="H29:H31" si="62">A19</f>
        <v>II. čtvrtletí</v>
      </c>
      <c r="I29" s="75">
        <f t="shared" ref="I29:M29" si="63">H19</f>
        <v>792.97827088592771</v>
      </c>
      <c r="J29" s="75">
        <f t="shared" si="63"/>
        <v>121.48613377044437</v>
      </c>
      <c r="K29" s="75">
        <f t="shared" si="63"/>
        <v>158.560558070436</v>
      </c>
      <c r="L29" s="75">
        <f t="shared" si="63"/>
        <v>286.95559416623479</v>
      </c>
      <c r="M29" s="75">
        <f t="shared" si="63"/>
        <v>23.538894514925193</v>
      </c>
      <c r="N29" s="61"/>
      <c r="O29" s="72" t="str">
        <f t="shared" ref="O29:O31" si="64">A19</f>
        <v>II. čtvrtletí</v>
      </c>
      <c r="P29" s="74">
        <f t="shared" ref="P29:T29" si="65">O19</f>
        <v>8556.3409606169989</v>
      </c>
      <c r="Q29" s="74">
        <f t="shared" si="65"/>
        <v>1310.7046951699999</v>
      </c>
      <c r="R29" s="74">
        <f t="shared" si="65"/>
        <v>1710.0677040087473</v>
      </c>
      <c r="S29" s="74">
        <f t="shared" si="65"/>
        <v>3094.2336039831539</v>
      </c>
      <c r="T29" s="74">
        <f t="shared" si="65"/>
        <v>253.97646442999999</v>
      </c>
      <c r="U29" s="63"/>
    </row>
    <row r="30" spans="1:25" ht="12" customHeight="1">
      <c r="B30" s="61"/>
      <c r="C30" s="61"/>
      <c r="D30" s="61"/>
      <c r="E30" s="62"/>
      <c r="F30" s="62"/>
      <c r="G30" s="62"/>
      <c r="H30" s="73" t="str">
        <f t="shared" si="62"/>
        <v>III. čtvrtletí</v>
      </c>
      <c r="I30" s="75">
        <f t="shared" ref="I30:M30" si="66">H20</f>
        <v>688.93857996371594</v>
      </c>
      <c r="J30" s="75">
        <f t="shared" si="66"/>
        <v>78.714795254479498</v>
      </c>
      <c r="K30" s="75">
        <f t="shared" si="66"/>
        <v>73.210806060104034</v>
      </c>
      <c r="L30" s="75">
        <f t="shared" si="66"/>
        <v>117.05393096906919</v>
      </c>
      <c r="M30" s="75">
        <f t="shared" si="66"/>
        <v>20.987495626636026</v>
      </c>
      <c r="N30" s="61"/>
      <c r="O30" s="72" t="str">
        <f t="shared" si="64"/>
        <v>III. čtvrtletí</v>
      </c>
      <c r="P30" s="74">
        <f t="shared" ref="P30:T30" si="67">O20</f>
        <v>7504.6652050879993</v>
      </c>
      <c r="Q30" s="74">
        <f t="shared" si="67"/>
        <v>857.9532439699999</v>
      </c>
      <c r="R30" s="74">
        <f t="shared" si="67"/>
        <v>798.50359258091521</v>
      </c>
      <c r="S30" s="74">
        <f t="shared" si="67"/>
        <v>1276.7961103580337</v>
      </c>
      <c r="T30" s="74">
        <f t="shared" si="67"/>
        <v>228.48902218000001</v>
      </c>
      <c r="U30" s="63"/>
    </row>
    <row r="31" spans="1:25" ht="12" customHeight="1">
      <c r="B31" s="61"/>
      <c r="C31" s="61"/>
      <c r="D31" s="61"/>
      <c r="E31" s="62"/>
      <c r="F31" s="62"/>
      <c r="G31" s="62"/>
      <c r="H31" s="73" t="str">
        <f t="shared" si="62"/>
        <v>IV. čtvrtletí</v>
      </c>
      <c r="I31" s="75">
        <f t="shared" ref="I31:M31" si="68">H21</f>
        <v>0</v>
      </c>
      <c r="J31" s="75">
        <f t="shared" si="68"/>
        <v>0</v>
      </c>
      <c r="K31" s="75">
        <f t="shared" si="68"/>
        <v>0</v>
      </c>
      <c r="L31" s="75">
        <f t="shared" si="68"/>
        <v>0</v>
      </c>
      <c r="M31" s="75">
        <f t="shared" si="68"/>
        <v>0</v>
      </c>
      <c r="N31" s="61"/>
      <c r="O31" s="72" t="str">
        <f t="shared" si="64"/>
        <v>IV. čtvrtletí</v>
      </c>
      <c r="P31" s="74">
        <f t="shared" ref="P31:T31" si="69">O21</f>
        <v>0</v>
      </c>
      <c r="Q31" s="74">
        <f t="shared" si="69"/>
        <v>0</v>
      </c>
      <c r="R31" s="74">
        <f t="shared" si="69"/>
        <v>0</v>
      </c>
      <c r="S31" s="74">
        <f t="shared" si="69"/>
        <v>0</v>
      </c>
      <c r="T31" s="74">
        <f t="shared" si="69"/>
        <v>0</v>
      </c>
      <c r="U31" s="63"/>
    </row>
    <row r="32" spans="1:25" ht="12" customHeight="1">
      <c r="E32" s="63"/>
      <c r="F32" s="63"/>
      <c r="G32" s="63"/>
      <c r="H32" s="63"/>
      <c r="I32" s="63"/>
      <c r="Q32" s="63"/>
      <c r="R32" s="63"/>
      <c r="S32" s="63"/>
      <c r="T32" s="63"/>
      <c r="U32" s="63"/>
    </row>
    <row r="33" spans="4:21" ht="12" customHeight="1">
      <c r="D33" s="454"/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454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0:U23 H19:I19 J19:U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34</vt:i4>
      </vt:variant>
      <vt:variant>
        <vt:lpstr>Pojmenované oblasti</vt:lpstr>
      </vt:variant>
      <vt:variant>
        <vt:i4>8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Obálka</vt:lpstr>
      <vt:lpstr>'2'!Oblast_tisku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2022-11-14T07:55:50Z</cp:lastPrinted>
  <dcterms:created xsi:type="dcterms:W3CDTF">2010-02-15T08:19:53Z</dcterms:created>
  <dcterms:modified xsi:type="dcterms:W3CDTF">2022-11-14T07:57:14Z</dcterms:modified>
</cp:coreProperties>
</file>