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6985C630-D0D7-457E-8FF2-9BD7E6DA88F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H20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19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B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H22" i="179" s="1"/>
  <c r="B19" i="146"/>
  <c r="D20" i="146" l="1"/>
  <c r="E20" i="179" s="1"/>
  <c r="E19" i="179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N22" i="146"/>
  <c r="K22" i="146"/>
  <c r="I22" i="146"/>
  <c r="E22" i="146"/>
  <c r="B22" i="146"/>
  <c r="T21" i="146"/>
  <c r="S21" i="146"/>
  <c r="Q21" i="146"/>
  <c r="P21" i="146"/>
  <c r="O21" i="146"/>
  <c r="N21" i="146"/>
  <c r="K21" i="146"/>
  <c r="I21" i="146"/>
  <c r="E21" i="146"/>
  <c r="B21" i="146"/>
  <c r="Q20" i="146"/>
  <c r="E26" i="179" s="1"/>
  <c r="P20" i="146"/>
  <c r="N20" i="146"/>
  <c r="E25" i="179" s="1"/>
  <c r="I20" i="146"/>
  <c r="H19" i="179" s="1"/>
  <c r="E20" i="146"/>
  <c r="Q19" i="146"/>
  <c r="P19" i="146"/>
  <c r="O19" i="146"/>
  <c r="N19" i="146"/>
  <c r="E19" i="146"/>
  <c r="D19" i="146"/>
  <c r="G20" i="146" l="1"/>
  <c r="E23" i="179" s="1"/>
  <c r="E22" i="179"/>
  <c r="R19" i="146"/>
  <c r="G19" i="146"/>
  <c r="D22" i="146"/>
  <c r="R22" i="146"/>
  <c r="G22" i="146"/>
  <c r="R23" i="146"/>
  <c r="R20" i="146"/>
  <c r="E27" i="179" s="1"/>
  <c r="D21" i="146"/>
  <c r="R21" i="146"/>
  <c r="G21" i="146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G26" i="108" s="1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G14" i="108" s="1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<sst xmlns="http://schemas.openxmlformats.org/spreadsheetml/2006/main" count="1552" uniqueCount="322">
  <si>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</si>
  <si>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</si>
  <si>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</si>
  <si>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</si>
  <si>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</si>
  <si>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</si>
  <si>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</si>
  <si>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</si>
  <si>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</si>
  <si>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</si>
  <si>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</si>
  <si>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</si>
  <si>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</si>
  <si>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</si>
  <si>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</si>
  <si>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</si>
  <si>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</si>
  <si>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</si>
  <si>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</si>
  <si>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</si>
  <si>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</si>
  <si>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</si>
  <si>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</si>
  <si>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</si>
  <si>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</si>
  <si>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</si>
  <si>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</si>
  <si>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</si>
  <si>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</si>
  <si>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</si>
  <si>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</si>
  <si>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</si>
  <si>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</si>
  <si>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</si>
  <si>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</si>
  <si>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</si>
  <si>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</si>
  <si>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</si>
  <si>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</si>
  <si>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</si>
  <si>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</si>
  <si>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</si>
  <si>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</si>
  <si>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</si>
  <si>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</si>
  <si>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</si>
  <si>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</si>
  <si>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</si>
  <si>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</si>
  <si>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</si>
  <si>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</si>
  <si>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</si>
  <si>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</si>
  <si>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</si>
  <si>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</si>
  <si>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</si>
  <si>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</si>
  <si>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</si>
  <si>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</si>
  <si>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</si>
  <si>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</si>
  <si>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</si>
  <si>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</si>
  <si>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</si>
  <si>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</si>
  <si>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</si>
  <si>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</si>
  <si>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</si>
  <si>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</si>
  <si>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</si>
  <si>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</si>
  <si>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</si>
  <si>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</si>
  <si>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</si>
  <si>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</si>
  <si>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</si>
  <si>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</si>
  <si>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</si>
  <si>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</si>
  <si>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</si>
  <si>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</si>
  <si>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</si>
  <si>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</si>
  <si>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</si>
  <si>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</si>
  <si>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</si>
  <si>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</si>
  <si>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</si>
  <si>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</si>
  <si>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</si>
  <si>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</si>
  <si>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</si>
  <si>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</si>
  <si>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</si>
  <si>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</si>
  <si>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</si>
  <si>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</si>
  <si>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</si>
  <si>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</si>
  <si>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</si>
  <si>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</si>
  <si>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</si>
  <si>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</si>
  <si>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</si>
  <si>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</si>
  <si>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</si>
  <si>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</si>
  <si>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</si>
  <si>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</si>
  <si>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</si>
  <si>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</si>
  <si>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</si>
  <si>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</si>
  <si>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</si>
  <si>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</si>
  <si>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</si>
  <si>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</si>
  <si>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</si>
  <si>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</si>
  <si>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</si>
  <si>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</si>
  <si>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</si>
  <si>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</si>
  <si>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</si>
  <si>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</si>
  <si>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</si>
  <si>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</si>
  <si>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</si>
  <si>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</si>
  <si>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</si>
  <si>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</si>
  <si>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</si>
  <si>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</si>
  <si>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</si>
  <si>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</si>
  <si>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</si>
  <si>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</si>
  <si>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</si>
  <si>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</si>
  <si>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</si>
  <si>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</si>
  <si>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</si>
  <si>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</si>
  <si>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</si>
  <si>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</si>
  <si>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</si>
  <si>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</si>
  <si>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</si>
  <si>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</si>
  <si>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</si>
  <si>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</si>
  <si>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</si>
  <si>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</si>
  <si>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</si>
  <si>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</si>
  <si>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</si>
  <si>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</si>
  <si>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</si>
  <si>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</si>
  <si>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</si>
  <si>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</si>
  <si>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</si>
  <si>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</si>
  <si>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</si>
  <si>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</si>
  <si>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</si>
  <si>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</si>
  <si>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</si>
  <si>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</si>
  <si>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</si>
  <si>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</si>
  <si>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</si>
  <si>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</si>
  <si>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</si>
  <si>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</si>
  <si>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</si>
  <si>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</si>
  <si>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</si>
  <si>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</si>
  <si>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</si>
  <si>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</si>
  <si>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</si>
  <si>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</si>
  <si>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</si>
  <si>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</si>
  <si>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</si>
  <si>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</si>
  <si>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</si>
  <si>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</si>
  <si>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</si>
  <si>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</si>
  <si>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</si>
  <si>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</si>
  <si>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</si>
  <si>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</si>
  <si>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</si>
  <si>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</si>
  <si>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</si>
  <si>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</si>
  <si>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</si>
  <si>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</si>
  <si>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</si>
  <si>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</si>
  <si>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</si>
  <si>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</si>
  <si>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</si>
  <si>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</si>
  <si>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</si>
  <si>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</si>
  <si>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</si>
  <si>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</si>
  <si>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</si>
  <si>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</si>
  <si>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</si>
  <si>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</si>
  <si>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</si>
  <si>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</si>
  <si>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</si>
  <si>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</si>
  <si>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</si>
  <si>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</si>
  <si>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</si>
  <si>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</si>
  <si>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</si>
  <si>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</si>
  <si>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</si>
  <si>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</si>
  <si>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</si>
  <si>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</si>
  <si>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</si>
  <si>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</si>
  <si>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</si>
  <si>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</si>
  <si>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</si>
  <si>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</si>
  <si>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</si>
  <si>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</si>
  <si>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</si>
  <si>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</si>
  <si>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</si>
  <si>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</si>
  <si>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</si>
  <si>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</si>
  <si>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</si>
  <si>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</si>
  <si>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</si>
  <si>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</si>
  <si>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</si>
  <si>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</si>
  <si>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</si>
  <si>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</si>
  <si>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</si>
  <si>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</si>
  <si>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</si>
  <si>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</si>
  <si>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</si>
  <si>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</si>
  <si>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</si>
  <si>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</si>
  <si>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</si>
  <si>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</si>
  <si>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</si>
  <si>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</si>
  <si>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</si>
  <si>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</si>
  <si>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</si>
  <si>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</si>
  <si>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</si>
  <si>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</si>
  <si>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</si>
  <si>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</si>
  <si>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</si>
  <si>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</si>
  <si>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</si>
  <si>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</si>
  <si>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</si>
  <si>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</si>
  <si>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</si>
  <si>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</si>
  <si>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</si>
  <si>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</si>
  <si>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</si>
  <si>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</si>
  <si>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</si>
  <si>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</si>
  <si>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</si>
  <si>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</si>
  <si>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</si>
  <si>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</si>
  <si>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</si>
  <si>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</si>
  <si>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</si>
  <si>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</si>
  <si>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</si>
  <si>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</si>
  <si>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</si>
  <si>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</si>
  <si>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</si>
  <si>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</si>
  <si>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</si>
  <si>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</si>
  <si>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</si>
  <si>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</si>
  <si>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</si>
  <si>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</si>
  <si>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</si>
  <si>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</si>
  <si>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</si>
  <si>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</si>
  <si>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</si>
  <si>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</si>
  <si>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</si>
  <si>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</si>
  <si>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plyn.statistika@eru.cz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</si>
  <si>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</si>
  <si>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</si>
  <si>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</si>
  <si>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</si>
  <si>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II. ČTVRTLETÍ 2023</t>
    </r>
  </si>
  <si>
    <t>X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</si>
  <si>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2023, kterou ERÚ předpokládá zveřejnit do konce května roku 2024.
</t>
  </si>
  <si>
    <t>* Prognóza spotřeby plynu do konce roku 2023 byla zpracována v prosinci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</si>
</sst>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45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165" fontId="110" fillId="2" borderId="30" xfId="2" applyNumberFormat="1" applyFont="1" applyFill="1" applyBorder="1" applyAlignment="1">
      <alignment horizontal="right" vertical="center"/>
    </xf>
    <xf numFmtId="165" fontId="110" fillId="2" borderId="0" xfId="2" applyNumberFormat="1" applyFont="1" applyFill="1" applyBorder="1" applyAlignment="1">
      <alignment horizontal="right" vertical="center"/>
    </xf>
    <xf numFmtId="165" fontId="110" fillId="2" borderId="33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165" fontId="110" fillId="2" borderId="30" xfId="20" applyNumberFormat="1" applyFont="1" applyFill="1" applyBorder="1" applyAlignment="1">
      <alignment horizontal="right" vertical="center"/>
    </xf>
    <xf numFmtId="165" fontId="110" fillId="2" borderId="0" xfId="20" applyNumberFormat="1" applyFont="1" applyFill="1" applyBorder="1" applyAlignment="1">
      <alignment horizontal="right" vertical="center"/>
    </xf>
    <xf numFmtId="164" fontId="110" fillId="2" borderId="0" xfId="1" applyNumberFormat="1" applyFont="1" applyFill="1" applyBorder="1" applyAlignment="1">
      <alignment vertical="center"/>
    </xf>
    <xf numFmtId="165" fontId="110" fillId="2" borderId="33" xfId="20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34" xfId="20" applyNumberFormat="1" applyFont="1" applyFill="1" applyBorder="1" applyAlignment="1">
      <alignment horizontal="right" vertical="center"/>
    </xf>
    <xf numFmtId="3" fontId="110" fillId="2" borderId="30" xfId="2" applyNumberFormat="1" applyFont="1" applyFill="1" applyBorder="1" applyAlignment="1">
      <alignment horizontal="right" vertical="center"/>
    </xf>
    <xf numFmtId="3" fontId="110" fillId="2" borderId="0" xfId="2" applyNumberFormat="1" applyFont="1" applyFill="1" applyBorder="1" applyAlignment="1">
      <alignment horizontal="right" vertical="center"/>
    </xf>
    <xf numFmtId="3" fontId="110" fillId="2" borderId="33" xfId="2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165" fontId="122" fillId="0" borderId="0" xfId="0" applyNumberFormat="1" applyFont="1" applyFill="1"/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611.86680951218455</c:v>
                </c:pt>
                <c:pt idx="1">
                  <c:v>541.66979960431695</c:v>
                </c:pt>
                <c:pt idx="2">
                  <c:v>558.67411079116368</c:v>
                </c:pt>
                <c:pt idx="3">
                  <c:v>678.89586636549586</c:v>
                </c:pt>
                <c:pt idx="4">
                  <c:v>1032.1800539226767</c:v>
                </c:pt>
                <c:pt idx="5">
                  <c:v>889.48322247170688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-171.69380494119213</c:v>
                </c:pt>
                <c:pt idx="1">
                  <c:v>-191.63640082004457</c:v>
                </c:pt>
                <c:pt idx="2">
                  <c:v>-85.842169319862464</c:v>
                </c:pt>
                <c:pt idx="3">
                  <c:v>-59.800538558553114</c:v>
                </c:pt>
                <c:pt idx="4">
                  <c:v>-66.096829012414332</c:v>
                </c:pt>
                <c:pt idx="5">
                  <c:v>-25.522451097333597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12793.931463057972</c:v>
                </c:pt>
                <c:pt idx="1">
                  <c:v>7540.0808956570336</c:v>
                </c:pt>
                <c:pt idx="2">
                  <c:v>10465.103635224865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606467.9079223572</c:v>
                </c:pt>
                <c:pt idx="1">
                  <c:v>671362.18900899903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368854.00837598281</c:v>
                </c:pt>
                <c:pt idx="1">
                  <c:v>388896.17215441924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313953.15162846673</c:v>
                </c:pt>
                <c:pt idx="1">
                  <c:v>336354.49487705366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0.47039450541580391</c:v>
                </c:pt>
                <c:pt idx="1">
                  <c:v>0.48070743879042721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0.28609411408933177</c:v>
                </c:pt>
                <c:pt idx="1">
                  <c:v>0.27845667499938115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0.24351138049486437</c:v>
                </c:pt>
                <c:pt idx="1">
                  <c:v>0.24083588621019145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66498.69310795347</c:v>
                </c:pt>
                <c:pt idx="1">
                  <c:v>74550.468344230554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32024.078304436709</c:v>
                </c:pt>
                <c:pt idx="1">
                  <c:v>27622.192440521852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19213.204103457079</c:v>
                </c:pt>
                <c:pt idx="1">
                  <c:v>19349.489106876652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0.56481201108324564</c:v>
                </c:pt>
                <c:pt idx="1">
                  <c:v>0.61347226337513872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0.271999090882177</c:v>
                </c:pt>
                <c:pt idx="1">
                  <c:v>0.22730170973073427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0.1631888980345772</c:v>
                </c:pt>
                <c:pt idx="1">
                  <c:v>0.1592260268941269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0.47775306885897179</c:v>
                </c:pt>
                <c:pt idx="1">
                  <c:v>0.4956244880970368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0.29849061950439087</c:v>
                </c:pt>
                <c:pt idx="1">
                  <c:v>0.27620890985145569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0.22375631163663745</c:v>
                </c:pt>
                <c:pt idx="1">
                  <c:v>0.22816660205150732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499583.09052440379</c:v>
                </c:pt>
                <c:pt idx="1">
                  <c:v>563107.41134476836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312129.58305154613</c:v>
                </c:pt>
                <c:pt idx="1">
                  <c:v>313816.78660389746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233980.43252500967</c:v>
                </c:pt>
                <c:pt idx="1">
                  <c:v>259233.16487017696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25391.822</c:v>
                </c:pt>
                <c:pt idx="1">
                  <c:v>28310.621999999999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15240.333000000001</c:v>
                </c:pt>
                <c:pt idx="1">
                  <c:v>14858.406010000001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11602.128000000001</c:v>
                </c:pt>
                <c:pt idx="1">
                  <c:v>11605.965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0.48611411015252182</c:v>
                </c:pt>
                <c:pt idx="1">
                  <c:v>0.51685304633140661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0.29176877951976482</c:v>
                </c:pt>
                <c:pt idx="1">
                  <c:v>0.27126258158147781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0.22211711032771331</c:v>
                </c:pt>
                <c:pt idx="1">
                  <c:v>0.21188437208711569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14994.30229</c:v>
                </c:pt>
                <c:pt idx="1">
                  <c:v>5393.6873199999991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9460.0140199999987</c:v>
                </c:pt>
                <c:pt idx="1">
                  <c:v>32598.787099999998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49157.386999999995</c:v>
                </c:pt>
                <c:pt idx="1">
                  <c:v>46165.875899999999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484.49456099999998</c:v>
                </c:pt>
                <c:pt idx="1">
                  <c:v>502.731177</c:v>
                </c:pt>
                <c:pt idx="2">
                  <c:v>315.244956</c:v>
                </c:pt>
                <c:pt idx="3">
                  <c:v>79.391479000000004</c:v>
                </c:pt>
                <c:pt idx="4">
                  <c:v>2.5809000000000002E-2</c:v>
                </c:pt>
                <c:pt idx="5">
                  <c:v>0.235014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-50.764979000000004</c:v>
                </c:pt>
                <c:pt idx="1">
                  <c:v>-0.45966299999999999</c:v>
                </c:pt>
                <c:pt idx="2">
                  <c:v>-29.267647000000004</c:v>
                </c:pt>
                <c:pt idx="3">
                  <c:v>-102.569807</c:v>
                </c:pt>
                <c:pt idx="4">
                  <c:v>-612.77381700000001</c:v>
                </c:pt>
                <c:pt idx="5">
                  <c:v>-558.38072299999999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0.20369454333714698</c:v>
                </c:pt>
                <c:pt idx="1">
                  <c:v>6.4089746287697896E-2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0.1285123641299423</c:v>
                </c:pt>
                <c:pt idx="1">
                  <c:v>0.38735059534850441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0.66779309253291064</c:v>
                </c:pt>
                <c:pt idx="1">
                  <c:v>0.54855965836379761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66498.69310795347</c:v>
                </c:pt>
                <c:pt idx="1">
                  <c:v>499583.09052440379</c:v>
                </c:pt>
                <c:pt idx="2">
                  <c:v>25391.822</c:v>
                </c:pt>
                <c:pt idx="3">
                  <c:v>14994.30229</c:v>
                </c:pt>
                <c:pt idx="4">
                  <c:v>606467.90792235732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8.0733333333333324</c:v>
                </c:pt>
                <c:pt idx="1">
                  <c:v>6.7083333333333366</c:v>
                </c:pt>
                <c:pt idx="2">
                  <c:v>6.1366666666666676</c:v>
                </c:pt>
                <c:pt idx="3">
                  <c:v>6.6799999999999988</c:v>
                </c:pt>
                <c:pt idx="4">
                  <c:v>6.6799999999999988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14.7</c:v>
                </c:pt>
                <c:pt idx="1">
                  <c:v>12.549999999999999</c:v>
                </c:pt>
                <c:pt idx="2">
                  <c:v>12.4</c:v>
                </c:pt>
                <c:pt idx="3">
                  <c:v>12.6</c:v>
                </c:pt>
                <c:pt idx="4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1.6</c:v>
                </c:pt>
                <c:pt idx="1">
                  <c:v>-0.46666666666666673</c:v>
                </c:pt>
                <c:pt idx="2">
                  <c:v>-0.7</c:v>
                </c:pt>
                <c:pt idx="3">
                  <c:v>-0.4</c:v>
                </c:pt>
                <c:pt idx="4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0.10964915412550885</c:v>
                </c:pt>
                <c:pt idx="1">
                  <c:v>0.82375849405763213</c:v>
                </c:pt>
                <c:pt idx="2">
                  <c:v>4.1868368743512761E-2</c:v>
                </c:pt>
                <c:pt idx="3">
                  <c:v>2.4723983073346126E-2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32024.078304436709</c:v>
                </c:pt>
                <c:pt idx="1">
                  <c:v>312129.58305154613</c:v>
                </c:pt>
                <c:pt idx="2">
                  <c:v>15240.333000000001</c:v>
                </c:pt>
                <c:pt idx="3">
                  <c:v>9460.0140199999987</c:v>
                </c:pt>
                <c:pt idx="4">
                  <c:v>368854.00837598281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14.445161290322584</c:v>
                </c:pt>
                <c:pt idx="1">
                  <c:v>12.845698924731177</c:v>
                </c:pt>
                <c:pt idx="2">
                  <c:v>12.380645161290321</c:v>
                </c:pt>
                <c:pt idx="3">
                  <c:v>12.812903225806451</c:v>
                </c:pt>
                <c:pt idx="4">
                  <c:v>12.812903225806451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20.6</c:v>
                </c:pt>
                <c:pt idx="1">
                  <c:v>18.349999999999998</c:v>
                </c:pt>
                <c:pt idx="2">
                  <c:v>18.899999999999999</c:v>
                </c:pt>
                <c:pt idx="3">
                  <c:v>18.399999999999999</c:v>
                </c:pt>
                <c:pt idx="4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9.6999999999999993</c:v>
                </c:pt>
                <c:pt idx="1">
                  <c:v>8.5</c:v>
                </c:pt>
                <c:pt idx="2">
                  <c:v>8.1999999999999993</c:v>
                </c:pt>
                <c:pt idx="3">
                  <c:v>8.5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8.6820469826082797E-2</c:v>
                </c:pt>
                <c:pt idx="1">
                  <c:v>0.84621442620567655</c:v>
                </c:pt>
                <c:pt idx="2">
                  <c:v>4.131806257739002E-2</c:v>
                </c:pt>
                <c:pt idx="3">
                  <c:v>2.5647041390850635E-2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19213.204103457079</c:v>
                </c:pt>
                <c:pt idx="1">
                  <c:v>233980.43252500967</c:v>
                </c:pt>
                <c:pt idx="2">
                  <c:v>11602.128000000001</c:v>
                </c:pt>
                <c:pt idx="3">
                  <c:v>49157.386999999995</c:v>
                </c:pt>
                <c:pt idx="4">
                  <c:v>313953.15162846673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891.77987089563828</c:v>
                </c:pt>
                <c:pt idx="1">
                  <c:v>860.76740305537987</c:v>
                </c:pt>
                <c:pt idx="2">
                  <c:v>769.26811951702939</c:v>
                </c:pt>
                <c:pt idx="3">
                  <c:v>606.46775451524184</c:v>
                </c:pt>
                <c:pt idx="4">
                  <c:v>368.85357592765939</c:v>
                </c:pt>
                <c:pt idx="5">
                  <c:v>313.95310905674575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1018.2711816603346</c:v>
                </c:pt>
                <c:pt idx="1">
                  <c:v>905.06624105235687</c:v>
                </c:pt>
                <c:pt idx="2">
                  <c:v>813.43576392756404</c:v>
                </c:pt>
                <c:pt idx="3">
                  <c:v>542.15893668344847</c:v>
                </c:pt>
                <c:pt idx="4">
                  <c:v>354.09291505284216</c:v>
                </c:pt>
                <c:pt idx="5">
                  <c:v>316.35299234701233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18.913333333333334</c:v>
                </c:pt>
                <c:pt idx="1">
                  <c:v>17.493888888888886</c:v>
                </c:pt>
                <c:pt idx="2">
                  <c:v>16.973333333333329</c:v>
                </c:pt>
                <c:pt idx="3">
                  <c:v>17.459999999999994</c:v>
                </c:pt>
                <c:pt idx="4">
                  <c:v>17.459999999999994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26</c:v>
                </c:pt>
                <c:pt idx="1">
                  <c:v>24.2</c:v>
                </c:pt>
                <c:pt idx="2">
                  <c:v>23.5</c:v>
                </c:pt>
                <c:pt idx="3">
                  <c:v>24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14.7</c:v>
                </c:pt>
                <c:pt idx="1">
                  <c:v>13.116666666666669</c:v>
                </c:pt>
                <c:pt idx="2">
                  <c:v>13.3</c:v>
                </c:pt>
                <c:pt idx="3">
                  <c:v>13.2</c:v>
                </c:pt>
                <c:pt idx="4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6.1197678710338453E-2</c:v>
                </c:pt>
                <c:pt idx="1">
                  <c:v>0.74527180667357318</c:v>
                </c:pt>
                <c:pt idx="2">
                  <c:v>3.6954965859778977E-2</c:v>
                </c:pt>
                <c:pt idx="3">
                  <c:v>0.15657554875630941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117735.97551584727</c:v>
                </c:pt>
                <c:pt idx="1">
                  <c:v>1045693.1061009595</c:v>
                </c:pt>
                <c:pt idx="2">
                  <c:v>52234.283000000003</c:v>
                </c:pt>
                <c:pt idx="3">
                  <c:v>73611.703309999997</c:v>
                </c:pt>
                <c:pt idx="4">
                  <c:v>1289275.0679268066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13.810609318996418</c:v>
                </c:pt>
                <c:pt idx="1">
                  <c:v>12.349307048984466</c:v>
                </c:pt>
                <c:pt idx="2">
                  <c:v>11.830215053763439</c:v>
                </c:pt>
                <c:pt idx="3">
                  <c:v>12.317634408602148</c:v>
                </c:pt>
                <c:pt idx="4">
                  <c:v>12.317634408602148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26</c:v>
                </c:pt>
                <c:pt idx="1">
                  <c:v>24.2</c:v>
                </c:pt>
                <c:pt idx="2">
                  <c:v>23.5</c:v>
                </c:pt>
                <c:pt idx="3">
                  <c:v>24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1.6</c:v>
                </c:pt>
                <c:pt idx="1">
                  <c:v>-0.46666666666666673</c:v>
                </c:pt>
                <c:pt idx="2">
                  <c:v>-0.7</c:v>
                </c:pt>
                <c:pt idx="3">
                  <c:v>-0.4</c:v>
                </c:pt>
                <c:pt idx="4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9.131951624967842E-2</c:v>
                </c:pt>
                <c:pt idx="1">
                  <c:v>0.8110706024762161</c:v>
                </c:pt>
                <c:pt idx="2">
                  <c:v>4.051445986929253E-2</c:v>
                </c:pt>
                <c:pt idx="3">
                  <c:v>5.7095421404813052E-2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289971.15204709524</c:v>
                </c:pt>
                <c:pt idx="1">
                  <c:v>2036608.499707636</c:v>
                </c:pt>
                <c:pt idx="2">
                  <c:v>101321.212</c:v>
                </c:pt>
                <c:pt idx="3">
                  <c:v>93914.096560000005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117735.97551584727</c:v>
                </c:pt>
                <c:pt idx="1">
                  <c:v>1045693.1061009595</c:v>
                </c:pt>
                <c:pt idx="2">
                  <c:v>52234.282999999996</c:v>
                </c:pt>
                <c:pt idx="3">
                  <c:v>73611.703309999997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239755.45045</c:v>
                </c:pt>
                <c:pt idx="1">
                  <c:v>845423.80909999995</c:v>
                </c:pt>
                <c:pt idx="2">
                  <c:v>174733.95210999998</c:v>
                </c:pt>
                <c:pt idx="3">
                  <c:v>271164.48214999994</c:v>
                </c:pt>
                <c:pt idx="4">
                  <c:v>259586.97500000003</c:v>
                </c:pt>
                <c:pt idx="5">
                  <c:v>718801.64271000016</c:v>
                </c:pt>
                <c:pt idx="6">
                  <c:v>396704.14453999995</c:v>
                </c:pt>
                <c:pt idx="7">
                  <c:v>308552.05262999999</c:v>
                </c:pt>
                <c:pt idx="8">
                  <c:v>315448.53175000002</c:v>
                </c:pt>
                <c:pt idx="9">
                  <c:v>712579.62659095961</c:v>
                </c:pt>
                <c:pt idx="10">
                  <c:v>936420.20528900018</c:v>
                </c:pt>
                <c:pt idx="11">
                  <c:v>777106.9124309998</c:v>
                </c:pt>
                <c:pt idx="12">
                  <c:v>262963.93136000005</c:v>
                </c:pt>
                <c:pt idx="13">
                  <c:v>328415.35399999999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6.0533333333333319</c:v>
                </c:pt>
                <c:pt idx="1">
                  <c:v>8.14</c:v>
                </c:pt>
                <c:pt idx="2">
                  <c:v>5.5699999999999994</c:v>
                </c:pt>
                <c:pt idx="3">
                  <c:v>6.4066666666666672</c:v>
                </c:pt>
                <c:pt idx="4">
                  <c:v>6.4533333333333331</c:v>
                </c:pt>
                <c:pt idx="5">
                  <c:v>6.8366666666666669</c:v>
                </c:pt>
                <c:pt idx="6">
                  <c:v>6.8233333333333341</c:v>
                </c:pt>
                <c:pt idx="7">
                  <c:v>6.6199999999999992</c:v>
                </c:pt>
                <c:pt idx="8">
                  <c:v>6.6666666666666679</c:v>
                </c:pt>
                <c:pt idx="9">
                  <c:v>8.4366666666666674</c:v>
                </c:pt>
                <c:pt idx="10">
                  <c:v>7.2533333333333321</c:v>
                </c:pt>
                <c:pt idx="11">
                  <c:v>7.0833333333333321</c:v>
                </c:pt>
                <c:pt idx="12">
                  <c:v>6.1566666666666654</c:v>
                </c:pt>
                <c:pt idx="13">
                  <c:v>6.376666666666666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2.1903225806451618</c:v>
                </c:pt>
                <c:pt idx="1">
                  <c:v>1.375</c:v>
                </c:pt>
                <c:pt idx="2">
                  <c:v>4.8774193548387101</c:v>
                </c:pt>
                <c:pt idx="3">
                  <c:v>6.6799999999999988</c:v>
                </c:pt>
                <c:pt idx="4">
                  <c:v>12.812903225806451</c:v>
                </c:pt>
                <c:pt idx="5">
                  <c:v>17.459999999999994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12.241935483870968</c:v>
                </c:pt>
                <c:pt idx="1">
                  <c:v>14.04838709677419</c:v>
                </c:pt>
                <c:pt idx="2">
                  <c:v>12.100000000000001</c:v>
                </c:pt>
                <c:pt idx="3">
                  <c:v>12.374193548387098</c:v>
                </c:pt>
                <c:pt idx="4">
                  <c:v>12.732258064516131</c:v>
                </c:pt>
                <c:pt idx="5">
                  <c:v>12.151612903225805</c:v>
                </c:pt>
                <c:pt idx="6">
                  <c:v>12.490322580645161</c:v>
                </c:pt>
                <c:pt idx="7">
                  <c:v>12.748387096774195</c:v>
                </c:pt>
                <c:pt idx="8">
                  <c:v>13.164516129032259</c:v>
                </c:pt>
                <c:pt idx="9">
                  <c:v>15.074193548387099</c:v>
                </c:pt>
                <c:pt idx="10">
                  <c:v>13.493548387096771</c:v>
                </c:pt>
                <c:pt idx="11">
                  <c:v>13.425806451612903</c:v>
                </c:pt>
                <c:pt idx="12">
                  <c:v>12.290322580645162</c:v>
                </c:pt>
                <c:pt idx="13">
                  <c:v>12.312903225806451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143054.44702999998</c:v>
                </c:pt>
                <c:pt idx="1">
                  <c:v>441082.93212000001</c:v>
                </c:pt>
                <c:pt idx="2">
                  <c:v>116607.30124999997</c:v>
                </c:pt>
                <c:pt idx="3">
                  <c:v>160437.61641999992</c:v>
                </c:pt>
                <c:pt idx="4">
                  <c:v>158758.61791999999</c:v>
                </c:pt>
                <c:pt idx="5">
                  <c:v>523563.95371000009</c:v>
                </c:pt>
                <c:pt idx="6">
                  <c:v>239463.31960999995</c:v>
                </c:pt>
                <c:pt idx="7">
                  <c:v>183247.01032999999</c:v>
                </c:pt>
                <c:pt idx="8">
                  <c:v>194907.31607999996</c:v>
                </c:pt>
                <c:pt idx="9">
                  <c:v>341444.84026691742</c:v>
                </c:pt>
                <c:pt idx="10">
                  <c:v>534371.03752399993</c:v>
                </c:pt>
                <c:pt idx="11">
                  <c:v>588279.57665500022</c:v>
                </c:pt>
                <c:pt idx="12">
                  <c:v>154838.44375999999</c:v>
                </c:pt>
                <c:pt idx="13">
                  <c:v>192612.06093000001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16.783333333333328</c:v>
                </c:pt>
                <c:pt idx="1">
                  <c:v>18.690000000000005</c:v>
                </c:pt>
                <c:pt idx="2">
                  <c:v>16.809999999999999</c:v>
                </c:pt>
                <c:pt idx="3">
                  <c:v>17.043333333333333</c:v>
                </c:pt>
                <c:pt idx="4">
                  <c:v>17.003333333333334</c:v>
                </c:pt>
                <c:pt idx="5">
                  <c:v>17.233333333333334</c:v>
                </c:pt>
                <c:pt idx="6">
                  <c:v>17.280000000000005</c:v>
                </c:pt>
                <c:pt idx="7">
                  <c:v>17.476666666666667</c:v>
                </c:pt>
                <c:pt idx="8">
                  <c:v>17.786666666666669</c:v>
                </c:pt>
                <c:pt idx="9">
                  <c:v>19.52333333333333</c:v>
                </c:pt>
                <c:pt idx="10">
                  <c:v>17.88</c:v>
                </c:pt>
                <c:pt idx="11">
                  <c:v>17.933333333333337</c:v>
                </c:pt>
                <c:pt idx="12">
                  <c:v>17.000000000000007</c:v>
                </c:pt>
                <c:pt idx="13">
                  <c:v>16.999999999999996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110772.89489000001</c:v>
                </c:pt>
                <c:pt idx="1">
                  <c:v>286673.37029000011</c:v>
                </c:pt>
                <c:pt idx="2">
                  <c:v>104401.02447000002</c:v>
                </c:pt>
                <c:pt idx="3">
                  <c:v>111160.62399000001</c:v>
                </c:pt>
                <c:pt idx="4">
                  <c:v>110276.69091000002</c:v>
                </c:pt>
                <c:pt idx="5">
                  <c:v>409845.81089000002</c:v>
                </c:pt>
                <c:pt idx="6">
                  <c:v>172425.20081000001</c:v>
                </c:pt>
                <c:pt idx="7">
                  <c:v>139413.99996999998</c:v>
                </c:pt>
                <c:pt idx="8">
                  <c:v>144119.16976999998</c:v>
                </c:pt>
                <c:pt idx="9">
                  <c:v>201678.87143487085</c:v>
                </c:pt>
                <c:pt idx="10">
                  <c:v>414442.41787399992</c:v>
                </c:pt>
                <c:pt idx="11">
                  <c:v>958762.53031299997</c:v>
                </c:pt>
                <c:pt idx="12">
                  <c:v>105841.95027000002</c:v>
                </c:pt>
                <c:pt idx="13">
                  <c:v>152186.79384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11.692867383512542</c:v>
                </c:pt>
                <c:pt idx="1">
                  <c:v>13.626129032258065</c:v>
                </c:pt>
                <c:pt idx="2">
                  <c:v>11.493333333333334</c:v>
                </c:pt>
                <c:pt idx="3">
                  <c:v>11.941397849462367</c:v>
                </c:pt>
                <c:pt idx="4">
                  <c:v>12.062974910394265</c:v>
                </c:pt>
                <c:pt idx="5">
                  <c:v>12.073870967741934</c:v>
                </c:pt>
                <c:pt idx="6">
                  <c:v>12.197885304659499</c:v>
                </c:pt>
                <c:pt idx="7">
                  <c:v>12.28168458781362</c:v>
                </c:pt>
                <c:pt idx="8">
                  <c:v>12.539283154121867</c:v>
                </c:pt>
                <c:pt idx="9">
                  <c:v>14.344731182795698</c:v>
                </c:pt>
                <c:pt idx="10">
                  <c:v>12.875627240143368</c:v>
                </c:pt>
                <c:pt idx="11">
                  <c:v>12.814157706093191</c:v>
                </c:pt>
                <c:pt idx="12">
                  <c:v>11.815663082437277</c:v>
                </c:pt>
                <c:pt idx="13">
                  <c:v>11.896523297491038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493582.79236999998</c:v>
                </c:pt>
                <c:pt idx="1">
                  <c:v>1573180.11151</c:v>
                </c:pt>
                <c:pt idx="2">
                  <c:v>395742.27783000004</c:v>
                </c:pt>
                <c:pt idx="3">
                  <c:v>542762.72255999979</c:v>
                </c:pt>
                <c:pt idx="4">
                  <c:v>528622.28383000009</c:v>
                </c:pt>
                <c:pt idx="5">
                  <c:v>1652211.4073099999</c:v>
                </c:pt>
                <c:pt idx="6">
                  <c:v>808592.66495999997</c:v>
                </c:pt>
                <c:pt idx="7">
                  <c:v>631213.0629299999</c:v>
                </c:pt>
                <c:pt idx="8">
                  <c:v>654475.01760000002</c:v>
                </c:pt>
                <c:pt idx="9">
                  <c:v>1255703.3382927477</c:v>
                </c:pt>
                <c:pt idx="10">
                  <c:v>1885233.660687</c:v>
                </c:pt>
                <c:pt idx="11">
                  <c:v>2324149.0193989999</c:v>
                </c:pt>
                <c:pt idx="12">
                  <c:v>523644.32539000007</c:v>
                </c:pt>
                <c:pt idx="13">
                  <c:v>673214.20876999991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1562</c:v>
                </c:pt>
                <c:pt idx="1">
                  <c:v>6124</c:v>
                </c:pt>
                <c:pt idx="2">
                  <c:v>203202</c:v>
                </c:pt>
                <c:pt idx="3">
                  <c:v>2561383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972.73779653115685</c:v>
                </c:pt>
                <c:pt idx="1">
                  <c:v>713.1469345859507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246.52069251980049</c:v>
                </c:pt>
                <c:pt idx="1">
                  <c:v>113.12263278371259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433.60110803893588</c:v>
                </c:pt>
                <c:pt idx="1">
                  <c:v>148.380611643517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793.64640396804884</c:v>
                </c:pt>
                <c:pt idx="1">
                  <c:v>278.60368638204932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22.174044978425176</c:v>
                </c:pt>
                <c:pt idx="1">
                  <c:v>22.272727339250615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10569.378439568</c:v>
                </c:pt>
                <c:pt idx="1">
                  <c:v>7797.5522529378686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2678.3421776699997</c:v>
                </c:pt>
                <c:pt idx="1">
                  <c:v>1236.6427551400002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4710.2183123059049</c:v>
                </c:pt>
                <c:pt idx="1">
                  <c:v>1621.00079782993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8619.9176248230488</c:v>
                </c:pt>
                <c:pt idx="1">
                  <c:v>3043.5013785209489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240.80960168000001</c:v>
                </c:pt>
                <c:pt idx="1">
                  <c:v>243.62970901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29977.184981210052</c:v>
                </c:pt>
                <c:pt idx="1">
                  <c:v>12561.242829915278</c:v>
                </c:pt>
                <c:pt idx="2">
                  <c:v>20215.591817174722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15898.762296599672</c:v>
                </c:pt>
                <c:pt idx="1">
                  <c:v>8126.412081026072</c:v>
                </c:pt>
                <c:pt idx="2">
                  <c:v>11898.50244927934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51</xdr:row>
      <xdr:rowOff>157162</xdr:rowOff>
    </xdr:from>
    <xdr:to>
      <xdr:col>5</xdr:col>
      <xdr:colOff>286868</xdr:colOff>
      <xdr:row>57</xdr:row>
      <xdr:rowOff>130478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8310562"/>
          <a:ext cx="3633318" cy="925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41.5703125" style="134" customWidth="1"/>
    <col min="2" max="2" width="50.42578125" style="134" customWidth="1"/>
    <col min="3" max="9" width="9.85546875" style="134" customWidth="1"/>
    <col min="10" max="10" width="10.28515625" style="134" customWidth="1"/>
    <col min="11" max="16384" width="9.140625" style="134"/>
  </cols>
  <sheetData>
    <row r="1" spans="1:11" ht="399.75" customHeight="1">
      <c r="A1" s="423" t="s">
        <v>318</v>
      </c>
      <c r="B1" s="424"/>
    </row>
    <row r="2" spans="1:11" ht="380.1" customHeight="1">
      <c r="A2" s="135"/>
      <c r="B2" s="136"/>
      <c r="C2" s="137"/>
      <c r="D2" s="137"/>
      <c r="E2" s="137"/>
      <c r="F2" s="137"/>
      <c r="G2" s="137"/>
      <c r="H2" s="137"/>
      <c r="I2" s="137"/>
      <c r="J2" s="137"/>
      <c r="K2" s="134" t="s">
        <v>259</v>
      </c>
    </row>
    <row r="3" spans="1:11">
      <c r="B3" s="138"/>
      <c r="D3" s="139"/>
      <c r="E3" s="140"/>
      <c r="F3" s="140"/>
      <c r="G3" s="140"/>
      <c r="J3" s="141"/>
    </row>
    <row r="9" spans="1:11">
      <c r="B9" s="142"/>
      <c r="I9" s="143"/>
    </row>
    <row r="10" spans="1:11">
      <c r="B10" s="144"/>
      <c r="C10" s="145"/>
    </row>
    <row r="11" spans="1:11">
      <c r="B11" s="144"/>
      <c r="C11" s="145"/>
    </row>
    <row r="12" spans="1:11">
      <c r="B12" s="144"/>
      <c r="C12" s="145"/>
    </row>
    <row r="13" spans="1:11">
      <c r="A13" s="146"/>
      <c r="B13" s="147"/>
      <c r="C13" s="148"/>
      <c r="D13" s="146"/>
      <c r="E13" s="146"/>
      <c r="F13" s="146"/>
      <c r="G13" s="146"/>
      <c r="H13" s="146"/>
      <c r="I13" s="146"/>
      <c r="J13" s="146"/>
    </row>
    <row r="14" spans="1:11">
      <c r="A14" s="146"/>
      <c r="B14" s="147"/>
      <c r="C14" s="148"/>
      <c r="D14" s="146"/>
      <c r="E14" s="146"/>
      <c r="F14" s="146"/>
      <c r="G14" s="146"/>
      <c r="H14" s="146"/>
      <c r="I14" s="146"/>
      <c r="J14" s="146"/>
    </row>
    <row r="15" spans="1:11">
      <c r="A15" s="146"/>
      <c r="B15" s="147"/>
      <c r="C15" s="148"/>
      <c r="D15" s="146"/>
      <c r="E15" s="146"/>
      <c r="F15" s="146"/>
      <c r="G15" s="146"/>
      <c r="H15" s="146"/>
      <c r="I15" s="146"/>
      <c r="J15" s="146"/>
    </row>
    <row r="16" spans="1:11">
      <c r="A16" s="146"/>
      <c r="B16" s="147"/>
      <c r="C16" s="148"/>
      <c r="D16" s="146"/>
      <c r="E16" s="146"/>
      <c r="F16" s="146"/>
      <c r="G16" s="146"/>
      <c r="H16" s="146"/>
      <c r="I16" s="146"/>
      <c r="J16" s="146"/>
    </row>
    <row r="17" spans="1:10">
      <c r="A17" s="146"/>
      <c r="B17" s="147"/>
      <c r="C17" s="148"/>
      <c r="D17" s="146"/>
      <c r="E17" s="146"/>
      <c r="F17" s="146"/>
      <c r="G17" s="146"/>
      <c r="H17" s="146"/>
      <c r="I17" s="146"/>
      <c r="J17" s="146"/>
    </row>
    <row r="18" spans="1:10">
      <c r="A18" s="146"/>
      <c r="B18" s="147"/>
      <c r="C18" s="148"/>
      <c r="D18" s="146"/>
      <c r="E18" s="146"/>
      <c r="F18" s="146"/>
      <c r="G18" s="146"/>
      <c r="H18" s="146"/>
      <c r="I18" s="146"/>
      <c r="J18" s="146"/>
    </row>
    <row r="19" spans="1:10">
      <c r="A19" s="146"/>
      <c r="B19" s="147"/>
      <c r="C19" s="148"/>
      <c r="D19" s="146"/>
      <c r="E19" s="146"/>
      <c r="F19" s="146"/>
      <c r="G19" s="146"/>
      <c r="H19" s="146"/>
      <c r="I19" s="146"/>
      <c r="J19" s="146"/>
    </row>
    <row r="21" spans="1:10">
      <c r="A21" s="146"/>
      <c r="B21" s="147"/>
      <c r="C21" s="148"/>
      <c r="D21" s="146"/>
      <c r="E21" s="146"/>
      <c r="F21" s="146"/>
      <c r="G21" s="146"/>
      <c r="H21" s="146"/>
      <c r="I21" s="146"/>
      <c r="J21" s="146"/>
    </row>
    <row r="22" spans="1:10">
      <c r="A22" s="146"/>
      <c r="B22" s="147"/>
      <c r="C22" s="148"/>
      <c r="D22" s="146"/>
      <c r="E22" s="146"/>
      <c r="F22" s="146"/>
      <c r="G22" s="146"/>
      <c r="H22" s="146"/>
      <c r="I22" s="146"/>
      <c r="J22" s="146"/>
    </row>
    <row r="23" spans="1:10">
      <c r="A23" s="146"/>
      <c r="B23" s="147"/>
      <c r="C23" s="148"/>
      <c r="D23" s="146"/>
      <c r="E23" s="146"/>
      <c r="F23" s="146"/>
      <c r="G23" s="146"/>
      <c r="H23" s="146"/>
      <c r="I23" s="146"/>
      <c r="J23" s="146"/>
    </row>
    <row r="25" spans="1:10">
      <c r="A25" s="146"/>
      <c r="C25" s="148"/>
      <c r="D25" s="146"/>
      <c r="E25" s="146"/>
      <c r="F25" s="146"/>
      <c r="G25" s="146"/>
      <c r="H25" s="146"/>
      <c r="I25" s="146"/>
      <c r="J25" s="146"/>
    </row>
    <row r="26" spans="1:10">
      <c r="A26" s="146"/>
      <c r="C26" s="148"/>
      <c r="D26" s="146"/>
      <c r="E26" s="146"/>
      <c r="F26" s="146"/>
      <c r="G26" s="146"/>
      <c r="H26" s="146"/>
      <c r="I26" s="146"/>
      <c r="J26" s="146"/>
    </row>
    <row r="27" spans="1:10">
      <c r="A27" s="146"/>
      <c r="C27" s="148"/>
      <c r="D27" s="146"/>
      <c r="E27" s="146"/>
      <c r="F27" s="146"/>
      <c r="G27" s="146"/>
      <c r="H27" s="146"/>
      <c r="I27" s="146"/>
      <c r="J27" s="146"/>
    </row>
    <row r="28" spans="1:10">
      <c r="A28" s="425"/>
      <c r="B28" s="425"/>
      <c r="C28" s="425"/>
      <c r="D28" s="425"/>
      <c r="E28" s="425"/>
      <c r="F28" s="425"/>
      <c r="G28" s="425"/>
      <c r="H28" s="425"/>
      <c r="I28" s="425"/>
      <c r="J28" s="425"/>
    </row>
    <row r="29" spans="1:10">
      <c r="A29" s="146"/>
      <c r="B29" s="147"/>
      <c r="C29" s="148"/>
      <c r="D29" s="146"/>
      <c r="E29" s="146"/>
      <c r="F29" s="146"/>
      <c r="G29" s="146"/>
      <c r="H29" s="146"/>
      <c r="I29" s="146"/>
      <c r="J29" s="146"/>
    </row>
    <row r="31" spans="1:10">
      <c r="A31" s="146"/>
      <c r="B31" s="147"/>
      <c r="C31" s="148"/>
      <c r="D31" s="146"/>
      <c r="E31" s="146"/>
      <c r="F31" s="146"/>
      <c r="G31" s="146"/>
      <c r="H31" s="146"/>
      <c r="I31" s="146"/>
      <c r="J31" s="146"/>
    </row>
    <row r="32" spans="1:10">
      <c r="A32" s="146"/>
      <c r="B32" s="147"/>
      <c r="C32" s="148"/>
      <c r="D32" s="146"/>
      <c r="E32" s="146"/>
      <c r="F32" s="146"/>
      <c r="G32" s="146"/>
      <c r="H32" s="146"/>
      <c r="I32" s="146"/>
      <c r="J32" s="146"/>
    </row>
    <row r="33" spans="1:10">
      <c r="A33" s="426"/>
      <c r="B33" s="426"/>
      <c r="C33" s="426"/>
      <c r="D33" s="426"/>
      <c r="E33" s="426"/>
      <c r="F33" s="426"/>
      <c r="G33" s="426"/>
      <c r="H33" s="426"/>
      <c r="I33" s="426"/>
      <c r="J33" s="426"/>
    </row>
    <row r="34" spans="1:10">
      <c r="B34" s="141"/>
      <c r="C34" s="141"/>
      <c r="D34" s="141"/>
      <c r="E34" s="141"/>
      <c r="F34" s="141"/>
      <c r="G34" s="141"/>
      <c r="H34" s="141"/>
      <c r="I34" s="141"/>
      <c r="J34" s="141"/>
    </row>
    <row r="37" spans="1:10">
      <c r="B37" s="144"/>
      <c r="C37" s="145"/>
    </row>
    <row r="39" spans="1:10">
      <c r="B39" s="149"/>
      <c r="C39" s="149"/>
      <c r="D39" s="149"/>
      <c r="E39" s="149"/>
      <c r="F39" s="149"/>
      <c r="G39" s="149"/>
      <c r="H39" s="149"/>
      <c r="I39" s="149"/>
    </row>
    <row r="50" spans="1:10">
      <c r="A50" s="427"/>
      <c r="B50" s="427"/>
      <c r="C50" s="427"/>
      <c r="D50" s="427"/>
      <c r="E50" s="427"/>
      <c r="F50" s="427"/>
      <c r="G50" s="427"/>
      <c r="H50" s="427"/>
      <c r="I50" s="427"/>
      <c r="J50" s="42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31" zoomScaleNormal="100" zoomScaleSheetLayoutView="100" workbookViewId="0">
      <selection activeCell="C1" sqref="C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3" width="9.28515625" style="76" bestFit="1" customWidth="1"/>
    <col min="14" max="14" width="9.85546875" style="76" bestFit="1" customWidth="1"/>
    <col min="15" max="16384" width="9.140625" style="76"/>
  </cols>
  <sheetData>
    <row r="1" spans="1:10" ht="18">
      <c r="A1" s="481" t="s">
        <v>296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6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.75" customHeight="1">
      <c r="A3" s="299">
        <f>'3.1'!A4</f>
        <v>2023</v>
      </c>
      <c r="B3" s="483" t="str">
        <f>'3.1'!D5</f>
        <v>Duben</v>
      </c>
      <c r="C3" s="482"/>
      <c r="D3" s="484"/>
      <c r="E3" s="482" t="str">
        <f>'3.1'!E5</f>
        <v>Květen</v>
      </c>
      <c r="F3" s="482"/>
      <c r="G3" s="482"/>
      <c r="H3" s="483" t="str">
        <f>'3.1'!F5</f>
        <v>Červen</v>
      </c>
      <c r="I3" s="482"/>
      <c r="J3" s="482"/>
    </row>
    <row r="4" spans="1:10" ht="28.5" customHeight="1">
      <c r="A4" s="273"/>
      <c r="B4" s="485" t="s">
        <v>60</v>
      </c>
      <c r="C4" s="486"/>
      <c r="D4" s="222" t="s">
        <v>183</v>
      </c>
      <c r="E4" s="486" t="s">
        <v>60</v>
      </c>
      <c r="F4" s="486"/>
      <c r="G4" s="219" t="s">
        <v>183</v>
      </c>
      <c r="H4" s="485" t="s">
        <v>60</v>
      </c>
      <c r="I4" s="486"/>
      <c r="J4" s="219" t="s">
        <v>183</v>
      </c>
    </row>
    <row r="5" spans="1:10" ht="15" customHeight="1">
      <c r="A5" s="261" t="s">
        <v>175</v>
      </c>
      <c r="B5" s="221" t="s">
        <v>261</v>
      </c>
      <c r="C5" s="219" t="s">
        <v>262</v>
      </c>
      <c r="D5" s="222" t="s">
        <v>230</v>
      </c>
      <c r="E5" s="219" t="s">
        <v>261</v>
      </c>
      <c r="F5" s="219" t="s">
        <v>262</v>
      </c>
      <c r="G5" s="219" t="s">
        <v>230</v>
      </c>
      <c r="H5" s="221" t="s">
        <v>261</v>
      </c>
      <c r="I5" s="219" t="s">
        <v>262</v>
      </c>
      <c r="J5" s="219" t="s">
        <v>230</v>
      </c>
    </row>
    <row r="6" spans="1:10" ht="12.6" customHeight="1">
      <c r="A6" s="154">
        <v>1</v>
      </c>
      <c r="B6" s="155">
        <v>17969.826770784992</v>
      </c>
      <c r="C6" s="156">
        <v>196016.1925489</v>
      </c>
      <c r="D6" s="267">
        <v>8.3000000000000007</v>
      </c>
      <c r="E6" s="156">
        <v>12666.011329497316</v>
      </c>
      <c r="F6" s="156">
        <v>138676.29465606451</v>
      </c>
      <c r="G6" s="255">
        <v>12.3</v>
      </c>
      <c r="H6" s="155">
        <v>9659.5791430956015</v>
      </c>
      <c r="I6" s="156">
        <v>105796.56698070002</v>
      </c>
      <c r="J6" s="255">
        <v>17.600000000000001</v>
      </c>
    </row>
    <row r="7" spans="1:10" ht="12.6" customHeight="1">
      <c r="A7" s="154">
        <v>2</v>
      </c>
      <c r="B7" s="155">
        <v>21985.030137650254</v>
      </c>
      <c r="C7" s="156">
        <v>239822.76254890001</v>
      </c>
      <c r="D7" s="267">
        <v>3.7</v>
      </c>
      <c r="E7" s="156">
        <v>13889.357301595428</v>
      </c>
      <c r="F7" s="156">
        <v>152070.6046560645</v>
      </c>
      <c r="G7" s="255">
        <v>11.5</v>
      </c>
      <c r="H7" s="155">
        <v>9285.8356247283718</v>
      </c>
      <c r="I7" s="156">
        <v>101706.31198070002</v>
      </c>
      <c r="J7" s="255">
        <v>14.9</v>
      </c>
    </row>
    <row r="8" spans="1:10" ht="12.6" customHeight="1">
      <c r="A8" s="154">
        <v>3</v>
      </c>
      <c r="B8" s="155">
        <v>27039.19654389768</v>
      </c>
      <c r="C8" s="156">
        <v>294958.39154889999</v>
      </c>
      <c r="D8" s="267">
        <v>0.8</v>
      </c>
      <c r="E8" s="156">
        <v>15236.391141396358</v>
      </c>
      <c r="F8" s="156">
        <v>166808.50265606452</v>
      </c>
      <c r="G8" s="255">
        <v>9</v>
      </c>
      <c r="H8" s="155">
        <v>9077.7653564891971</v>
      </c>
      <c r="I8" s="156">
        <v>99579.970980700018</v>
      </c>
      <c r="J8" s="255">
        <v>13.2</v>
      </c>
    </row>
    <row r="9" spans="1:10" ht="12.6" customHeight="1">
      <c r="A9" s="154">
        <v>4</v>
      </c>
      <c r="B9" s="155">
        <v>29977.184981210052</v>
      </c>
      <c r="C9" s="156">
        <v>327019.43854890001</v>
      </c>
      <c r="D9" s="267">
        <v>-0.4</v>
      </c>
      <c r="E9" s="156">
        <v>13789.672435077184</v>
      </c>
      <c r="F9" s="156">
        <v>150974.68265606451</v>
      </c>
      <c r="G9" s="255">
        <v>11.1</v>
      </c>
      <c r="H9" s="155">
        <v>9440.1100015066568</v>
      </c>
      <c r="I9" s="156">
        <v>103473.26898070001</v>
      </c>
      <c r="J9" s="255">
        <v>15.4</v>
      </c>
    </row>
    <row r="10" spans="1:10" ht="12.6" customHeight="1">
      <c r="A10" s="154">
        <v>5</v>
      </c>
      <c r="B10" s="155">
        <v>29609.716355053297</v>
      </c>
      <c r="C10" s="156">
        <v>322940.99154890003</v>
      </c>
      <c r="D10" s="267">
        <v>0.2</v>
      </c>
      <c r="E10" s="156">
        <v>11483.963869675494</v>
      </c>
      <c r="F10" s="156">
        <v>125732.32165606451</v>
      </c>
      <c r="G10" s="255">
        <v>14.6</v>
      </c>
      <c r="H10" s="155">
        <v>11500.367136831252</v>
      </c>
      <c r="I10" s="156">
        <v>125969.91998070001</v>
      </c>
      <c r="J10" s="255">
        <v>15</v>
      </c>
    </row>
    <row r="11" spans="1:10" ht="12.6" customHeight="1">
      <c r="A11" s="154">
        <v>6</v>
      </c>
      <c r="B11" s="155">
        <v>24867.96512613611</v>
      </c>
      <c r="C11" s="156">
        <v>271264.51754889998</v>
      </c>
      <c r="D11" s="267">
        <v>2.2000000000000002</v>
      </c>
      <c r="E11" s="156">
        <v>10012.756999839588</v>
      </c>
      <c r="F11" s="156">
        <v>109625.20365606451</v>
      </c>
      <c r="G11" s="255">
        <v>13</v>
      </c>
      <c r="H11" s="155">
        <v>12793.931463057972</v>
      </c>
      <c r="I11" s="156">
        <v>140119.0239807</v>
      </c>
      <c r="J11" s="255">
        <v>15.8</v>
      </c>
    </row>
    <row r="12" spans="1:10" ht="12.6" customHeight="1">
      <c r="A12" s="154">
        <v>7</v>
      </c>
      <c r="B12" s="155">
        <v>22626.221192284287</v>
      </c>
      <c r="C12" s="156">
        <v>246811.51754890001</v>
      </c>
      <c r="D12" s="267">
        <v>3.5</v>
      </c>
      <c r="E12" s="156">
        <v>11332.465476336763</v>
      </c>
      <c r="F12" s="156">
        <v>124075.54465606451</v>
      </c>
      <c r="G12" s="255">
        <v>9.3000000000000007</v>
      </c>
      <c r="H12" s="155">
        <v>12353.429605714695</v>
      </c>
      <c r="I12" s="156">
        <v>135283.7659807</v>
      </c>
      <c r="J12" s="255">
        <v>17.100000000000001</v>
      </c>
    </row>
    <row r="13" spans="1:10" ht="12.6" customHeight="1">
      <c r="A13" s="154">
        <v>8</v>
      </c>
      <c r="B13" s="155">
        <v>21326.653022798808</v>
      </c>
      <c r="C13" s="156">
        <v>232635.45454890002</v>
      </c>
      <c r="D13" s="267">
        <v>3.9</v>
      </c>
      <c r="E13" s="156">
        <v>12519.098801497219</v>
      </c>
      <c r="F13" s="156">
        <v>137063.40265606451</v>
      </c>
      <c r="G13" s="255">
        <v>9.4</v>
      </c>
      <c r="H13" s="155">
        <v>10995.333270497114</v>
      </c>
      <c r="I13" s="156">
        <v>120448.82598070001</v>
      </c>
      <c r="J13" s="255">
        <v>17.3</v>
      </c>
    </row>
    <row r="14" spans="1:10" ht="12.6" customHeight="1">
      <c r="A14" s="154">
        <v>9</v>
      </c>
      <c r="B14" s="155">
        <v>19950.803028820468</v>
      </c>
      <c r="C14" s="156">
        <v>217625.65554890002</v>
      </c>
      <c r="D14" s="267">
        <v>5.4</v>
      </c>
      <c r="E14" s="156">
        <v>13707.202247545707</v>
      </c>
      <c r="F14" s="156">
        <v>150066.84265606452</v>
      </c>
      <c r="G14" s="255">
        <v>11.1</v>
      </c>
      <c r="H14" s="155">
        <v>9217.2521863101701</v>
      </c>
      <c r="I14" s="156">
        <v>100944.15898070001</v>
      </c>
      <c r="J14" s="255">
        <v>17.100000000000001</v>
      </c>
    </row>
    <row r="15" spans="1:10" ht="12.6" customHeight="1">
      <c r="A15" s="154">
        <v>10</v>
      </c>
      <c r="B15" s="155">
        <v>18850.614328334177</v>
      </c>
      <c r="C15" s="156">
        <v>205619.73254890001</v>
      </c>
      <c r="D15" s="267">
        <v>7</v>
      </c>
      <c r="E15" s="156">
        <v>13013.559969180746</v>
      </c>
      <c r="F15" s="156">
        <v>142468.61365606452</v>
      </c>
      <c r="G15" s="255">
        <v>12.8</v>
      </c>
      <c r="H15" s="155">
        <v>7576.3962278854988</v>
      </c>
      <c r="I15" s="156">
        <v>82974.395980700021</v>
      </c>
      <c r="J15" s="255">
        <v>17.600000000000001</v>
      </c>
    </row>
    <row r="16" spans="1:10" ht="12.6" customHeight="1">
      <c r="A16" s="154">
        <v>11</v>
      </c>
      <c r="B16" s="155">
        <v>22993.714404883722</v>
      </c>
      <c r="C16" s="156">
        <v>250814.63454890001</v>
      </c>
      <c r="D16" s="267">
        <v>5.2</v>
      </c>
      <c r="E16" s="156">
        <v>12777.083029218746</v>
      </c>
      <c r="F16" s="156">
        <v>139879.9366560645</v>
      </c>
      <c r="G16" s="255">
        <v>13.4</v>
      </c>
      <c r="H16" s="155">
        <v>7806.2099607083637</v>
      </c>
      <c r="I16" s="156">
        <v>85492.528980700023</v>
      </c>
      <c r="J16" s="255">
        <v>17.600000000000001</v>
      </c>
    </row>
    <row r="17" spans="1:10" ht="12.6" customHeight="1">
      <c r="A17" s="154">
        <v>12</v>
      </c>
      <c r="B17" s="155">
        <v>21010.400449578246</v>
      </c>
      <c r="C17" s="156">
        <v>229172.21754890002</v>
      </c>
      <c r="D17" s="267">
        <v>7.2</v>
      </c>
      <c r="E17" s="156">
        <v>12173.236434049802</v>
      </c>
      <c r="F17" s="156">
        <v>133266.5726560645</v>
      </c>
      <c r="G17" s="255">
        <v>11.9</v>
      </c>
      <c r="H17" s="155">
        <v>10770.338988123855</v>
      </c>
      <c r="I17" s="156">
        <v>117869.62198070002</v>
      </c>
      <c r="J17" s="255">
        <v>15.5</v>
      </c>
    </row>
    <row r="18" spans="1:10" ht="12.6" customHeight="1">
      <c r="A18" s="154">
        <v>13</v>
      </c>
      <c r="B18" s="155">
        <v>22653.851832291341</v>
      </c>
      <c r="C18" s="156">
        <v>247149.7305489</v>
      </c>
      <c r="D18" s="268">
        <v>6.8</v>
      </c>
      <c r="E18" s="156">
        <v>10970.693083446924</v>
      </c>
      <c r="F18" s="156">
        <v>120107.62765606451</v>
      </c>
      <c r="G18" s="256">
        <v>11.2</v>
      </c>
      <c r="H18" s="155">
        <v>12445.582788321197</v>
      </c>
      <c r="I18" s="156">
        <v>136210.44098070002</v>
      </c>
      <c r="J18" s="256">
        <v>14.3</v>
      </c>
    </row>
    <row r="19" spans="1:10" ht="12.6" customHeight="1">
      <c r="A19" s="154">
        <v>14</v>
      </c>
      <c r="B19" s="155">
        <v>24334.543764991835</v>
      </c>
      <c r="C19" s="156">
        <v>265497.24254890002</v>
      </c>
      <c r="D19" s="268">
        <v>6.1</v>
      </c>
      <c r="E19" s="156">
        <v>11541.041498055363</v>
      </c>
      <c r="F19" s="156">
        <v>126351.68065606451</v>
      </c>
      <c r="G19" s="256">
        <v>11.1</v>
      </c>
      <c r="H19" s="155">
        <v>11798.594054128371</v>
      </c>
      <c r="I19" s="156">
        <v>129208.72998070001</v>
      </c>
      <c r="J19" s="256">
        <v>14.2</v>
      </c>
    </row>
    <row r="20" spans="1:10" ht="12.6" customHeight="1">
      <c r="A20" s="154">
        <v>15</v>
      </c>
      <c r="B20" s="155">
        <v>19204.316494856266</v>
      </c>
      <c r="C20" s="156">
        <v>209482.27854890001</v>
      </c>
      <c r="D20" s="268">
        <v>5.8</v>
      </c>
      <c r="E20" s="156">
        <v>13595.663280543959</v>
      </c>
      <c r="F20" s="156">
        <v>148843.04965606451</v>
      </c>
      <c r="G20" s="256">
        <v>11.2</v>
      </c>
      <c r="H20" s="155">
        <v>11700.702502037206</v>
      </c>
      <c r="I20" s="156">
        <v>128107.76798070001</v>
      </c>
      <c r="J20" s="256">
        <v>15</v>
      </c>
    </row>
    <row r="21" spans="1:10" ht="12.6" customHeight="1">
      <c r="A21" s="154">
        <v>16</v>
      </c>
      <c r="B21" s="155">
        <v>17847.787302985653</v>
      </c>
      <c r="C21" s="156">
        <v>194676.8475489</v>
      </c>
      <c r="D21" s="268">
        <v>8.1</v>
      </c>
      <c r="E21" s="156">
        <v>14153.475305057793</v>
      </c>
      <c r="F21" s="156">
        <v>154947.1406560645</v>
      </c>
      <c r="G21" s="256">
        <v>10.9</v>
      </c>
      <c r="H21" s="155">
        <v>11336.572397719159</v>
      </c>
      <c r="I21" s="156">
        <v>124204.15098070001</v>
      </c>
      <c r="J21" s="256">
        <v>15.4</v>
      </c>
    </row>
    <row r="22" spans="1:10" ht="12.6" customHeight="1">
      <c r="A22" s="154">
        <v>17</v>
      </c>
      <c r="B22" s="155">
        <v>20793.925585679695</v>
      </c>
      <c r="C22" s="156">
        <v>226876.06354890001</v>
      </c>
      <c r="D22" s="268">
        <v>8.8000000000000007</v>
      </c>
      <c r="E22" s="156">
        <v>15898.762296599672</v>
      </c>
      <c r="F22" s="156">
        <v>174057.90865606451</v>
      </c>
      <c r="G22" s="256">
        <v>8.5</v>
      </c>
      <c r="H22" s="155">
        <v>9739.8181512829578</v>
      </c>
      <c r="I22" s="156">
        <v>106739.68298070002</v>
      </c>
      <c r="J22" s="256">
        <v>15.4</v>
      </c>
    </row>
    <row r="23" spans="1:10" ht="12.6" customHeight="1">
      <c r="A23" s="154">
        <v>18</v>
      </c>
      <c r="B23" s="155">
        <v>19767.204504787172</v>
      </c>
      <c r="C23" s="257">
        <v>215606.91054890002</v>
      </c>
      <c r="D23" s="269">
        <v>9.1999999999999993</v>
      </c>
      <c r="E23" s="156">
        <v>15161.335749661455</v>
      </c>
      <c r="F23" s="257">
        <v>165989.60065606452</v>
      </c>
      <c r="G23" s="258">
        <v>9.6999999999999993</v>
      </c>
      <c r="H23" s="155">
        <v>8462.6920649326676</v>
      </c>
      <c r="I23" s="257">
        <v>92750.116980700011</v>
      </c>
      <c r="J23" s="258">
        <v>18.399999999999999</v>
      </c>
    </row>
    <row r="24" spans="1:10" ht="12.6" customHeight="1">
      <c r="A24" s="154">
        <v>19</v>
      </c>
      <c r="B24" s="155">
        <v>20934.473092335986</v>
      </c>
      <c r="C24" s="257">
        <v>228333.38754890001</v>
      </c>
      <c r="D24" s="269">
        <v>5.7</v>
      </c>
      <c r="E24" s="156">
        <v>13301.747127539455</v>
      </c>
      <c r="F24" s="257">
        <v>145627.36765606451</v>
      </c>
      <c r="G24" s="258">
        <v>11.8</v>
      </c>
      <c r="H24" s="155">
        <v>11320.387541560853</v>
      </c>
      <c r="I24" s="257">
        <v>123981.56598070002</v>
      </c>
      <c r="J24" s="258">
        <v>20.5</v>
      </c>
    </row>
    <row r="25" spans="1:10" ht="12.6" customHeight="1">
      <c r="A25" s="154">
        <v>20</v>
      </c>
      <c r="B25" s="155">
        <v>20227.872644001884</v>
      </c>
      <c r="C25" s="156">
        <v>220634.14454890002</v>
      </c>
      <c r="D25" s="268">
        <v>8.4</v>
      </c>
      <c r="E25" s="156">
        <v>9491.490529409848</v>
      </c>
      <c r="F25" s="156">
        <v>103912.0706560645</v>
      </c>
      <c r="G25" s="256">
        <v>16</v>
      </c>
      <c r="H25" s="155">
        <v>11651.402679115006</v>
      </c>
      <c r="I25" s="156">
        <v>127571.76198070002</v>
      </c>
      <c r="J25" s="256">
        <v>23.5</v>
      </c>
    </row>
    <row r="26" spans="1:10" ht="12.6" customHeight="1">
      <c r="A26" s="154">
        <v>21</v>
      </c>
      <c r="B26" s="155">
        <v>16203.281356968591</v>
      </c>
      <c r="C26" s="156">
        <v>176729.9615489</v>
      </c>
      <c r="D26" s="268">
        <v>11.1</v>
      </c>
      <c r="E26" s="156">
        <v>8724.4442810150285</v>
      </c>
      <c r="F26" s="156">
        <v>95511.898656064513</v>
      </c>
      <c r="G26" s="256">
        <v>18.3</v>
      </c>
      <c r="H26" s="155">
        <v>12089.708807792453</v>
      </c>
      <c r="I26" s="156">
        <v>132445.40498070003</v>
      </c>
      <c r="J26" s="256">
        <v>22.4</v>
      </c>
    </row>
    <row r="27" spans="1:10" ht="12.6" customHeight="1">
      <c r="A27" s="154">
        <v>22</v>
      </c>
      <c r="B27" s="155">
        <v>12561.242829915278</v>
      </c>
      <c r="C27" s="156">
        <v>137000.26654890002</v>
      </c>
      <c r="D27" s="268">
        <v>12.4</v>
      </c>
      <c r="E27" s="156">
        <v>10111.377484614322</v>
      </c>
      <c r="F27" s="156">
        <v>110682.96565606451</v>
      </c>
      <c r="G27" s="256">
        <v>18.399999999999999</v>
      </c>
      <c r="H27" s="155">
        <v>11337.873983406482</v>
      </c>
      <c r="I27" s="156">
        <v>124170.64398070001</v>
      </c>
      <c r="J27" s="256">
        <v>24</v>
      </c>
    </row>
    <row r="28" spans="1:10" ht="12.6" customHeight="1">
      <c r="A28" s="154">
        <v>23</v>
      </c>
      <c r="B28" s="265">
        <v>13076.723009597281</v>
      </c>
      <c r="C28" s="259">
        <v>142624.2165489</v>
      </c>
      <c r="D28" s="267">
        <v>12.6</v>
      </c>
      <c r="E28" s="259">
        <v>10197.599430755572</v>
      </c>
      <c r="F28" s="259">
        <v>111625.34865606451</v>
      </c>
      <c r="G28" s="255">
        <v>15.5</v>
      </c>
      <c r="H28" s="265">
        <v>10003.211785580283</v>
      </c>
      <c r="I28" s="259">
        <v>109616.47498070002</v>
      </c>
      <c r="J28" s="255">
        <v>18.8</v>
      </c>
    </row>
    <row r="29" spans="1:10" ht="12.6" customHeight="1">
      <c r="A29" s="154">
        <v>24</v>
      </c>
      <c r="B29" s="266">
        <v>16405.690115553789</v>
      </c>
      <c r="C29" s="260">
        <v>178932.4885489</v>
      </c>
      <c r="D29" s="267">
        <v>10.199999999999999</v>
      </c>
      <c r="E29" s="260">
        <v>12238.440651604089</v>
      </c>
      <c r="F29" s="260">
        <v>133994.9226560645</v>
      </c>
      <c r="G29" s="255">
        <v>11.4</v>
      </c>
      <c r="H29" s="266">
        <v>8212.6280614252282</v>
      </c>
      <c r="I29" s="260">
        <v>89969.106980700017</v>
      </c>
      <c r="J29" s="255">
        <v>16.899999999999999</v>
      </c>
    </row>
    <row r="30" spans="1:10" ht="12.6" customHeight="1">
      <c r="A30" s="154">
        <v>25</v>
      </c>
      <c r="B30" s="155">
        <v>18106.386013611074</v>
      </c>
      <c r="C30" s="156">
        <v>197489.72354890002</v>
      </c>
      <c r="D30" s="268">
        <v>7.2</v>
      </c>
      <c r="E30" s="156">
        <v>12029.42547373363</v>
      </c>
      <c r="F30" s="156">
        <v>131723.58965606452</v>
      </c>
      <c r="G30" s="256">
        <v>13.9</v>
      </c>
      <c r="H30" s="155">
        <v>7540.0808956570336</v>
      </c>
      <c r="I30" s="156">
        <v>82589.19498070002</v>
      </c>
      <c r="J30" s="256">
        <v>19.5</v>
      </c>
    </row>
    <row r="31" spans="1:10" ht="12.6" customHeight="1">
      <c r="A31" s="154">
        <v>26</v>
      </c>
      <c r="B31" s="155">
        <v>21073.744181699749</v>
      </c>
      <c r="C31" s="156">
        <v>229943.05754890002</v>
      </c>
      <c r="D31" s="268">
        <v>4.9000000000000004</v>
      </c>
      <c r="E31" s="156">
        <v>9708.7794973013733</v>
      </c>
      <c r="F31" s="156">
        <v>106287.33265606451</v>
      </c>
      <c r="G31" s="256">
        <v>14.5</v>
      </c>
      <c r="H31" s="155">
        <v>10718.962977410019</v>
      </c>
      <c r="I31" s="156">
        <v>117419.17098070002</v>
      </c>
      <c r="J31" s="256">
        <v>21.8</v>
      </c>
    </row>
    <row r="32" spans="1:10" ht="12.6" customHeight="1">
      <c r="A32" s="154">
        <v>27</v>
      </c>
      <c r="B32" s="155">
        <v>20570.139488285662</v>
      </c>
      <c r="C32" s="156">
        <v>224457.07754890001</v>
      </c>
      <c r="D32" s="268">
        <v>6.2</v>
      </c>
      <c r="E32" s="156">
        <v>8126.412081026072</v>
      </c>
      <c r="F32" s="156">
        <v>88969.79165606451</v>
      </c>
      <c r="G32" s="256">
        <v>13.5</v>
      </c>
      <c r="H32" s="155">
        <v>10967.662253967395</v>
      </c>
      <c r="I32" s="156">
        <v>120137.02798070002</v>
      </c>
      <c r="J32" s="256">
        <v>15.7</v>
      </c>
    </row>
    <row r="33" spans="1:15" ht="12.6" customHeight="1">
      <c r="A33" s="154">
        <v>28</v>
      </c>
      <c r="B33" s="155">
        <v>17297.881810506893</v>
      </c>
      <c r="C33" s="156">
        <v>188678.88354890002</v>
      </c>
      <c r="D33" s="268">
        <v>9.3000000000000007</v>
      </c>
      <c r="E33" s="156">
        <v>8364.790356194826</v>
      </c>
      <c r="F33" s="156">
        <v>91578.926656064505</v>
      </c>
      <c r="G33" s="256">
        <v>14.7</v>
      </c>
      <c r="H33" s="155">
        <v>12740.533856847142</v>
      </c>
      <c r="I33" s="156">
        <v>139625.58998070002</v>
      </c>
      <c r="J33" s="256">
        <v>15.9</v>
      </c>
    </row>
    <row r="34" spans="1:15" ht="12.6" customHeight="1">
      <c r="A34" s="154">
        <v>29</v>
      </c>
      <c r="B34" s="155">
        <v>14080.182639745302</v>
      </c>
      <c r="C34" s="156">
        <v>153580.7525489</v>
      </c>
      <c r="D34" s="268">
        <v>10.9</v>
      </c>
      <c r="E34" s="156">
        <v>9696.0468722300211</v>
      </c>
      <c r="F34" s="156">
        <v>106150.3696560645</v>
      </c>
      <c r="G34" s="256">
        <v>16</v>
      </c>
      <c r="H34" s="155">
        <v>10862.216197512931</v>
      </c>
      <c r="I34" s="156">
        <v>119037.29098070001</v>
      </c>
      <c r="J34" s="256">
        <v>18.899999999999999</v>
      </c>
    </row>
    <row r="35" spans="1:15" ht="12.6" customHeight="1">
      <c r="A35" s="154">
        <v>30</v>
      </c>
      <c r="B35" s="155">
        <v>13121.181505996201</v>
      </c>
      <c r="C35" s="156">
        <v>143121.1735489</v>
      </c>
      <c r="D35" s="268">
        <v>9.6999999999999993</v>
      </c>
      <c r="E35" s="156">
        <v>11840.293446580799</v>
      </c>
      <c r="F35" s="156">
        <v>129695.89065606451</v>
      </c>
      <c r="G35" s="256">
        <v>15.1</v>
      </c>
      <c r="H35" s="155">
        <v>10547.929093100782</v>
      </c>
      <c r="I35" s="156">
        <v>115571.46198070001</v>
      </c>
      <c r="J35" s="256">
        <v>19.100000000000001</v>
      </c>
    </row>
    <row r="36" spans="1:15" ht="12.6" customHeight="1">
      <c r="A36" s="159">
        <v>31</v>
      </c>
      <c r="B36" s="160"/>
      <c r="C36" s="161"/>
      <c r="D36" s="270"/>
      <c r="E36" s="161">
        <v>11100.958447378896</v>
      </c>
      <c r="F36" s="161">
        <v>121605.71365606452</v>
      </c>
      <c r="G36" s="262">
        <v>16.100000000000001</v>
      </c>
      <c r="H36" s="160"/>
      <c r="I36" s="161"/>
      <c r="J36" s="262"/>
    </row>
    <row r="37" spans="1:15" ht="12.6" customHeight="1">
      <c r="A37" s="263" t="s">
        <v>0</v>
      </c>
      <c r="B37" s="169">
        <f>SUM(B6:B36)</f>
        <v>606467.7545152416</v>
      </c>
      <c r="C37" s="170">
        <f>SUM(C6:C36)</f>
        <v>6615515.713467001</v>
      </c>
      <c r="D37" s="271">
        <f>AVERAGE(D6:D36)</f>
        <v>6.6799999999999988</v>
      </c>
      <c r="E37" s="170">
        <f>SUM(E6:E36)</f>
        <v>368853.57592765952</v>
      </c>
      <c r="F37" s="170">
        <f>SUM(F6:F36)</f>
        <v>4038371.7193379998</v>
      </c>
      <c r="G37" s="264">
        <f>AVERAGE(G6:G36)</f>
        <v>12.812903225806451</v>
      </c>
      <c r="H37" s="169">
        <f>SUM(H6:H36)</f>
        <v>313953.10905674595</v>
      </c>
      <c r="I37" s="170">
        <f>SUM(I6:I36)</f>
        <v>3439013.9464209997</v>
      </c>
      <c r="J37" s="264">
        <f>AVERAGE(J6:J36)</f>
        <v>17.459999999999994</v>
      </c>
      <c r="M37" s="41"/>
      <c r="N37" s="41"/>
      <c r="O37" s="77"/>
    </row>
    <row r="38" spans="1:15" ht="12.95" customHeight="1">
      <c r="A38" s="154" t="s">
        <v>176</v>
      </c>
      <c r="B38" s="155">
        <f>MAX(B6:B36)</f>
        <v>29977.184981210052</v>
      </c>
      <c r="C38" s="156">
        <f>MAX(C6:C36)</f>
        <v>327019.43854890001</v>
      </c>
      <c r="D38" s="268">
        <f>VLOOKUP(B38,$B$6:$D$36,3,FALSE)</f>
        <v>-0.4</v>
      </c>
      <c r="E38" s="156">
        <f>MAX(E6:E36)</f>
        <v>15898.762296599672</v>
      </c>
      <c r="F38" s="156">
        <f>MAX(F6:F36)</f>
        <v>174057.90865606451</v>
      </c>
      <c r="G38" s="256">
        <f>VLOOKUP(E38,$E$6:$G$36,3,FALSE)</f>
        <v>8.5</v>
      </c>
      <c r="H38" s="155">
        <f>MAX(H6:H36)</f>
        <v>12793.931463057972</v>
      </c>
      <c r="I38" s="156">
        <f>MAX(I6:I36)</f>
        <v>140119.0239807</v>
      </c>
      <c r="J38" s="256">
        <f>VLOOKUP(H38,$H$6:$J$36,3,FALSE)</f>
        <v>15.8</v>
      </c>
    </row>
    <row r="39" spans="1:15" ht="12.95" customHeight="1">
      <c r="A39" s="154" t="s">
        <v>177</v>
      </c>
      <c r="B39" s="155">
        <f>MIN(B6:B36)</f>
        <v>12561.242829915278</v>
      </c>
      <c r="C39" s="156">
        <f>MIN(C6:C36)</f>
        <v>137000.26654890002</v>
      </c>
      <c r="D39" s="268">
        <f>VLOOKUP(B39,$B$6:$D$36,3,FALSE)</f>
        <v>12.4</v>
      </c>
      <c r="E39" s="156">
        <f>MIN(E6:E36)</f>
        <v>8126.412081026072</v>
      </c>
      <c r="F39" s="156">
        <f>MIN(F6:F36)</f>
        <v>88969.79165606451</v>
      </c>
      <c r="G39" s="256">
        <f>VLOOKUP(E39,$E$6:$G$36,3,FALSE)</f>
        <v>13.5</v>
      </c>
      <c r="H39" s="155">
        <f>MIN(H6:H36)</f>
        <v>7540.0808956570336</v>
      </c>
      <c r="I39" s="156">
        <f>MIN(I6:I36)</f>
        <v>82589.19498070002</v>
      </c>
      <c r="J39" s="256">
        <f>VLOOKUP(H39,$H$6:$J$36,3,FALSE)</f>
        <v>19.5</v>
      </c>
    </row>
    <row r="40" spans="1:15" ht="12.95" customHeight="1">
      <c r="A40" s="159" t="s">
        <v>178</v>
      </c>
      <c r="B40" s="160">
        <f t="shared" ref="B40:J40" si="0">AVERAGE(B6:B36)</f>
        <v>20215.591817174722</v>
      </c>
      <c r="C40" s="161">
        <f t="shared" si="0"/>
        <v>220517.19044890004</v>
      </c>
      <c r="D40" s="270">
        <f t="shared" si="0"/>
        <v>6.6799999999999988</v>
      </c>
      <c r="E40" s="161">
        <f t="shared" si="0"/>
        <v>11898.50244927934</v>
      </c>
      <c r="F40" s="161">
        <f>AVERAGE(F6:F36)</f>
        <v>130270.05546251612</v>
      </c>
      <c r="G40" s="262">
        <f>AVERAGE(G6:G36)</f>
        <v>12.812903225806451</v>
      </c>
      <c r="H40" s="160">
        <f>AVERAGE(H6:H36)</f>
        <v>10465.103635224865</v>
      </c>
      <c r="I40" s="161">
        <f t="shared" si="0"/>
        <v>114633.79821403332</v>
      </c>
      <c r="J40" s="262">
        <f t="shared" si="0"/>
        <v>17.459999999999994</v>
      </c>
    </row>
    <row r="41" spans="1:15" ht="15" customHeight="1">
      <c r="A41" s="43"/>
      <c r="B41" s="478" t="str">
        <f>B3</f>
        <v>Duben</v>
      </c>
      <c r="C41" s="479"/>
      <c r="D41" s="480"/>
      <c r="E41" s="478" t="str">
        <f>E3</f>
        <v>Květen</v>
      </c>
      <c r="F41" s="479"/>
      <c r="G41" s="480"/>
      <c r="H41" s="478" t="str">
        <f>H3</f>
        <v>Červen</v>
      </c>
      <c r="I41" s="479"/>
      <c r="J41" s="479"/>
    </row>
    <row r="42" spans="1:15" ht="15" customHeight="1">
      <c r="A42" s="43"/>
      <c r="B42" s="298" t="s">
        <v>269</v>
      </c>
      <c r="C42" s="79"/>
      <c r="D42" s="296"/>
      <c r="E42" s="298" t="s">
        <v>269</v>
      </c>
      <c r="F42" s="79"/>
      <c r="G42" s="79"/>
      <c r="H42" s="298" t="s">
        <v>269</v>
      </c>
      <c r="I42" s="79"/>
      <c r="J42" s="79"/>
    </row>
    <row r="43" spans="1:15" ht="21" customHeight="1">
      <c r="A43" s="43"/>
      <c r="B43" s="292"/>
      <c r="C43" s="79"/>
      <c r="D43" s="296"/>
      <c r="E43" s="79"/>
      <c r="F43" s="79"/>
      <c r="G43" s="79"/>
      <c r="H43" s="292"/>
      <c r="I43" s="79"/>
      <c r="J43" s="79"/>
    </row>
    <row r="44" spans="1:15" ht="21" customHeight="1">
      <c r="B44" s="292"/>
      <c r="C44" s="79"/>
      <c r="D44" s="296"/>
      <c r="E44" s="79"/>
      <c r="F44" s="79"/>
      <c r="G44" s="79"/>
      <c r="H44" s="292"/>
      <c r="I44" s="79"/>
      <c r="J44" s="79"/>
    </row>
    <row r="45" spans="1:15" ht="21" customHeight="1">
      <c r="B45" s="293" t="s">
        <v>267</v>
      </c>
      <c r="C45" s="81">
        <f>B38</f>
        <v>29977.184981210052</v>
      </c>
      <c r="D45" s="296"/>
      <c r="E45" s="80" t="s">
        <v>267</v>
      </c>
      <c r="F45" s="81">
        <f>E38</f>
        <v>15898.762296599672</v>
      </c>
      <c r="G45" s="79"/>
      <c r="H45" s="293" t="s">
        <v>267</v>
      </c>
      <c r="I45" s="81">
        <f>H38</f>
        <v>12793.931463057972</v>
      </c>
      <c r="J45" s="79"/>
    </row>
    <row r="46" spans="1:15" ht="21" customHeight="1">
      <c r="B46" s="294" t="s">
        <v>268</v>
      </c>
      <c r="C46" s="81">
        <f t="shared" ref="C46:C47" si="1">B39</f>
        <v>12561.242829915278</v>
      </c>
      <c r="D46" s="296"/>
      <c r="E46" s="82" t="s">
        <v>268</v>
      </c>
      <c r="F46" s="81">
        <f t="shared" ref="F46:F47" si="2">E39</f>
        <v>8126.412081026072</v>
      </c>
      <c r="G46" s="79"/>
      <c r="H46" s="294" t="s">
        <v>268</v>
      </c>
      <c r="I46" s="81">
        <f t="shared" ref="I46:I47" si="3">H39</f>
        <v>7540.0808956570336</v>
      </c>
      <c r="J46" s="79"/>
    </row>
    <row r="47" spans="1:15" ht="21" customHeight="1">
      <c r="B47" s="294" t="s">
        <v>62</v>
      </c>
      <c r="C47" s="81">
        <f t="shared" si="1"/>
        <v>20215.591817174722</v>
      </c>
      <c r="D47" s="296"/>
      <c r="E47" s="82" t="s">
        <v>62</v>
      </c>
      <c r="F47" s="81">
        <f t="shared" si="2"/>
        <v>11898.50244927934</v>
      </c>
      <c r="G47" s="79"/>
      <c r="H47" s="294" t="s">
        <v>62</v>
      </c>
      <c r="I47" s="81">
        <f t="shared" si="3"/>
        <v>10465.103635224865</v>
      </c>
      <c r="J47" s="79"/>
    </row>
    <row r="48" spans="1:15" ht="21" customHeight="1">
      <c r="B48" s="292"/>
      <c r="C48" s="79"/>
      <c r="D48" s="296"/>
      <c r="E48" s="79"/>
      <c r="F48" s="79"/>
      <c r="G48" s="79"/>
      <c r="H48" s="292"/>
      <c r="I48" s="79"/>
      <c r="J48" s="79"/>
    </row>
    <row r="49" spans="1:10" ht="21" customHeight="1">
      <c r="B49" s="292"/>
      <c r="C49" s="79"/>
      <c r="D49" s="296"/>
      <c r="E49" s="79"/>
      <c r="F49" s="79"/>
      <c r="G49" s="79"/>
      <c r="H49" s="292"/>
      <c r="I49" s="79"/>
      <c r="J49" s="79"/>
    </row>
    <row r="50" spans="1:10" ht="21" customHeight="1">
      <c r="B50" s="292"/>
      <c r="C50" s="79"/>
      <c r="D50" s="296"/>
      <c r="E50" s="79"/>
      <c r="F50" s="79"/>
      <c r="G50" s="79"/>
      <c r="H50" s="292"/>
      <c r="I50" s="79"/>
      <c r="J50" s="79"/>
    </row>
    <row r="51" spans="1:10" ht="21" customHeight="1">
      <c r="A51" s="279"/>
      <c r="B51" s="295"/>
      <c r="C51" s="279"/>
      <c r="D51" s="297"/>
      <c r="E51" s="279"/>
      <c r="F51" s="279"/>
      <c r="G51" s="279"/>
      <c r="H51" s="295"/>
      <c r="I51" s="279"/>
      <c r="J51" s="279"/>
    </row>
    <row r="52" spans="1:10" ht="12.75" customHeight="1">
      <c r="A52" s="132" t="s">
        <v>179</v>
      </c>
      <c r="B52" s="282">
        <v>1099.8482117833908</v>
      </c>
      <c r="C52" s="283">
        <v>11997.444337823797</v>
      </c>
      <c r="D52" s="288" t="s">
        <v>208</v>
      </c>
      <c r="E52" s="41">
        <v>731.41914970906737</v>
      </c>
      <c r="F52" s="41">
        <v>8007.8996163687461</v>
      </c>
      <c r="G52" s="274" t="s">
        <v>208</v>
      </c>
      <c r="H52" s="282">
        <v>90.453059433328661</v>
      </c>
      <c r="I52" s="283">
        <v>990.81462777118247</v>
      </c>
      <c r="J52" s="284" t="s">
        <v>208</v>
      </c>
    </row>
    <row r="53" spans="1:10" ht="12.95" customHeight="1">
      <c r="A53" s="276" t="s">
        <v>180</v>
      </c>
      <c r="B53" s="285">
        <v>1102.332003572137</v>
      </c>
      <c r="C53" s="277">
        <v>12024.538216245353</v>
      </c>
      <c r="D53" s="289" t="s">
        <v>208</v>
      </c>
      <c r="E53" s="277">
        <v>647.45573724515634</v>
      </c>
      <c r="F53" s="277">
        <v>7088.6311247983394</v>
      </c>
      <c r="G53" s="278" t="s">
        <v>208</v>
      </c>
      <c r="H53" s="285">
        <v>19.200875351560146</v>
      </c>
      <c r="I53" s="277">
        <v>210.32465107893407</v>
      </c>
      <c r="J53" s="278" t="s">
        <v>208</v>
      </c>
    </row>
    <row r="54" spans="1:10" ht="12.95" customHeight="1">
      <c r="A54" s="275" t="s">
        <v>181</v>
      </c>
      <c r="B54" s="286">
        <v>28562.866324510724</v>
      </c>
      <c r="C54" s="83">
        <v>311571.53795010078</v>
      </c>
      <c r="D54" s="290">
        <v>0</v>
      </c>
      <c r="E54" s="83" t="s">
        <v>319</v>
      </c>
      <c r="F54" s="83" t="s">
        <v>319</v>
      </c>
      <c r="G54" s="251">
        <v>0</v>
      </c>
      <c r="H54" s="286" t="s">
        <v>319</v>
      </c>
      <c r="I54" s="83" t="s">
        <v>319</v>
      </c>
      <c r="J54" s="251">
        <v>0</v>
      </c>
    </row>
    <row r="55" spans="1:10" ht="12.95" customHeight="1">
      <c r="A55" s="276" t="s">
        <v>182</v>
      </c>
      <c r="B55" s="287">
        <v>41790.850367376363</v>
      </c>
      <c r="C55" s="280">
        <v>455865.996545045</v>
      </c>
      <c r="D55" s="291">
        <v>-12</v>
      </c>
      <c r="E55" s="280" t="s">
        <v>319</v>
      </c>
      <c r="F55" s="280" t="s">
        <v>319</v>
      </c>
      <c r="G55" s="281">
        <v>-12</v>
      </c>
      <c r="H55" s="287" t="s">
        <v>319</v>
      </c>
      <c r="I55" s="280" t="s">
        <v>319</v>
      </c>
      <c r="J55" s="281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289</v>
      </c>
    </row>
    <row r="2" spans="1:21" s="86" customFormat="1" ht="18">
      <c r="A2" s="481" t="s">
        <v>297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96"/>
      <c r="B3" s="496"/>
      <c r="C3" s="496"/>
      <c r="D3" s="315"/>
      <c r="E3" s="315"/>
      <c r="F3" s="316"/>
      <c r="G3" s="317"/>
      <c r="H3" s="317"/>
      <c r="I3" s="317"/>
      <c r="J3" s="279"/>
      <c r="K3" s="279"/>
    </row>
    <row r="4" spans="1:21" ht="15" customHeight="1">
      <c r="A4" s="506" t="s">
        <v>2</v>
      </c>
      <c r="B4" s="506"/>
      <c r="C4" s="506"/>
      <c r="D4" s="500">
        <f>'3.1'!A4</f>
        <v>2023</v>
      </c>
      <c r="E4" s="501"/>
      <c r="F4" s="501"/>
      <c r="G4" s="501"/>
      <c r="H4" s="376"/>
      <c r="I4" s="500">
        <f>D4-1</f>
        <v>2022</v>
      </c>
      <c r="J4" s="501"/>
      <c r="K4" s="501"/>
    </row>
    <row r="5" spans="1:21" ht="50.1" customHeight="1">
      <c r="A5" s="322"/>
      <c r="B5" s="322"/>
      <c r="C5" s="322"/>
      <c r="D5" s="502"/>
      <c r="E5" s="503"/>
      <c r="F5" s="503"/>
      <c r="G5" s="503"/>
      <c r="H5" s="174"/>
      <c r="I5" s="502"/>
      <c r="J5" s="503"/>
      <c r="K5" s="503"/>
    </row>
    <row r="6" spans="1:21" ht="24.95" customHeight="1">
      <c r="A6" s="506" t="s">
        <v>158</v>
      </c>
      <c r="B6" s="506"/>
      <c r="C6" s="506" t="s">
        <v>184</v>
      </c>
      <c r="D6" s="50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21" ht="22.5" customHeight="1">
      <c r="A7" s="507"/>
      <c r="B7" s="507"/>
      <c r="C7" s="507"/>
      <c r="D7" s="505"/>
      <c r="E7" s="219" t="s">
        <v>261</v>
      </c>
      <c r="F7" s="219" t="s">
        <v>262</v>
      </c>
      <c r="G7" s="486"/>
      <c r="H7" s="486"/>
      <c r="I7" s="221" t="s">
        <v>261</v>
      </c>
      <c r="J7" s="219" t="s">
        <v>262</v>
      </c>
      <c r="K7" s="486"/>
    </row>
    <row r="8" spans="1:21" ht="12.95" customHeight="1">
      <c r="A8" s="491" t="str">
        <f>'3.1'!D5</f>
        <v>Duben</v>
      </c>
      <c r="B8" s="491"/>
      <c r="C8" s="164" t="s">
        <v>4</v>
      </c>
      <c r="D8" s="312">
        <v>1561</v>
      </c>
      <c r="E8" s="308">
        <v>264563.05265840085</v>
      </c>
      <c r="F8" s="308">
        <v>2885485.5264899996</v>
      </c>
      <c r="G8" s="309">
        <f t="shared" ref="G8:G13" si="0">E8/$E$14</f>
        <v>0.43623586541412085</v>
      </c>
      <c r="H8" s="309">
        <f>(E8-I8)/I8</f>
        <v>-6.3906442256725954E-2</v>
      </c>
      <c r="I8" s="312">
        <v>282624.58433770988</v>
      </c>
      <c r="J8" s="308">
        <v>3045872.3572199992</v>
      </c>
      <c r="K8" s="309">
        <f>I8/$I$14</f>
        <v>0.4209718523989166</v>
      </c>
      <c r="M8" s="422"/>
      <c r="N8" s="422"/>
      <c r="O8" s="422"/>
      <c r="P8" s="422"/>
      <c r="Q8" s="422"/>
      <c r="R8" s="422"/>
      <c r="S8" s="422"/>
      <c r="T8" s="422"/>
      <c r="U8" s="422"/>
    </row>
    <row r="9" spans="1:21" ht="12.95" customHeight="1">
      <c r="A9" s="492"/>
      <c r="B9" s="492"/>
      <c r="C9" s="154" t="s">
        <v>5</v>
      </c>
      <c r="D9" s="313">
        <v>6124</v>
      </c>
      <c r="E9" s="129">
        <v>56563.549248035757</v>
      </c>
      <c r="F9" s="129">
        <v>617181.35166000004</v>
      </c>
      <c r="G9" s="307">
        <f t="shared" si="0"/>
        <v>9.3267176233300844E-2</v>
      </c>
      <c r="H9" s="307">
        <f t="shared" ref="H9:H12" si="1">(E9-I9)/I9</f>
        <v>-0.13935783219095954</v>
      </c>
      <c r="I9" s="313">
        <v>65722.493463260209</v>
      </c>
      <c r="J9" s="129">
        <v>709009.25124999997</v>
      </c>
      <c r="K9" s="307">
        <f t="shared" ref="K9:K13" si="2">I9/$I$14</f>
        <v>9.7894243285093996E-2</v>
      </c>
      <c r="L9" s="90"/>
      <c r="M9" s="422"/>
      <c r="N9" s="422"/>
      <c r="O9" s="422"/>
      <c r="P9" s="422"/>
      <c r="Q9" s="422"/>
      <c r="R9" s="422"/>
      <c r="S9" s="422"/>
      <c r="T9" s="422"/>
      <c r="U9" s="422"/>
    </row>
    <row r="10" spans="1:21" ht="12.95" customHeight="1">
      <c r="A10" s="492"/>
      <c r="B10" s="492"/>
      <c r="C10" s="154" t="s">
        <v>6</v>
      </c>
      <c r="D10" s="313">
        <v>203037</v>
      </c>
      <c r="E10" s="129">
        <v>94340.661073887401</v>
      </c>
      <c r="F10" s="129">
        <v>1029208.124548823</v>
      </c>
      <c r="G10" s="307">
        <f t="shared" si="0"/>
        <v>0.15555754862129542</v>
      </c>
      <c r="H10" s="307">
        <f t="shared" si="1"/>
        <v>-0.1135390052842679</v>
      </c>
      <c r="I10" s="313">
        <v>106423.92799712559</v>
      </c>
      <c r="J10" s="129">
        <v>1147681.4270952572</v>
      </c>
      <c r="K10" s="307">
        <f t="shared" si="2"/>
        <v>0.15851939495463463</v>
      </c>
      <c r="L10" s="90"/>
      <c r="M10" s="422"/>
      <c r="N10" s="422"/>
      <c r="O10" s="422"/>
      <c r="P10" s="422"/>
      <c r="Q10" s="422"/>
      <c r="R10" s="422"/>
      <c r="S10" s="422"/>
      <c r="T10" s="422"/>
      <c r="U10" s="422"/>
    </row>
    <row r="11" spans="1:21" ht="12.95" customHeight="1">
      <c r="A11" s="492"/>
      <c r="B11" s="492"/>
      <c r="C11" s="154" t="s">
        <v>7</v>
      </c>
      <c r="D11" s="313">
        <v>2558793</v>
      </c>
      <c r="E11" s="129">
        <v>177652.8410962295</v>
      </c>
      <c r="F11" s="129">
        <v>1937936.9237121367</v>
      </c>
      <c r="G11" s="307">
        <f t="shared" si="0"/>
        <v>0.29293032454896761</v>
      </c>
      <c r="H11" s="307">
        <f t="shared" si="1"/>
        <v>-0.12160467538169327</v>
      </c>
      <c r="I11" s="313">
        <v>202247.02490695272</v>
      </c>
      <c r="J11" s="129">
        <v>2180595.4954686509</v>
      </c>
      <c r="K11" s="307">
        <f t="shared" si="2"/>
        <v>0.30124875695709125</v>
      </c>
      <c r="L11" s="90"/>
      <c r="M11" s="422"/>
      <c r="N11" s="422"/>
      <c r="O11" s="422"/>
      <c r="P11" s="422"/>
      <c r="Q11" s="422"/>
      <c r="R11" s="422"/>
      <c r="S11" s="422"/>
      <c r="T11" s="422"/>
      <c r="U11" s="422"/>
    </row>
    <row r="12" spans="1:21" ht="12.95" customHeight="1">
      <c r="A12" s="492"/>
      <c r="B12" s="492"/>
      <c r="C12" s="154" t="s">
        <v>93</v>
      </c>
      <c r="D12" s="313">
        <v>274</v>
      </c>
      <c r="E12" s="129">
        <v>7135.9175686644285</v>
      </c>
      <c r="F12" s="129">
        <v>77845.143700000001</v>
      </c>
      <c r="G12" s="307">
        <f t="shared" si="0"/>
        <v>1.1766356431143593E-2</v>
      </c>
      <c r="H12" s="307">
        <f t="shared" si="1"/>
        <v>-5.2893320502247577E-2</v>
      </c>
      <c r="I12" s="313">
        <v>7534.4390691538383</v>
      </c>
      <c r="J12" s="129">
        <v>81220.817919999987</v>
      </c>
      <c r="K12" s="307">
        <f t="shared" si="2"/>
        <v>1.1222614547708534E-2</v>
      </c>
      <c r="L12" s="90"/>
      <c r="M12" s="422"/>
      <c r="N12" s="422"/>
      <c r="O12" s="422"/>
      <c r="P12" s="422"/>
      <c r="Q12" s="422"/>
      <c r="R12" s="422"/>
      <c r="S12" s="422"/>
      <c r="T12" s="422"/>
      <c r="U12" s="422"/>
    </row>
    <row r="13" spans="1:21" ht="12.95" customHeight="1">
      <c r="A13" s="492"/>
      <c r="B13" s="492"/>
      <c r="C13" s="154" t="s">
        <v>94</v>
      </c>
      <c r="D13" s="313"/>
      <c r="E13" s="129">
        <v>6211.8862771392969</v>
      </c>
      <c r="F13" s="129">
        <v>67858.734327000042</v>
      </c>
      <c r="G13" s="307">
        <f t="shared" si="0"/>
        <v>1.0242728751171729E-2</v>
      </c>
      <c r="H13" s="307">
        <f>(E13-I13)/I13</f>
        <v>-8.7791131622969296E-2</v>
      </c>
      <c r="I13" s="313">
        <v>6809.7192347968094</v>
      </c>
      <c r="J13" s="129">
        <v>73604.992482999936</v>
      </c>
      <c r="K13" s="307">
        <f t="shared" si="2"/>
        <v>1.0143137856554997E-2</v>
      </c>
      <c r="L13" s="90"/>
      <c r="M13" s="422"/>
      <c r="N13" s="422"/>
      <c r="O13" s="422"/>
      <c r="P13" s="422"/>
      <c r="Q13" s="422"/>
      <c r="R13" s="422"/>
      <c r="S13" s="422"/>
      <c r="T13" s="422"/>
      <c r="U13" s="422"/>
    </row>
    <row r="14" spans="1:21" ht="12.95" customHeight="1">
      <c r="A14" s="493"/>
      <c r="B14" s="493"/>
      <c r="C14" s="318" t="s">
        <v>0</v>
      </c>
      <c r="D14" s="321">
        <v>2769789</v>
      </c>
      <c r="E14" s="319">
        <v>606467.9079223572</v>
      </c>
      <c r="F14" s="319">
        <v>6615515.8044379596</v>
      </c>
      <c r="G14" s="320">
        <f>SUM(G8:G13)</f>
        <v>1</v>
      </c>
      <c r="H14" s="320">
        <f>(E14-I14)/I14</f>
        <v>-9.6660613524322231E-2</v>
      </c>
      <c r="I14" s="321">
        <v>671362.18900899903</v>
      </c>
      <c r="J14" s="319">
        <v>7237984.3414369086</v>
      </c>
      <c r="K14" s="320">
        <f>SUM(K8:K13)</f>
        <v>0.99999999999999989</v>
      </c>
      <c r="L14" s="90"/>
      <c r="M14" s="422"/>
      <c r="N14" s="422"/>
      <c r="O14" s="422"/>
      <c r="P14" s="422"/>
      <c r="Q14" s="422"/>
      <c r="R14" s="422"/>
      <c r="S14" s="422"/>
      <c r="T14" s="422"/>
      <c r="U14" s="422"/>
    </row>
    <row r="15" spans="1:21" ht="12.95" customHeight="1">
      <c r="A15" s="491" t="str">
        <f>'3.1'!E5</f>
        <v>Květen</v>
      </c>
      <c r="B15" s="491"/>
      <c r="C15" s="164" t="s">
        <v>4</v>
      </c>
      <c r="D15" s="312">
        <v>1559</v>
      </c>
      <c r="E15" s="308">
        <v>215466.50890744722</v>
      </c>
      <c r="F15" s="308">
        <v>2358717.2477190001</v>
      </c>
      <c r="G15" s="309">
        <f>E15/$E$21</f>
        <v>0.58415119265239601</v>
      </c>
      <c r="H15" s="309">
        <f>(E15-I15)/I15</f>
        <v>-0.16790475325133605</v>
      </c>
      <c r="I15" s="312">
        <v>258944.525580891</v>
      </c>
      <c r="J15" s="308">
        <v>2782594.1548759998</v>
      </c>
      <c r="K15" s="309">
        <f>I15/$I$21</f>
        <v>0.66584488128639063</v>
      </c>
      <c r="L15" s="90"/>
      <c r="M15" s="422"/>
      <c r="N15" s="422"/>
      <c r="O15" s="422"/>
      <c r="P15" s="422"/>
      <c r="Q15" s="422"/>
      <c r="R15" s="422"/>
      <c r="S15" s="422"/>
      <c r="T15" s="422"/>
      <c r="U15" s="422"/>
    </row>
    <row r="16" spans="1:21" ht="12.95" customHeight="1">
      <c r="A16" s="492"/>
      <c r="B16" s="492"/>
      <c r="C16" s="154" t="s">
        <v>5</v>
      </c>
      <c r="D16" s="313">
        <v>6122</v>
      </c>
      <c r="E16" s="129">
        <v>33235.032154891138</v>
      </c>
      <c r="F16" s="129">
        <v>363950.40377000003</v>
      </c>
      <c r="G16" s="307">
        <f t="shared" ref="G16:G20" si="3">E16/$E$21</f>
        <v>9.0103486474827119E-2</v>
      </c>
      <c r="H16" s="307">
        <f t="shared" ref="H16:H18" si="4">(E16-I16)/I16</f>
        <v>5.0878671133875848E-2</v>
      </c>
      <c r="I16" s="313">
        <v>31625.946046684192</v>
      </c>
      <c r="J16" s="129">
        <v>339939.87856999988</v>
      </c>
      <c r="K16" s="307">
        <f t="shared" ref="K16:K20" si="5">I16/$I$21</f>
        <v>8.1322338225860602E-2</v>
      </c>
      <c r="L16" s="91"/>
      <c r="M16" s="422"/>
      <c r="N16" s="422"/>
      <c r="O16" s="422"/>
      <c r="P16" s="422"/>
      <c r="Q16" s="422"/>
      <c r="R16" s="422"/>
      <c r="S16" s="422"/>
      <c r="T16" s="422"/>
      <c r="U16" s="422"/>
    </row>
    <row r="17" spans="1:21" ht="12.95" customHeight="1">
      <c r="A17" s="492"/>
      <c r="B17" s="492"/>
      <c r="C17" s="154" t="s">
        <v>6</v>
      </c>
      <c r="D17" s="313">
        <v>202926</v>
      </c>
      <c r="E17" s="129">
        <v>37185.692944590519</v>
      </c>
      <c r="F17" s="129">
        <v>407178.77283181116</v>
      </c>
      <c r="G17" s="307">
        <f t="shared" si="3"/>
        <v>0.10081412184813821</v>
      </c>
      <c r="H17" s="307">
        <f t="shared" si="4"/>
        <v>0.14810485583888003</v>
      </c>
      <c r="I17" s="313">
        <v>32388.760273485852</v>
      </c>
      <c r="J17" s="129">
        <v>348165.97261510277</v>
      </c>
      <c r="K17" s="307">
        <f>I17/$I$21</f>
        <v>8.3283823787870109E-2</v>
      </c>
      <c r="L17" s="90"/>
      <c r="M17" s="422"/>
      <c r="N17" s="422"/>
      <c r="O17" s="422"/>
      <c r="P17" s="422"/>
      <c r="Q17" s="422"/>
      <c r="R17" s="422"/>
      <c r="S17" s="422"/>
      <c r="T17" s="422"/>
      <c r="U17" s="422"/>
    </row>
    <row r="18" spans="1:21" ht="12.95" customHeight="1">
      <c r="A18" s="492"/>
      <c r="B18" s="492"/>
      <c r="C18" s="154" t="s">
        <v>7</v>
      </c>
      <c r="D18" s="313">
        <v>2555793</v>
      </c>
      <c r="E18" s="129">
        <v>69385.130740620283</v>
      </c>
      <c r="F18" s="129">
        <v>759766.84139510617</v>
      </c>
      <c r="G18" s="307">
        <f t="shared" si="3"/>
        <v>0.188110008743335</v>
      </c>
      <c r="H18" s="307">
        <f t="shared" si="4"/>
        <v>0.30215078888013847</v>
      </c>
      <c r="I18" s="313">
        <v>53285.019932516516</v>
      </c>
      <c r="J18" s="129">
        <v>572759.85395987437</v>
      </c>
      <c r="K18" s="307">
        <f>I18/$I$21</f>
        <v>0.13701605659249996</v>
      </c>
      <c r="L18" s="90"/>
      <c r="M18" s="422"/>
      <c r="N18" s="422"/>
      <c r="O18" s="422"/>
      <c r="P18" s="422"/>
      <c r="Q18" s="422"/>
      <c r="R18" s="422"/>
      <c r="S18" s="422"/>
      <c r="T18" s="422"/>
      <c r="U18" s="422"/>
    </row>
    <row r="19" spans="1:21" ht="12.95" customHeight="1">
      <c r="A19" s="492"/>
      <c r="B19" s="492"/>
      <c r="C19" s="154" t="s">
        <v>93</v>
      </c>
      <c r="D19" s="313">
        <v>274</v>
      </c>
      <c r="E19" s="129">
        <v>7584.7433163022788</v>
      </c>
      <c r="F19" s="129">
        <v>83055.207889999991</v>
      </c>
      <c r="G19" s="307">
        <f t="shared" si="3"/>
        <v>2.056299550517815E-2</v>
      </c>
      <c r="H19" s="307">
        <f>(E19-I19)/I19</f>
        <v>-5.5179697575977252E-2</v>
      </c>
      <c r="I19" s="313">
        <v>8027.709922027424</v>
      </c>
      <c r="J19" s="129">
        <v>86268.259439999994</v>
      </c>
      <c r="K19" s="307">
        <f>I19/$I$21</f>
        <v>2.0642296059524744E-2</v>
      </c>
      <c r="L19" s="90"/>
      <c r="M19" s="422"/>
      <c r="N19" s="422"/>
      <c r="O19" s="422"/>
      <c r="P19" s="422"/>
      <c r="Q19" s="422"/>
      <c r="R19" s="422"/>
      <c r="S19" s="422"/>
      <c r="T19" s="422"/>
      <c r="U19" s="422"/>
    </row>
    <row r="20" spans="1:21" ht="12.95" customHeight="1">
      <c r="A20" s="492"/>
      <c r="B20" s="492"/>
      <c r="C20" s="154" t="s">
        <v>94</v>
      </c>
      <c r="D20" s="313"/>
      <c r="E20" s="129">
        <v>5996.9003121314117</v>
      </c>
      <c r="F20" s="129">
        <v>65703.314756999927</v>
      </c>
      <c r="G20" s="307">
        <f t="shared" si="3"/>
        <v>1.6258194776125653E-2</v>
      </c>
      <c r="H20" s="307">
        <f t="shared" ref="H20" si="6">(E20-I20)/I20</f>
        <v>0.2968484984310098</v>
      </c>
      <c r="I20" s="313">
        <v>4624.2103988143199</v>
      </c>
      <c r="J20" s="129">
        <v>49929.173227999949</v>
      </c>
      <c r="K20" s="307">
        <f t="shared" si="5"/>
        <v>1.1890604047854145E-2</v>
      </c>
      <c r="L20" s="90"/>
      <c r="M20" s="422"/>
      <c r="N20" s="422"/>
      <c r="O20" s="422"/>
      <c r="P20" s="422"/>
      <c r="Q20" s="422"/>
      <c r="R20" s="422"/>
      <c r="S20" s="422"/>
      <c r="T20" s="422"/>
      <c r="U20" s="422"/>
    </row>
    <row r="21" spans="1:21" ht="12.95" customHeight="1">
      <c r="A21" s="493"/>
      <c r="B21" s="493"/>
      <c r="C21" s="318" t="s">
        <v>0</v>
      </c>
      <c r="D21" s="321">
        <v>2766674</v>
      </c>
      <c r="E21" s="319">
        <v>368854.00837598281</v>
      </c>
      <c r="F21" s="319">
        <v>4038371.7883629175</v>
      </c>
      <c r="G21" s="320">
        <f>SUM(G15:G20)</f>
        <v>1.0000000000000002</v>
      </c>
      <c r="H21" s="320">
        <f>(E21-I21)/I21</f>
        <v>-5.1536027385937537E-2</v>
      </c>
      <c r="I21" s="321">
        <v>388896.17215441924</v>
      </c>
      <c r="J21" s="319">
        <v>4179657.2926889765</v>
      </c>
      <c r="K21" s="320">
        <f>SUM(K15:K20)</f>
        <v>1.0000000000000002</v>
      </c>
      <c r="L21" s="90"/>
      <c r="M21" s="422"/>
      <c r="N21" s="422"/>
      <c r="O21" s="422"/>
      <c r="P21" s="422"/>
      <c r="Q21" s="422"/>
      <c r="R21" s="422"/>
      <c r="S21" s="422"/>
      <c r="T21" s="422"/>
      <c r="U21" s="422"/>
    </row>
    <row r="22" spans="1:21" ht="12.95" customHeight="1">
      <c r="A22" s="491" t="str">
        <f>'3.1'!F5</f>
        <v>Červen</v>
      </c>
      <c r="B22" s="491"/>
      <c r="C22" s="164" t="s">
        <v>4</v>
      </c>
      <c r="D22" s="312">
        <v>1558</v>
      </c>
      <c r="E22" s="308">
        <v>233117.37302010262</v>
      </c>
      <c r="F22" s="308">
        <v>2553349.4787288695</v>
      </c>
      <c r="G22" s="309">
        <f>E22/$E$28</f>
        <v>0.74252279937605004</v>
      </c>
      <c r="H22" s="309">
        <f>(E22-I22)/I22</f>
        <v>-7.2757046230313552E-2</v>
      </c>
      <c r="I22" s="312">
        <v>251409.16096732675</v>
      </c>
      <c r="J22" s="308">
        <v>2727874.4485210003</v>
      </c>
      <c r="K22" s="309">
        <f>I22/$I$28</f>
        <v>0.74745295453602711</v>
      </c>
      <c r="L22" s="92"/>
      <c r="M22" s="422"/>
      <c r="N22" s="422"/>
      <c r="O22" s="422"/>
      <c r="P22" s="422"/>
      <c r="Q22" s="422"/>
      <c r="R22" s="422"/>
      <c r="S22" s="422"/>
      <c r="T22" s="422"/>
      <c r="U22" s="422"/>
    </row>
    <row r="23" spans="1:21" ht="12.95" customHeight="1">
      <c r="A23" s="492"/>
      <c r="B23" s="492"/>
      <c r="C23" s="154" t="s">
        <v>5</v>
      </c>
      <c r="D23" s="313">
        <v>6115</v>
      </c>
      <c r="E23" s="129">
        <v>23324.051380785702</v>
      </c>
      <c r="F23" s="129">
        <v>255510.99970999997</v>
      </c>
      <c r="G23" s="307">
        <f t="shared" ref="G23:G27" si="7">E23/$E$28</f>
        <v>7.4291502600959611E-2</v>
      </c>
      <c r="H23" s="307">
        <f t="shared" ref="H23:H26" si="8">(E23-I23)/I23</f>
        <v>-3.3708392812222661E-2</v>
      </c>
      <c r="I23" s="313">
        <v>24137.694260499968</v>
      </c>
      <c r="J23" s="129">
        <v>261755.56535000011</v>
      </c>
      <c r="K23" s="307">
        <f t="shared" ref="K23:K27" si="9">I23/$I$28</f>
        <v>7.1762662988413231E-2</v>
      </c>
      <c r="L23" s="92"/>
      <c r="M23" s="422"/>
      <c r="N23" s="422"/>
      <c r="O23" s="422"/>
      <c r="P23" s="422"/>
      <c r="Q23" s="422"/>
      <c r="R23" s="422"/>
      <c r="S23" s="422"/>
      <c r="T23" s="422"/>
      <c r="U23" s="422"/>
    </row>
    <row r="24" spans="1:21" ht="12.95" customHeight="1">
      <c r="A24" s="492"/>
      <c r="B24" s="492"/>
      <c r="C24" s="154" t="s">
        <v>6</v>
      </c>
      <c r="D24" s="313">
        <v>202590</v>
      </c>
      <c r="E24" s="129">
        <v>16854.257625039081</v>
      </c>
      <c r="F24" s="129">
        <v>184613.90044929579</v>
      </c>
      <c r="G24" s="307">
        <f t="shared" si="7"/>
        <v>5.3683989275522447E-2</v>
      </c>
      <c r="H24" s="307">
        <f t="shared" si="8"/>
        <v>-0.14652781308144849</v>
      </c>
      <c r="I24" s="313">
        <v>19747.869799824555</v>
      </c>
      <c r="J24" s="129">
        <v>214220.30429838711</v>
      </c>
      <c r="K24" s="307">
        <f t="shared" si="9"/>
        <v>5.8711478813574101E-2</v>
      </c>
      <c r="L24" s="92"/>
      <c r="M24" s="422"/>
      <c r="N24" s="422"/>
      <c r="O24" s="422"/>
      <c r="P24" s="422"/>
      <c r="Q24" s="422"/>
      <c r="R24" s="422"/>
      <c r="S24" s="422"/>
      <c r="T24" s="422"/>
      <c r="U24" s="422"/>
    </row>
    <row r="25" spans="1:21" ht="12.95" customHeight="1">
      <c r="A25" s="492"/>
      <c r="B25" s="492"/>
      <c r="C25" s="154" t="s">
        <v>7</v>
      </c>
      <c r="D25" s="313">
        <v>2552635</v>
      </c>
      <c r="E25" s="129">
        <v>31565.714545199484</v>
      </c>
      <c r="F25" s="129">
        <v>345797.61341370596</v>
      </c>
      <c r="G25" s="307">
        <f t="shared" si="7"/>
        <v>0.10054275417038801</v>
      </c>
      <c r="H25" s="307">
        <f t="shared" si="8"/>
        <v>4.5241617029199693E-3</v>
      </c>
      <c r="I25" s="313">
        <v>31423.549326765515</v>
      </c>
      <c r="J25" s="129">
        <v>340878.25455462863</v>
      </c>
      <c r="K25" s="307">
        <f t="shared" si="9"/>
        <v>9.3423901881411281E-2</v>
      </c>
      <c r="L25" s="92"/>
      <c r="M25" s="422"/>
      <c r="N25" s="422"/>
      <c r="O25" s="422"/>
      <c r="P25" s="422"/>
      <c r="Q25" s="422"/>
      <c r="R25" s="422"/>
      <c r="S25" s="422"/>
      <c r="T25" s="422"/>
      <c r="U25" s="422"/>
    </row>
    <row r="26" spans="1:21" ht="12.95" customHeight="1">
      <c r="A26" s="492"/>
      <c r="B26" s="492"/>
      <c r="C26" s="154" t="s">
        <v>93</v>
      </c>
      <c r="D26" s="313">
        <v>274</v>
      </c>
      <c r="E26" s="129">
        <v>7552.0664542839068</v>
      </c>
      <c r="F26" s="129">
        <v>82729.35742</v>
      </c>
      <c r="G26" s="307">
        <f t="shared" si="7"/>
        <v>2.4054755988629314E-2</v>
      </c>
      <c r="H26" s="307">
        <f t="shared" si="8"/>
        <v>-5.3239641178962516E-2</v>
      </c>
      <c r="I26" s="313">
        <v>7976.745523743929</v>
      </c>
      <c r="J26" s="129">
        <v>86487.387070000012</v>
      </c>
      <c r="K26" s="307">
        <f t="shared" si="9"/>
        <v>2.371529337421115E-2</v>
      </c>
      <c r="L26" s="92"/>
      <c r="M26" s="422"/>
      <c r="N26" s="422"/>
      <c r="O26" s="422"/>
      <c r="P26" s="422"/>
      <c r="Q26" s="422"/>
      <c r="R26" s="422"/>
      <c r="S26" s="422"/>
      <c r="T26" s="422"/>
      <c r="U26" s="422"/>
    </row>
    <row r="27" spans="1:21" ht="12.95" customHeight="1">
      <c r="A27" s="492"/>
      <c r="B27" s="492"/>
      <c r="C27" s="154" t="s">
        <v>94</v>
      </c>
      <c r="D27" s="313"/>
      <c r="E27" s="129">
        <v>1539.6886030559683</v>
      </c>
      <c r="F27" s="129">
        <v>17012.563173999992</v>
      </c>
      <c r="G27" s="307">
        <f t="shared" si="7"/>
        <v>4.9041985884506782E-3</v>
      </c>
      <c r="H27" s="307">
        <f t="shared" ref="H27" si="10">(E27-I27)/I27</f>
        <v>-7.2183308526406392E-2</v>
      </c>
      <c r="I27" s="313">
        <v>1659.4749988929134</v>
      </c>
      <c r="J27" s="129">
        <v>18307.459182999959</v>
      </c>
      <c r="K27" s="307">
        <f t="shared" si="9"/>
        <v>4.9337084063630389E-3</v>
      </c>
      <c r="L27" s="92"/>
      <c r="M27" s="422"/>
      <c r="N27" s="422"/>
      <c r="O27" s="422"/>
      <c r="P27" s="422"/>
      <c r="Q27" s="422"/>
      <c r="R27" s="422"/>
      <c r="S27" s="422"/>
      <c r="T27" s="422"/>
      <c r="U27" s="422"/>
    </row>
    <row r="28" spans="1:21" ht="12.95" customHeight="1">
      <c r="A28" s="493"/>
      <c r="B28" s="493"/>
      <c r="C28" s="318" t="s">
        <v>0</v>
      </c>
      <c r="D28" s="321">
        <v>2763172</v>
      </c>
      <c r="E28" s="319">
        <v>313953.15162846673</v>
      </c>
      <c r="F28" s="319">
        <v>3439013.9128958713</v>
      </c>
      <c r="G28" s="320">
        <f>SUM(G22:G27)</f>
        <v>1</v>
      </c>
      <c r="H28" s="320">
        <f>(E28-I28)/I28</f>
        <v>-6.6600398061501156E-2</v>
      </c>
      <c r="I28" s="321">
        <v>336354.49487705366</v>
      </c>
      <c r="J28" s="319">
        <v>3649523.4189770166</v>
      </c>
      <c r="K28" s="320">
        <f>SUM(K22:K27)</f>
        <v>1</v>
      </c>
      <c r="M28" s="422"/>
      <c r="N28" s="422"/>
      <c r="O28" s="422"/>
      <c r="P28" s="422"/>
      <c r="Q28" s="422"/>
      <c r="R28" s="422"/>
      <c r="S28" s="422"/>
      <c r="T28" s="422"/>
      <c r="U28" s="422"/>
    </row>
    <row r="29" spans="1:21" ht="12.95" customHeight="1">
      <c r="A29" s="494" t="str">
        <f>'3.1'!G5</f>
        <v>II. čtvrtletí</v>
      </c>
      <c r="B29" s="491"/>
      <c r="C29" s="164" t="s">
        <v>4</v>
      </c>
      <c r="D29" s="312">
        <f>D22</f>
        <v>1558</v>
      </c>
      <c r="E29" s="308">
        <f>E8+E15+E22</f>
        <v>713146.93458595069</v>
      </c>
      <c r="F29" s="308">
        <f>F8+F15+F22</f>
        <v>7797552.2529378701</v>
      </c>
      <c r="G29" s="309">
        <f>E29/$E$35</f>
        <v>0.55313792403719753</v>
      </c>
      <c r="H29" s="309">
        <f>(E29-I29)/I29</f>
        <v>-0.10067279171570251</v>
      </c>
      <c r="I29" s="312">
        <f>I8+I15+I22</f>
        <v>792978.2708859276</v>
      </c>
      <c r="J29" s="308">
        <f>J8+J15+J22</f>
        <v>8556340.9606169984</v>
      </c>
      <c r="K29" s="309">
        <f>I29/$I$35</f>
        <v>0.56778674738402091</v>
      </c>
      <c r="M29" s="422"/>
      <c r="N29" s="422"/>
      <c r="O29" s="422"/>
      <c r="P29" s="422"/>
      <c r="Q29" s="422"/>
      <c r="R29" s="422"/>
      <c r="S29" s="422"/>
      <c r="T29" s="422"/>
      <c r="U29" s="422"/>
    </row>
    <row r="30" spans="1:21" ht="12.95" customHeight="1">
      <c r="A30" s="492"/>
      <c r="B30" s="492"/>
      <c r="C30" s="154" t="s">
        <v>5</v>
      </c>
      <c r="D30" s="313">
        <f t="shared" ref="D30:D33" si="11">D23</f>
        <v>6115</v>
      </c>
      <c r="E30" s="129">
        <f>E9+E16+E23</f>
        <v>113122.6327837126</v>
      </c>
      <c r="F30" s="129">
        <f t="shared" ref="F30" si="12">F9+F16+F23</f>
        <v>1236642.75514</v>
      </c>
      <c r="G30" s="307">
        <f t="shared" ref="G30:G34" si="13">E30/$E$35</f>
        <v>8.7741270732565407E-2</v>
      </c>
      <c r="H30" s="307">
        <f t="shared" ref="H30:H32" si="14">(E30-I30)/I30</f>
        <v>-6.8843255828151775E-2</v>
      </c>
      <c r="I30" s="313">
        <f>I9+I16+I23</f>
        <v>121486.13377044437</v>
      </c>
      <c r="J30" s="129">
        <f t="shared" ref="J30" si="15">J9+J16+J23</f>
        <v>1310704.69517</v>
      </c>
      <c r="K30" s="307">
        <f t="shared" ref="K30:K34" si="16">I30/$I$35</f>
        <v>8.6986263405070541E-2</v>
      </c>
      <c r="M30" s="422"/>
      <c r="N30" s="422"/>
      <c r="O30" s="422"/>
      <c r="P30" s="422"/>
      <c r="Q30" s="422"/>
      <c r="R30" s="422"/>
      <c r="S30" s="422"/>
      <c r="T30" s="422"/>
      <c r="U30" s="422"/>
    </row>
    <row r="31" spans="1:21" ht="12.95" customHeight="1">
      <c r="A31" s="492"/>
      <c r="B31" s="492"/>
      <c r="C31" s="154" t="s">
        <v>6</v>
      </c>
      <c r="D31" s="313">
        <f t="shared" si="11"/>
        <v>202590</v>
      </c>
      <c r="E31" s="129">
        <f t="shared" ref="E31:F31" si="17">E10+E17+E24</f>
        <v>148380.61164351701</v>
      </c>
      <c r="F31" s="129">
        <f t="shared" si="17"/>
        <v>1621000.79782993</v>
      </c>
      <c r="G31" s="307">
        <f t="shared" si="13"/>
        <v>0.11508840536420016</v>
      </c>
      <c r="H31" s="307">
        <f t="shared" si="14"/>
        <v>-6.4202261588893E-2</v>
      </c>
      <c r="I31" s="313">
        <f t="shared" ref="I31:J31" si="18">I10+I17+I24</f>
        <v>158560.558070436</v>
      </c>
      <c r="J31" s="129">
        <f t="shared" si="18"/>
        <v>1710067.7040087471</v>
      </c>
      <c r="K31" s="307">
        <f t="shared" si="16"/>
        <v>0.11353222003123327</v>
      </c>
      <c r="M31" s="422"/>
      <c r="N31" s="422"/>
      <c r="O31" s="422"/>
      <c r="P31" s="422"/>
      <c r="Q31" s="422"/>
      <c r="R31" s="422"/>
      <c r="S31" s="422"/>
      <c r="T31" s="422"/>
      <c r="U31" s="422"/>
    </row>
    <row r="32" spans="1:21" ht="12.95" customHeight="1">
      <c r="A32" s="492"/>
      <c r="B32" s="492"/>
      <c r="C32" s="154" t="s">
        <v>7</v>
      </c>
      <c r="D32" s="313">
        <f t="shared" si="11"/>
        <v>2552635</v>
      </c>
      <c r="E32" s="129">
        <f>E11+E18+E25</f>
        <v>278603.68638204929</v>
      </c>
      <c r="F32" s="129">
        <f t="shared" ref="E32:F34" si="19">F11+F18+F25</f>
        <v>3043501.3785209488</v>
      </c>
      <c r="G32" s="307">
        <f t="shared" si="13"/>
        <v>0.21609328630705041</v>
      </c>
      <c r="H32" s="307">
        <f t="shared" si="14"/>
        <v>-2.9105227268534057E-2</v>
      </c>
      <c r="I32" s="313">
        <f>I11+I18+I25</f>
        <v>286955.59416623478</v>
      </c>
      <c r="J32" s="129">
        <f t="shared" ref="J32" si="20">J11+J18+J25</f>
        <v>3094233.6039831536</v>
      </c>
      <c r="K32" s="307">
        <f t="shared" si="16"/>
        <v>0.20546538213874149</v>
      </c>
      <c r="M32" s="422"/>
      <c r="N32" s="422"/>
      <c r="O32" s="422"/>
      <c r="P32" s="422"/>
      <c r="Q32" s="422"/>
      <c r="R32" s="422"/>
      <c r="S32" s="422"/>
      <c r="T32" s="422"/>
      <c r="U32" s="422"/>
    </row>
    <row r="33" spans="1:21" ht="12.95" customHeight="1">
      <c r="A33" s="492"/>
      <c r="B33" s="492"/>
      <c r="C33" s="154" t="s">
        <v>93</v>
      </c>
      <c r="D33" s="313">
        <f t="shared" si="11"/>
        <v>274</v>
      </c>
      <c r="E33" s="129">
        <f>E12+E19+E26</f>
        <v>22272.727339250614</v>
      </c>
      <c r="F33" s="129">
        <f t="shared" si="19"/>
        <v>243629.70900999999</v>
      </c>
      <c r="G33" s="307">
        <f t="shared" si="13"/>
        <v>1.7275388234308939E-2</v>
      </c>
      <c r="H33" s="307">
        <f>(E33-I33)/I33</f>
        <v>-5.3790426516068787E-2</v>
      </c>
      <c r="I33" s="313">
        <f>I12+I19+I26</f>
        <v>23538.894514925192</v>
      </c>
      <c r="J33" s="129">
        <f t="shared" ref="J33" si="21">J12+J19+J26</f>
        <v>253976.46442999999</v>
      </c>
      <c r="K33" s="307">
        <f t="shared" si="16"/>
        <v>1.6854273117362071E-2</v>
      </c>
      <c r="M33" s="422"/>
      <c r="N33" s="422"/>
      <c r="O33" s="422"/>
      <c r="P33" s="422"/>
      <c r="Q33" s="422"/>
      <c r="R33" s="422"/>
      <c r="S33" s="422"/>
      <c r="T33" s="422"/>
      <c r="U33" s="422"/>
    </row>
    <row r="34" spans="1:21" ht="12.95" customHeight="1">
      <c r="A34" s="492"/>
      <c r="B34" s="492"/>
      <c r="C34" s="154" t="s">
        <v>94</v>
      </c>
      <c r="D34" s="313"/>
      <c r="E34" s="129">
        <f t="shared" si="19"/>
        <v>13748.475192326678</v>
      </c>
      <c r="F34" s="129">
        <f t="shared" si="19"/>
        <v>150574.61225799995</v>
      </c>
      <c r="G34" s="307">
        <f t="shared" si="13"/>
        <v>1.0663725324677721E-2</v>
      </c>
      <c r="H34" s="307">
        <f t="shared" ref="H34" si="22">(E34-I34)/I34</f>
        <v>5.0030574797668599E-2</v>
      </c>
      <c r="I34" s="313">
        <f t="shared" ref="I34:J34" si="23">I13+I20+I27</f>
        <v>13093.404632504044</v>
      </c>
      <c r="J34" s="129">
        <f t="shared" si="23"/>
        <v>141841.62489399986</v>
      </c>
      <c r="K34" s="307">
        <f t="shared" si="16"/>
        <v>9.3751139235715378E-3</v>
      </c>
      <c r="M34" s="422"/>
      <c r="N34" s="422"/>
      <c r="O34" s="422"/>
      <c r="P34" s="422"/>
      <c r="Q34" s="422"/>
      <c r="R34" s="422"/>
      <c r="S34" s="422"/>
      <c r="T34" s="422"/>
      <c r="U34" s="422"/>
    </row>
    <row r="35" spans="1:21" ht="12.95" customHeight="1">
      <c r="A35" s="493"/>
      <c r="B35" s="493"/>
      <c r="C35" s="318" t="s">
        <v>0</v>
      </c>
      <c r="D35" s="321">
        <f>SUM(D29:D34)</f>
        <v>2763172</v>
      </c>
      <c r="E35" s="319">
        <f>SUM(E29:E34)</f>
        <v>1289275.0679268066</v>
      </c>
      <c r="F35" s="319">
        <f>SUM(F29:F34)</f>
        <v>14092901.505696749</v>
      </c>
      <c r="G35" s="320">
        <f>SUM(G29:G34)</f>
        <v>1.0000000000000002</v>
      </c>
      <c r="H35" s="320">
        <f>(E35-I35)/I35</f>
        <v>-7.685579267684689E-2</v>
      </c>
      <c r="I35" s="321">
        <f>SUM(I29:I34)</f>
        <v>1396612.8560404722</v>
      </c>
      <c r="J35" s="319">
        <f>SUM(J29:J34)</f>
        <v>15067165.053102899</v>
      </c>
      <c r="K35" s="320">
        <f>SUM(K29:K34)</f>
        <v>0.99999999999999978</v>
      </c>
      <c r="M35" s="422"/>
      <c r="N35" s="422"/>
      <c r="O35" s="422"/>
      <c r="P35" s="422"/>
      <c r="Q35" s="422"/>
      <c r="R35" s="422"/>
      <c r="S35" s="422"/>
      <c r="T35" s="422"/>
      <c r="U35" s="422"/>
    </row>
    <row r="36" spans="1:21" ht="20.100000000000001" customHeight="1">
      <c r="A36" s="126"/>
      <c r="B36" s="303"/>
      <c r="C36" s="101"/>
      <c r="D36" s="88"/>
      <c r="E36" s="88"/>
      <c r="F36" s="88"/>
      <c r="G36" s="495" t="s">
        <v>272</v>
      </c>
      <c r="H36" s="495"/>
      <c r="I36" s="495"/>
      <c r="J36" s="495"/>
      <c r="K36" s="495"/>
    </row>
    <row r="37" spans="1:21" ht="15" customHeight="1">
      <c r="A37" s="487" t="s">
        <v>271</v>
      </c>
      <c r="B37" s="487"/>
      <c r="C37" s="487"/>
      <c r="D37" s="487"/>
      <c r="E37" s="487"/>
      <c r="F37" s="119"/>
      <c r="G37" s="495"/>
      <c r="H37" s="495"/>
      <c r="I37" s="495"/>
      <c r="J37" s="495"/>
      <c r="K37" s="495"/>
      <c r="M37" s="93"/>
      <c r="N37" s="93"/>
      <c r="O37" s="93"/>
      <c r="P37" s="93"/>
      <c r="Q37" s="93"/>
      <c r="R37" s="93"/>
      <c r="S37" s="93"/>
    </row>
    <row r="38" spans="1:21" ht="15" customHeight="1">
      <c r="A38" s="488" t="str">
        <f>A29</f>
        <v>II. čtvrtletí</v>
      </c>
      <c r="B38" s="489"/>
      <c r="C38" s="489"/>
      <c r="D38" s="489"/>
      <c r="E38" s="489"/>
      <c r="F38" s="125"/>
      <c r="G38" s="490" t="str">
        <f>A29</f>
        <v>II. čtvrtletí</v>
      </c>
      <c r="H38" s="490"/>
      <c r="I38" s="490"/>
      <c r="J38" s="490"/>
      <c r="K38" s="490"/>
      <c r="M38" s="93"/>
      <c r="N38" s="93"/>
      <c r="O38" s="93"/>
      <c r="P38" s="93"/>
      <c r="Q38" s="93"/>
      <c r="R38" s="93"/>
      <c r="S38" s="93"/>
    </row>
    <row r="39" spans="1:21" ht="15" customHeight="1">
      <c r="A39" s="126"/>
      <c r="B39" s="126"/>
      <c r="C39" s="126"/>
      <c r="D39" s="76"/>
      <c r="E39" s="76"/>
      <c r="F39" s="76"/>
      <c r="G39" s="126"/>
      <c r="H39" s="126"/>
      <c r="I39" s="126"/>
      <c r="J39" s="126"/>
      <c r="K39" s="126"/>
      <c r="M39" s="93"/>
      <c r="N39" s="93"/>
      <c r="O39" s="93"/>
      <c r="P39" s="93"/>
      <c r="Q39" s="93"/>
      <c r="R39" s="93"/>
      <c r="S39" s="93"/>
      <c r="T39" s="93"/>
    </row>
    <row r="40" spans="1:21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1" ht="15" customHeight="1">
      <c r="A41" s="94"/>
      <c r="B41" s="94"/>
      <c r="C41" s="94"/>
      <c r="D41" s="76"/>
      <c r="E41" s="76"/>
      <c r="F41" s="76"/>
      <c r="G41" s="94"/>
      <c r="H41" s="94"/>
      <c r="I41" s="94"/>
      <c r="J41" s="94"/>
      <c r="K41" s="94"/>
    </row>
    <row r="42" spans="1:21" ht="15" customHeight="1">
      <c r="A42" s="94"/>
      <c r="B42" s="94"/>
      <c r="C42" s="94">
        <f>D4</f>
        <v>2023</v>
      </c>
      <c r="D42" s="94">
        <f>I4</f>
        <v>2022</v>
      </c>
      <c r="E42" s="76"/>
      <c r="F42" s="76"/>
      <c r="G42" s="76"/>
      <c r="H42" s="94"/>
      <c r="I42" s="94">
        <f>D4</f>
        <v>2023</v>
      </c>
      <c r="J42" s="94">
        <f>I4</f>
        <v>2022</v>
      </c>
      <c r="K42" s="94"/>
    </row>
    <row r="43" spans="1:21" ht="15" customHeight="1">
      <c r="A43" s="94"/>
      <c r="B43" s="94" t="str">
        <f>A8</f>
        <v>Duben</v>
      </c>
      <c r="C43" s="78">
        <f>E14</f>
        <v>606467.9079223572</v>
      </c>
      <c r="D43" s="78">
        <f>I14</f>
        <v>671362.18900899903</v>
      </c>
      <c r="E43" s="76"/>
      <c r="F43" s="76"/>
      <c r="G43" s="76"/>
      <c r="H43" s="94" t="str">
        <f>A8</f>
        <v>Duben</v>
      </c>
      <c r="I43" s="95">
        <f>E14/E35</f>
        <v>0.47039450541580391</v>
      </c>
      <c r="J43" s="95">
        <f>I14/I35</f>
        <v>0.48070743879042721</v>
      </c>
      <c r="K43" s="94"/>
    </row>
    <row r="44" spans="1:21" ht="15" customHeight="1">
      <c r="A44" s="94"/>
      <c r="B44" s="94" t="str">
        <f>A15</f>
        <v>Květen</v>
      </c>
      <c r="C44" s="78">
        <f>E21</f>
        <v>368854.00837598281</v>
      </c>
      <c r="D44" s="78">
        <f>I21</f>
        <v>388896.17215441924</v>
      </c>
      <c r="E44" s="76"/>
      <c r="F44" s="76"/>
      <c r="G44" s="76"/>
      <c r="H44" s="94" t="str">
        <f>A15</f>
        <v>Květen</v>
      </c>
      <c r="I44" s="95">
        <f>E21/E35</f>
        <v>0.28609411408933177</v>
      </c>
      <c r="J44" s="95">
        <f>I21/I35</f>
        <v>0.27845667499938115</v>
      </c>
      <c r="K44" s="94"/>
    </row>
    <row r="45" spans="1:21" ht="15" customHeight="1">
      <c r="A45" s="94"/>
      <c r="B45" s="94" t="str">
        <f>A22</f>
        <v>Červen</v>
      </c>
      <c r="C45" s="78">
        <f>E28</f>
        <v>313953.15162846673</v>
      </c>
      <c r="D45" s="78">
        <f>I28</f>
        <v>336354.49487705366</v>
      </c>
      <c r="E45" s="76"/>
      <c r="F45" s="76"/>
      <c r="G45" s="76"/>
      <c r="H45" s="94" t="str">
        <f>A22</f>
        <v>Červen</v>
      </c>
      <c r="I45" s="95">
        <f>E28/E35</f>
        <v>0.24351138049486437</v>
      </c>
      <c r="J45" s="95">
        <f>I28/I35</f>
        <v>0.24083588621019145</v>
      </c>
      <c r="K45" s="94"/>
    </row>
    <row r="46" spans="1:21" ht="15" customHeight="1">
      <c r="A46" s="94"/>
      <c r="B46" s="94"/>
      <c r="C46" s="78">
        <f>SUM(C43:C45)</f>
        <v>1289275.0679268069</v>
      </c>
      <c r="D46" s="78">
        <f>SUM(D43:D45)</f>
        <v>1396612.8560404719</v>
      </c>
      <c r="E46" s="94"/>
      <c r="F46" s="94"/>
      <c r="G46" s="94"/>
      <c r="H46" s="94"/>
      <c r="I46" s="96">
        <f>SUM(I43:I45)</f>
        <v>1</v>
      </c>
      <c r="J46" s="96">
        <f>SUM(J43:J45)</f>
        <v>0.99999999999999989</v>
      </c>
      <c r="K46" s="94"/>
    </row>
    <row r="47" spans="1:21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1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298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96"/>
      <c r="B2" s="496"/>
      <c r="C2" s="496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6" t="s">
        <v>256</v>
      </c>
      <c r="B3" s="506"/>
      <c r="C3" s="506"/>
      <c r="D3" s="341">
        <f>'3.1'!A4</f>
        <v>2023</v>
      </c>
      <c r="E3" s="501"/>
      <c r="F3" s="501"/>
      <c r="G3" s="501"/>
      <c r="H3" s="340"/>
      <c r="I3" s="500">
        <f>D3-1</f>
        <v>2022</v>
      </c>
      <c r="J3" s="501"/>
      <c r="K3" s="501"/>
    </row>
    <row r="4" spans="1:21" ht="50.1" customHeight="1">
      <c r="A4" s="507"/>
      <c r="B4" s="507"/>
      <c r="C4" s="507"/>
      <c r="D4" s="343"/>
      <c r="E4" s="503"/>
      <c r="F4" s="503"/>
      <c r="G4" s="503"/>
      <c r="H4" s="174"/>
      <c r="I4" s="502"/>
      <c r="J4" s="503"/>
      <c r="K4" s="503"/>
    </row>
    <row r="5" spans="1:21" ht="24.95" customHeight="1">
      <c r="A5" s="506" t="s">
        <v>158</v>
      </c>
      <c r="B5" s="506"/>
      <c r="C5" s="508" t="s">
        <v>184</v>
      </c>
      <c r="D5" s="504" t="s">
        <v>159</v>
      </c>
      <c r="E5" s="498" t="s">
        <v>60</v>
      </c>
      <c r="F5" s="498"/>
      <c r="G5" s="499" t="s">
        <v>33</v>
      </c>
      <c r="H5" s="499" t="s">
        <v>270</v>
      </c>
      <c r="I5" s="497" t="s">
        <v>60</v>
      </c>
      <c r="J5" s="498"/>
      <c r="K5" s="499" t="s">
        <v>33</v>
      </c>
    </row>
    <row r="6" spans="1:21" ht="22.5" customHeight="1">
      <c r="A6" s="507"/>
      <c r="B6" s="507"/>
      <c r="C6" s="509"/>
      <c r="D6" s="505"/>
      <c r="E6" s="219" t="s">
        <v>261</v>
      </c>
      <c r="F6" s="219" t="s">
        <v>262</v>
      </c>
      <c r="G6" s="486"/>
      <c r="H6" s="486"/>
      <c r="I6" s="221" t="s">
        <v>261</v>
      </c>
      <c r="J6" s="219" t="s">
        <v>262</v>
      </c>
      <c r="K6" s="486"/>
    </row>
    <row r="7" spans="1:21" ht="12.95" customHeight="1">
      <c r="A7" s="441" t="str">
        <f>'3.1'!D5</f>
        <v>Duben</v>
      </c>
      <c r="B7" s="441"/>
      <c r="C7" s="164" t="s">
        <v>4</v>
      </c>
      <c r="D7" s="312">
        <v>134</v>
      </c>
      <c r="E7" s="308">
        <v>13889.848778400856</v>
      </c>
      <c r="F7" s="308">
        <v>151891.20647999999</v>
      </c>
      <c r="G7" s="309">
        <f t="shared" ref="G7:G12" si="0">E7/$E$13</f>
        <v>0.20887401134112787</v>
      </c>
      <c r="H7" s="309">
        <f>(E7-I7)/I7</f>
        <v>-0.10448556295887662</v>
      </c>
      <c r="I7" s="312">
        <v>15510.468847709948</v>
      </c>
      <c r="J7" s="308">
        <v>168355.70262999999</v>
      </c>
      <c r="K7" s="309">
        <f>I7/$I$13</f>
        <v>0.20805327172582813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42"/>
      <c r="B8" s="442"/>
      <c r="C8" s="154" t="s">
        <v>5</v>
      </c>
      <c r="D8" s="313">
        <v>1443</v>
      </c>
      <c r="E8" s="129">
        <v>12579.483228035755</v>
      </c>
      <c r="F8" s="129">
        <v>137562.01834000001</v>
      </c>
      <c r="G8" s="307">
        <f t="shared" si="0"/>
        <v>0.1891688789675057</v>
      </c>
      <c r="H8" s="307">
        <f t="shared" ref="H8:H11" si="1">(E8-I8)/I8</f>
        <v>-0.12047948978799081</v>
      </c>
      <c r="I8" s="313">
        <v>14302.660463260214</v>
      </c>
      <c r="J8" s="129">
        <v>155245.98737000002</v>
      </c>
      <c r="K8" s="307">
        <f t="shared" ref="K8:K12" si="2">I8/$I$13</f>
        <v>0.19185205379554257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42"/>
      <c r="B9" s="442"/>
      <c r="C9" s="154" t="s">
        <v>6</v>
      </c>
      <c r="D9" s="313">
        <v>37482</v>
      </c>
      <c r="E9" s="129">
        <v>16083.086953887409</v>
      </c>
      <c r="F9" s="129">
        <v>175875.42050882301</v>
      </c>
      <c r="G9" s="307">
        <f t="shared" si="0"/>
        <v>0.24185568470914531</v>
      </c>
      <c r="H9" s="307">
        <f t="shared" si="1"/>
        <v>-7.5324613519755751E-2</v>
      </c>
      <c r="I9" s="313">
        <v>17393.224897125587</v>
      </c>
      <c r="J9" s="129">
        <v>188792.03485525702</v>
      </c>
      <c r="K9" s="307">
        <f t="shared" si="2"/>
        <v>0.23330805672224386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42"/>
      <c r="B10" s="442"/>
      <c r="C10" s="154" t="s">
        <v>7</v>
      </c>
      <c r="D10" s="313">
        <v>366215</v>
      </c>
      <c r="E10" s="129">
        <v>21557.969116229542</v>
      </c>
      <c r="F10" s="129">
        <v>235745.59377213655</v>
      </c>
      <c r="G10" s="307">
        <f t="shared" si="0"/>
        <v>0.32418635778649812</v>
      </c>
      <c r="H10" s="307">
        <f t="shared" si="1"/>
        <v>-0.13125056077087419</v>
      </c>
      <c r="I10" s="313">
        <v>24814.944496952703</v>
      </c>
      <c r="J10" s="129">
        <v>269349.92757865082</v>
      </c>
      <c r="K10" s="307">
        <f t="shared" si="2"/>
        <v>0.33286101413034419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42"/>
      <c r="B11" s="442"/>
      <c r="C11" s="154" t="s">
        <v>93</v>
      </c>
      <c r="D11" s="313">
        <v>39</v>
      </c>
      <c r="E11" s="129">
        <v>1052.1205686644289</v>
      </c>
      <c r="F11" s="129">
        <v>11505.387490000001</v>
      </c>
      <c r="G11" s="307">
        <f t="shared" si="0"/>
        <v>1.5821672870419037E-2</v>
      </c>
      <c r="H11" s="307">
        <f t="shared" si="1"/>
        <v>4.0353063221918069E-2</v>
      </c>
      <c r="I11" s="313">
        <v>1011.3110691538385</v>
      </c>
      <c r="J11" s="129">
        <v>10977.11757</v>
      </c>
      <c r="K11" s="307">
        <f t="shared" si="2"/>
        <v>1.3565455611683003E-2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42"/>
      <c r="B12" s="442"/>
      <c r="C12" s="154" t="s">
        <v>94</v>
      </c>
      <c r="D12" s="313"/>
      <c r="E12" s="129">
        <v>1336.1844627354735</v>
      </c>
      <c r="F12" s="129">
        <v>14612.840960000001</v>
      </c>
      <c r="G12" s="307">
        <f t="shared" si="0"/>
        <v>2.0093394325303836E-2</v>
      </c>
      <c r="H12" s="307">
        <f>(E12-I12)/I12</f>
        <v>-0.11969106402938118</v>
      </c>
      <c r="I12" s="313">
        <v>1517.8585700282724</v>
      </c>
      <c r="J12" s="129">
        <v>16476.324100000002</v>
      </c>
      <c r="K12" s="307">
        <f t="shared" si="2"/>
        <v>2.0360148014358374E-2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3"/>
      <c r="B13" s="443"/>
      <c r="C13" s="318" t="s">
        <v>0</v>
      </c>
      <c r="D13" s="321">
        <v>405313</v>
      </c>
      <c r="E13" s="319">
        <v>66498.69310795347</v>
      </c>
      <c r="F13" s="319">
        <v>727192.46755095967</v>
      </c>
      <c r="G13" s="320">
        <f>SUM(G7:G12)</f>
        <v>1</v>
      </c>
      <c r="H13" s="320">
        <f>(E13-I13)/I13</f>
        <v>-0.10800435483649393</v>
      </c>
      <c r="I13" s="321">
        <v>74550.468344230554</v>
      </c>
      <c r="J13" s="319">
        <v>809197.09410390782</v>
      </c>
      <c r="K13" s="320">
        <f>SUM(K7:K12)</f>
        <v>1.0000000000000002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1" t="str">
        <f>'3.1'!E5</f>
        <v>Květen</v>
      </c>
      <c r="B14" s="441"/>
      <c r="C14" s="164" t="s">
        <v>4</v>
      </c>
      <c r="D14" s="312">
        <v>133</v>
      </c>
      <c r="E14" s="308">
        <v>8659.8149274472689</v>
      </c>
      <c r="F14" s="308">
        <v>95063.774160000001</v>
      </c>
      <c r="G14" s="309">
        <f>E14/$E$20</f>
        <v>0.27041574296449034</v>
      </c>
      <c r="H14" s="309">
        <f>(E14-I14)/I14</f>
        <v>6.3441308920444153E-2</v>
      </c>
      <c r="I14" s="312">
        <v>8143.1996808910008</v>
      </c>
      <c r="J14" s="308">
        <v>87860.812040000004</v>
      </c>
      <c r="K14" s="309">
        <f>I14/$I$20</f>
        <v>0.29480642054122025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42"/>
      <c r="B15" s="442"/>
      <c r="C15" s="154" t="s">
        <v>5</v>
      </c>
      <c r="D15" s="313">
        <v>1446</v>
      </c>
      <c r="E15" s="129">
        <v>5888.6295548911385</v>
      </c>
      <c r="F15" s="129">
        <v>64642.869200000001</v>
      </c>
      <c r="G15" s="307">
        <f t="shared" ref="G15:G19" si="3">E15/$E$20</f>
        <v>0.18388131264578225</v>
      </c>
      <c r="H15" s="307">
        <f t="shared" ref="H15:H17" si="4">(E15-I15)/I15</f>
        <v>0.18556590258353448</v>
      </c>
      <c r="I15" s="313">
        <v>4966.9356566841952</v>
      </c>
      <c r="J15" s="129">
        <v>53590.57922</v>
      </c>
      <c r="K15" s="307">
        <f t="shared" ref="K15:K19" si="5">I15/$I$20</f>
        <v>0.17981685079413476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42"/>
      <c r="B16" s="442"/>
      <c r="C16" s="154" t="s">
        <v>6</v>
      </c>
      <c r="D16" s="313">
        <v>37504</v>
      </c>
      <c r="E16" s="129">
        <v>6629.0964045905212</v>
      </c>
      <c r="F16" s="129">
        <v>72771.399151811202</v>
      </c>
      <c r="G16" s="307">
        <f t="shared" si="3"/>
        <v>0.20700350347544919</v>
      </c>
      <c r="H16" s="307">
        <f t="shared" si="4"/>
        <v>0.29872784317852408</v>
      </c>
      <c r="I16" s="313">
        <v>5104.2999034858458</v>
      </c>
      <c r="J16" s="129">
        <v>55072.665975102798</v>
      </c>
      <c r="K16" s="307">
        <f>I16/$I$20</f>
        <v>0.18478981762496954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42"/>
      <c r="B17" s="442"/>
      <c r="C17" s="154" t="s">
        <v>7</v>
      </c>
      <c r="D17" s="313">
        <v>365579</v>
      </c>
      <c r="E17" s="129">
        <v>8778.5388606202669</v>
      </c>
      <c r="F17" s="129">
        <v>96367.063685106215</v>
      </c>
      <c r="G17" s="307">
        <f t="shared" si="3"/>
        <v>0.27412307630424643</v>
      </c>
      <c r="H17" s="307">
        <f t="shared" si="4"/>
        <v>0.19797273663920018</v>
      </c>
      <c r="I17" s="313">
        <v>7327.8285825165203</v>
      </c>
      <c r="J17" s="129">
        <v>79063.351189874389</v>
      </c>
      <c r="K17" s="307">
        <f>I17/$I$20</f>
        <v>0.26528772465456329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42"/>
      <c r="B18" s="442"/>
      <c r="C18" s="154" t="s">
        <v>93</v>
      </c>
      <c r="D18" s="313">
        <v>39</v>
      </c>
      <c r="E18" s="129">
        <v>1147.7703163022784</v>
      </c>
      <c r="F18" s="129">
        <v>12599.73407</v>
      </c>
      <c r="G18" s="307">
        <f t="shared" si="3"/>
        <v>3.5840854040856594E-2</v>
      </c>
      <c r="H18" s="307">
        <f>(E18-I18)/I18</f>
        <v>5.9903351225710347E-2</v>
      </c>
      <c r="I18" s="313">
        <v>1082.900922027424</v>
      </c>
      <c r="J18" s="129">
        <v>11683.921769999999</v>
      </c>
      <c r="K18" s="307">
        <f>I18/$I$20</f>
        <v>3.9204017724487526E-2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42"/>
      <c r="B19" s="442"/>
      <c r="C19" s="154" t="s">
        <v>94</v>
      </c>
      <c r="D19" s="313"/>
      <c r="E19" s="129">
        <v>920.22824058523895</v>
      </c>
      <c r="F19" s="129">
        <v>10101.873999000001</v>
      </c>
      <c r="G19" s="307">
        <f t="shared" si="3"/>
        <v>2.8735510569175313E-2</v>
      </c>
      <c r="H19" s="307">
        <f t="shared" ref="H19" si="6">(E19-I19)/I19</f>
        <v>-7.7028406255081214E-2</v>
      </c>
      <c r="I19" s="313">
        <v>997.02769491686217</v>
      </c>
      <c r="J19" s="129">
        <v>10756.748210000002</v>
      </c>
      <c r="K19" s="307">
        <f t="shared" si="5"/>
        <v>3.6095168660624455E-2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3"/>
      <c r="B20" s="443"/>
      <c r="C20" s="318" t="s">
        <v>0</v>
      </c>
      <c r="D20" s="321">
        <v>404701</v>
      </c>
      <c r="E20" s="319">
        <v>32024.078304436709</v>
      </c>
      <c r="F20" s="319">
        <v>351546.71426591743</v>
      </c>
      <c r="G20" s="320">
        <f>SUM(G14:G19)</f>
        <v>1</v>
      </c>
      <c r="H20" s="320">
        <f>(E20-I20)/I20</f>
        <v>0.15936048064951117</v>
      </c>
      <c r="I20" s="321">
        <v>27622.192440521852</v>
      </c>
      <c r="J20" s="319">
        <v>298028.07840497722</v>
      </c>
      <c r="K20" s="320">
        <f>SUM(K14:K19)</f>
        <v>0.99999999999999978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1" t="str">
        <f>'3.1'!F5</f>
        <v>Červen</v>
      </c>
      <c r="B21" s="441"/>
      <c r="C21" s="164" t="s">
        <v>4</v>
      </c>
      <c r="D21" s="312">
        <v>134</v>
      </c>
      <c r="E21" s="308">
        <v>5960.1159901026176</v>
      </c>
      <c r="F21" s="308">
        <v>65443.604941869024</v>
      </c>
      <c r="G21" s="309">
        <f>E21/$E$27</f>
        <v>0.31020937257571729</v>
      </c>
      <c r="H21" s="309">
        <f>(E21-I21)/I21</f>
        <v>-3.9448153353507494E-2</v>
      </c>
      <c r="I21" s="312">
        <v>6204.8873373267188</v>
      </c>
      <c r="J21" s="308">
        <v>67960.032089999993</v>
      </c>
      <c r="K21" s="309">
        <f>I21/$I$27</f>
        <v>0.32067447895156836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42"/>
      <c r="B22" s="442"/>
      <c r="C22" s="154" t="s">
        <v>5</v>
      </c>
      <c r="D22" s="313">
        <v>1439</v>
      </c>
      <c r="E22" s="129">
        <v>3222.5868107857036</v>
      </c>
      <c r="F22" s="129">
        <v>35384.87139</v>
      </c>
      <c r="G22" s="307">
        <f t="shared" ref="G22:G26" si="7">E22/$E$27</f>
        <v>0.1677277144110417</v>
      </c>
      <c r="H22" s="307">
        <f t="shared" ref="H22:H26" si="8">(E22-I22)/I22</f>
        <v>-3.8927582448047601E-2</v>
      </c>
      <c r="I22" s="313">
        <v>3353.1154904999667</v>
      </c>
      <c r="J22" s="129">
        <v>36725.525289999998</v>
      </c>
      <c r="K22" s="307">
        <f t="shared" ref="K22:K26" si="9">I22/$I$27</f>
        <v>0.17329219763783307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42"/>
      <c r="B23" s="442"/>
      <c r="C23" s="154" t="s">
        <v>6</v>
      </c>
      <c r="D23" s="313">
        <v>37360</v>
      </c>
      <c r="E23" s="129">
        <v>3384.2737150390822</v>
      </c>
      <c r="F23" s="129">
        <v>37160.237159295793</v>
      </c>
      <c r="G23" s="307">
        <f t="shared" si="7"/>
        <v>0.17614311995104145</v>
      </c>
      <c r="H23" s="307">
        <f t="shared" si="8"/>
        <v>0.10447684963488073</v>
      </c>
      <c r="I23" s="313">
        <v>3064.141829824554</v>
      </c>
      <c r="J23" s="129">
        <v>33560.4957783871</v>
      </c>
      <c r="K23" s="307">
        <f t="shared" si="9"/>
        <v>0.15835776401639373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42"/>
      <c r="B24" s="442"/>
      <c r="C24" s="154" t="s">
        <v>7</v>
      </c>
      <c r="D24" s="313">
        <v>364874</v>
      </c>
      <c r="E24" s="129">
        <v>4689.0330551994848</v>
      </c>
      <c r="F24" s="129">
        <v>51486.846233706005</v>
      </c>
      <c r="G24" s="307">
        <f t="shared" si="7"/>
        <v>0.24405263328024374</v>
      </c>
      <c r="H24" s="307">
        <f t="shared" si="8"/>
        <v>-7.7321102949377057E-3</v>
      </c>
      <c r="I24" s="313">
        <v>4725.5716967655117</v>
      </c>
      <c r="J24" s="129">
        <v>51757.567954628648</v>
      </c>
      <c r="K24" s="307">
        <f t="shared" si="9"/>
        <v>0.24422203969644252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42"/>
      <c r="B25" s="442"/>
      <c r="C25" s="154" t="s">
        <v>93</v>
      </c>
      <c r="D25" s="313">
        <v>39</v>
      </c>
      <c r="E25" s="129">
        <v>1111.3854542839056</v>
      </c>
      <c r="F25" s="129">
        <v>12203.311709999998</v>
      </c>
      <c r="G25" s="307">
        <f t="shared" si="7"/>
        <v>5.7844878360706703E-2</v>
      </c>
      <c r="H25" s="307">
        <f t="shared" si="8"/>
        <v>1.1893528774633382E-2</v>
      </c>
      <c r="I25" s="313">
        <v>1098.3225237439292</v>
      </c>
      <c r="J25" s="129">
        <v>12029.55035</v>
      </c>
      <c r="K25" s="307">
        <f t="shared" si="9"/>
        <v>5.6762352622198912E-2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42"/>
      <c r="B26" s="442"/>
      <c r="C26" s="154" t="s">
        <v>94</v>
      </c>
      <c r="D26" s="313"/>
      <c r="E26" s="129">
        <v>845.80907804628407</v>
      </c>
      <c r="F26" s="129">
        <v>9289.4076029999997</v>
      </c>
      <c r="G26" s="307">
        <f t="shared" si="7"/>
        <v>4.4022281421249025E-2</v>
      </c>
      <c r="H26" s="307">
        <f t="shared" si="8"/>
        <v>-6.3801135732304892E-2</v>
      </c>
      <c r="I26" s="313">
        <v>903.45022871597382</v>
      </c>
      <c r="J26" s="129">
        <v>9895.1808599999986</v>
      </c>
      <c r="K26" s="307">
        <f t="shared" si="9"/>
        <v>4.6691167075563506E-2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3"/>
      <c r="B27" s="443"/>
      <c r="C27" s="318" t="s">
        <v>0</v>
      </c>
      <c r="D27" s="321">
        <v>403846</v>
      </c>
      <c r="E27" s="319">
        <v>19213.204103457079</v>
      </c>
      <c r="F27" s="319">
        <v>210968.27903787085</v>
      </c>
      <c r="G27" s="320">
        <f>SUM(G21:G26)</f>
        <v>0.99999999999999989</v>
      </c>
      <c r="H27" s="320">
        <f>(E27-I27)/I27</f>
        <v>-7.0433385949780977E-3</v>
      </c>
      <c r="I27" s="321">
        <v>19349.489106876652</v>
      </c>
      <c r="J27" s="319">
        <v>211928.35232301572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10" t="str">
        <f>'3.1'!G5</f>
        <v>II. čtvrtletí</v>
      </c>
      <c r="B28" s="510"/>
      <c r="C28" s="164" t="s">
        <v>4</v>
      </c>
      <c r="D28" s="312">
        <f>D21</f>
        <v>134</v>
      </c>
      <c r="E28" s="308">
        <f>E7+E14+E21</f>
        <v>28509.779695950743</v>
      </c>
      <c r="F28" s="308">
        <f>F7+F14+F21</f>
        <v>312398.585581869</v>
      </c>
      <c r="G28" s="309">
        <f>E28/$E$34</f>
        <v>0.24215011232580586</v>
      </c>
      <c r="H28" s="309">
        <f>(E28-I28)/I28</f>
        <v>-4.5172183679387086E-2</v>
      </c>
      <c r="I28" s="312">
        <f>I7+I14+I21</f>
        <v>29858.555865927668</v>
      </c>
      <c r="J28" s="308">
        <f>J7+J14+J21</f>
        <v>324176.54676</v>
      </c>
      <c r="K28" s="309">
        <f>I28/$I$34</f>
        <v>0.24570463814666632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511"/>
      <c r="B29" s="511"/>
      <c r="C29" s="154" t="s">
        <v>5</v>
      </c>
      <c r="D29" s="313">
        <f t="shared" ref="D29:D32" si="10">D22</f>
        <v>1439</v>
      </c>
      <c r="E29" s="129">
        <f>E8+E15+E22</f>
        <v>21690.699593712598</v>
      </c>
      <c r="F29" s="129">
        <f t="shared" ref="F29" si="11">F8+F15+F22</f>
        <v>237589.75893000001</v>
      </c>
      <c r="G29" s="307">
        <f t="shared" ref="G29:G33" si="12">E29/$E$34</f>
        <v>0.18423170571847028</v>
      </c>
      <c r="H29" s="307">
        <f t="shared" ref="H29:H31" si="13">(E29-I29)/I29</f>
        <v>-4.1198068241363774E-2</v>
      </c>
      <c r="I29" s="313">
        <f>I8+I15+I22</f>
        <v>22622.711610444378</v>
      </c>
      <c r="J29" s="129">
        <f t="shared" ref="J29" si="14">J8+J15+J22</f>
        <v>245562.09187999999</v>
      </c>
      <c r="K29" s="307">
        <f t="shared" ref="K29:K33" si="15">I29/$I$34</f>
        <v>0.18616121942064753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511"/>
      <c r="B30" s="511"/>
      <c r="C30" s="154" t="s">
        <v>6</v>
      </c>
      <c r="D30" s="313">
        <f t="shared" si="10"/>
        <v>37360</v>
      </c>
      <c r="E30" s="129">
        <f t="shared" ref="E30:F33" si="16">E9+E16+E23</f>
        <v>26096.457073517013</v>
      </c>
      <c r="F30" s="129">
        <f t="shared" si="16"/>
        <v>285807.05681992997</v>
      </c>
      <c r="G30" s="307">
        <f t="shared" si="12"/>
        <v>0.22165236206841832</v>
      </c>
      <c r="H30" s="307">
        <f t="shared" si="13"/>
        <v>2.0921579598579623E-2</v>
      </c>
      <c r="I30" s="313">
        <f t="shared" ref="I30:J32" si="17">I9+I16+I23</f>
        <v>25561.66663043599</v>
      </c>
      <c r="J30" s="129">
        <f t="shared" si="17"/>
        <v>277425.19660874695</v>
      </c>
      <c r="K30" s="307">
        <f t="shared" si="15"/>
        <v>0.21034574070020448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511"/>
      <c r="B31" s="511"/>
      <c r="C31" s="154" t="s">
        <v>7</v>
      </c>
      <c r="D31" s="313">
        <f t="shared" si="10"/>
        <v>364874</v>
      </c>
      <c r="E31" s="129">
        <f>E10+E17+E24</f>
        <v>35025.541032049296</v>
      </c>
      <c r="F31" s="129">
        <f t="shared" si="16"/>
        <v>383599.50369094877</v>
      </c>
      <c r="G31" s="307">
        <f t="shared" si="12"/>
        <v>0.29749225653916511</v>
      </c>
      <c r="H31" s="307">
        <f t="shared" si="13"/>
        <v>-4.9983359854367727E-2</v>
      </c>
      <c r="I31" s="313">
        <f>I10+I17+I24</f>
        <v>36868.344776234735</v>
      </c>
      <c r="J31" s="129">
        <f t="shared" si="17"/>
        <v>400170.8467231539</v>
      </c>
      <c r="K31" s="307">
        <f t="shared" si="15"/>
        <v>0.30338785817328906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511"/>
      <c r="B32" s="511"/>
      <c r="C32" s="154" t="s">
        <v>93</v>
      </c>
      <c r="D32" s="313">
        <f t="shared" si="10"/>
        <v>39</v>
      </c>
      <c r="E32" s="129">
        <f>E11+E18+E25</f>
        <v>3311.2763392506131</v>
      </c>
      <c r="F32" s="129">
        <f t="shared" si="16"/>
        <v>36308.433269999994</v>
      </c>
      <c r="G32" s="307">
        <f t="shared" si="12"/>
        <v>2.812459254482429E-2</v>
      </c>
      <c r="H32" s="307">
        <f>(E32-I32)/I32</f>
        <v>3.7193591414689489E-2</v>
      </c>
      <c r="I32" s="313">
        <f>I11+I18+I25</f>
        <v>3192.5345149251916</v>
      </c>
      <c r="J32" s="129">
        <f t="shared" si="17"/>
        <v>34690.589690000001</v>
      </c>
      <c r="K32" s="307">
        <f t="shared" si="15"/>
        <v>2.6271214900100332E-2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511"/>
      <c r="B33" s="511"/>
      <c r="C33" s="154" t="s">
        <v>94</v>
      </c>
      <c r="D33" s="313"/>
      <c r="E33" s="129">
        <f t="shared" si="16"/>
        <v>3102.2217813669963</v>
      </c>
      <c r="F33" s="129">
        <f t="shared" si="16"/>
        <v>34004.122562000004</v>
      </c>
      <c r="G33" s="307">
        <f t="shared" si="12"/>
        <v>2.634897080331608E-2</v>
      </c>
      <c r="H33" s="307">
        <f t="shared" ref="H33" si="18">(E33-I33)/I33</f>
        <v>-9.2476183336634335E-2</v>
      </c>
      <c r="I33" s="313">
        <f t="shared" ref="I33:J33" si="19">I12+I19+I26</f>
        <v>3418.3364936611088</v>
      </c>
      <c r="J33" s="129">
        <f t="shared" si="19"/>
        <v>37128.253170000004</v>
      </c>
      <c r="K33" s="307">
        <f t="shared" si="15"/>
        <v>2.8129328659092272E-2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512"/>
      <c r="B34" s="512"/>
      <c r="C34" s="318" t="s">
        <v>0</v>
      </c>
      <c r="D34" s="321">
        <f>SUM(D28:D33)</f>
        <v>403846</v>
      </c>
      <c r="E34" s="319">
        <f>SUM(E28:E33)</f>
        <v>117735.97551584727</v>
      </c>
      <c r="F34" s="319">
        <f>SUM(F28:F33)</f>
        <v>1289707.4608547478</v>
      </c>
      <c r="G34" s="320">
        <f>SUM(G28:G33)</f>
        <v>0.99999999999999989</v>
      </c>
      <c r="H34" s="320">
        <f>(E34-I34)/I34</f>
        <v>-3.1156249121318504E-2</v>
      </c>
      <c r="I34" s="321">
        <f>SUM(I28:I33)</f>
        <v>121522.14989162907</v>
      </c>
      <c r="J34" s="319">
        <f>SUM(J28:J33)</f>
        <v>1319153.5248319008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5" t="s">
        <v>272</v>
      </c>
      <c r="H35" s="495"/>
      <c r="I35" s="495"/>
      <c r="J35" s="495"/>
      <c r="K35" s="495"/>
    </row>
    <row r="36" spans="1:20" ht="15" customHeight="1">
      <c r="A36" s="487" t="s">
        <v>271</v>
      </c>
      <c r="B36" s="487"/>
      <c r="C36" s="487"/>
      <c r="D36" s="487"/>
      <c r="E36" s="487"/>
      <c r="F36" s="119"/>
      <c r="G36" s="495"/>
      <c r="H36" s="495"/>
      <c r="I36" s="495"/>
      <c r="J36" s="495"/>
      <c r="K36" s="495"/>
      <c r="M36" s="93"/>
      <c r="N36" s="93"/>
      <c r="O36" s="93"/>
      <c r="P36" s="93"/>
      <c r="Q36" s="93"/>
      <c r="R36" s="93"/>
      <c r="S36" s="93"/>
    </row>
    <row r="37" spans="1:20" ht="15" customHeight="1">
      <c r="A37" s="488" t="str">
        <f>A28</f>
        <v>II. čtvrtletí</v>
      </c>
      <c r="B37" s="489"/>
      <c r="C37" s="489"/>
      <c r="D37" s="489"/>
      <c r="E37" s="489"/>
      <c r="F37" s="125"/>
      <c r="G37" s="490" t="str">
        <f>A28</f>
        <v>II. čtvrtletí</v>
      </c>
      <c r="H37" s="490"/>
      <c r="I37" s="490"/>
      <c r="J37" s="490"/>
      <c r="K37" s="49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Duben</v>
      </c>
      <c r="C42" s="78">
        <f>E13</f>
        <v>66498.69310795347</v>
      </c>
      <c r="D42" s="78">
        <f>I13</f>
        <v>74550.468344230554</v>
      </c>
      <c r="E42" s="76"/>
      <c r="F42" s="76"/>
      <c r="G42" s="76"/>
      <c r="H42" s="94" t="str">
        <f>A7</f>
        <v>Duben</v>
      </c>
      <c r="I42" s="95">
        <f>E13/E34</f>
        <v>0.56481201108324564</v>
      </c>
      <c r="J42" s="95">
        <f>I13/I34</f>
        <v>0.61347226337513872</v>
      </c>
      <c r="K42" s="94"/>
    </row>
    <row r="43" spans="1:20" ht="15" customHeight="1">
      <c r="A43" s="94"/>
      <c r="B43" s="94" t="str">
        <f>A14</f>
        <v>Květen</v>
      </c>
      <c r="C43" s="78">
        <f>E20</f>
        <v>32024.078304436709</v>
      </c>
      <c r="D43" s="78">
        <f>I20</f>
        <v>27622.192440521852</v>
      </c>
      <c r="E43" s="76"/>
      <c r="F43" s="76"/>
      <c r="G43" s="76"/>
      <c r="H43" s="94" t="str">
        <f>A14</f>
        <v>Květen</v>
      </c>
      <c r="I43" s="95">
        <f>E20/E34</f>
        <v>0.271999090882177</v>
      </c>
      <c r="J43" s="95">
        <f>I20/I34</f>
        <v>0.22730170973073427</v>
      </c>
      <c r="K43" s="94"/>
    </row>
    <row r="44" spans="1:20" ht="15" customHeight="1">
      <c r="A44" s="94"/>
      <c r="B44" s="94" t="str">
        <f>A21</f>
        <v>Červen</v>
      </c>
      <c r="C44" s="78">
        <f>E27</f>
        <v>19213.204103457079</v>
      </c>
      <c r="D44" s="78">
        <f>I27</f>
        <v>19349.489106876652</v>
      </c>
      <c r="E44" s="76"/>
      <c r="F44" s="76"/>
      <c r="G44" s="76"/>
      <c r="H44" s="94" t="str">
        <f>A21</f>
        <v>Červen</v>
      </c>
      <c r="I44" s="95">
        <f>E27/E34</f>
        <v>0.1631888980345772</v>
      </c>
      <c r="J44" s="95">
        <f>I27/I34</f>
        <v>0.1592260268941269</v>
      </c>
      <c r="K44" s="94"/>
    </row>
    <row r="45" spans="1:20" ht="15" customHeight="1">
      <c r="A45" s="94"/>
      <c r="B45" s="94"/>
      <c r="C45" s="78">
        <f>SUM(C42:C44)</f>
        <v>117735.97551584727</v>
      </c>
      <c r="D45" s="78">
        <f>SUM(D42:D44)</f>
        <v>121522.14989162906</v>
      </c>
      <c r="E45" s="94"/>
      <c r="F45" s="94"/>
      <c r="G45" s="94"/>
      <c r="H45" s="94"/>
      <c r="I45" s="96">
        <f>SUM(I42:I44)</f>
        <v>0.99999999999999978</v>
      </c>
      <c r="J45" s="96">
        <f>SUM(J42:J44)</f>
        <v>0.99999999999999989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299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96"/>
      <c r="B2" s="496"/>
      <c r="C2" s="496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6" t="s">
        <v>88</v>
      </c>
      <c r="B3" s="506"/>
      <c r="C3" s="506"/>
      <c r="D3" s="341">
        <f>'3.1'!A4</f>
        <v>2023</v>
      </c>
      <c r="E3" s="501"/>
      <c r="F3" s="501"/>
      <c r="G3" s="501"/>
      <c r="H3" s="340"/>
      <c r="I3" s="500">
        <f>D3-1</f>
        <v>2022</v>
      </c>
      <c r="J3" s="501"/>
      <c r="K3" s="501"/>
    </row>
    <row r="4" spans="1:21" ht="50.1" customHeight="1">
      <c r="A4" s="507"/>
      <c r="B4" s="507"/>
      <c r="C4" s="507"/>
      <c r="D4" s="343"/>
      <c r="E4" s="503"/>
      <c r="F4" s="503"/>
      <c r="G4" s="503"/>
      <c r="H4" s="174"/>
      <c r="I4" s="502"/>
      <c r="J4" s="503"/>
      <c r="K4" s="503"/>
    </row>
    <row r="5" spans="1:21" ht="24.95" customHeight="1">
      <c r="A5" s="506" t="s">
        <v>158</v>
      </c>
      <c r="B5" s="506"/>
      <c r="C5" s="508" t="s">
        <v>184</v>
      </c>
      <c r="D5" s="504" t="s">
        <v>159</v>
      </c>
      <c r="E5" s="498" t="s">
        <v>60</v>
      </c>
      <c r="F5" s="498"/>
      <c r="G5" s="499" t="s">
        <v>33</v>
      </c>
      <c r="H5" s="499" t="s">
        <v>270</v>
      </c>
      <c r="I5" s="497" t="s">
        <v>60</v>
      </c>
      <c r="J5" s="498"/>
      <c r="K5" s="499" t="s">
        <v>33</v>
      </c>
    </row>
    <row r="6" spans="1:21" ht="22.5" customHeight="1">
      <c r="A6" s="507"/>
      <c r="B6" s="507"/>
      <c r="C6" s="509"/>
      <c r="D6" s="505"/>
      <c r="E6" s="219" t="s">
        <v>261</v>
      </c>
      <c r="F6" s="219" t="s">
        <v>262</v>
      </c>
      <c r="G6" s="486"/>
      <c r="H6" s="486"/>
      <c r="I6" s="221" t="s">
        <v>261</v>
      </c>
      <c r="J6" s="219" t="s">
        <v>262</v>
      </c>
      <c r="K6" s="486"/>
    </row>
    <row r="7" spans="1:21" ht="12.95" customHeight="1">
      <c r="A7" s="441" t="str">
        <f>'3.1'!D5</f>
        <v>Duben</v>
      </c>
      <c r="B7" s="441"/>
      <c r="C7" s="164" t="s">
        <v>4</v>
      </c>
      <c r="D7" s="312">
        <v>1234</v>
      </c>
      <c r="E7" s="308">
        <v>227661.68199999997</v>
      </c>
      <c r="F7" s="308">
        <v>2482647.5759699997</v>
      </c>
      <c r="G7" s="309">
        <f t="shared" ref="G7:G12" si="0">E7/$E$13</f>
        <v>0.45570333807941221</v>
      </c>
      <c r="H7" s="309">
        <f>(E7-I7)/I7</f>
        <v>-0.10596827232625705</v>
      </c>
      <c r="I7" s="312">
        <v>254646.08799999999</v>
      </c>
      <c r="J7" s="308">
        <v>2744085.0037199995</v>
      </c>
      <c r="K7" s="309">
        <f>I7/$I$13</f>
        <v>0.45221583461648007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42"/>
      <c r="B8" s="442"/>
      <c r="C8" s="154" t="s">
        <v>5</v>
      </c>
      <c r="D8" s="313">
        <v>4233</v>
      </c>
      <c r="E8" s="129">
        <v>40737.292999999998</v>
      </c>
      <c r="F8" s="129">
        <v>444240.11348999984</v>
      </c>
      <c r="G8" s="307">
        <f t="shared" si="0"/>
        <v>8.1542577746654243E-2</v>
      </c>
      <c r="H8" s="307">
        <f t="shared" ref="H8:H11" si="1">(E8-I8)/I8</f>
        <v>-0.14855900861437973</v>
      </c>
      <c r="I8" s="313">
        <v>47845.115999999995</v>
      </c>
      <c r="J8" s="129">
        <v>515581.90635999985</v>
      </c>
      <c r="K8" s="307">
        <f t="shared" ref="K8:K12" si="2">I8/$I$13</f>
        <v>8.4966233858901077E-2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42"/>
      <c r="B9" s="442"/>
      <c r="C9" s="154" t="s">
        <v>6</v>
      </c>
      <c r="D9" s="313">
        <v>153761</v>
      </c>
      <c r="E9" s="129">
        <v>72996.615999999995</v>
      </c>
      <c r="F9" s="129">
        <v>796025.34274999984</v>
      </c>
      <c r="G9" s="307">
        <f t="shared" si="0"/>
        <v>0.14611506551067752</v>
      </c>
      <c r="H9" s="307">
        <f t="shared" si="1"/>
        <v>-0.12554688497094971</v>
      </c>
      <c r="I9" s="313">
        <v>83476.877999999997</v>
      </c>
      <c r="J9" s="129">
        <v>899557.58789000008</v>
      </c>
      <c r="K9" s="307">
        <f t="shared" si="2"/>
        <v>0.14824325931112708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42"/>
      <c r="B10" s="442"/>
      <c r="C10" s="154" t="s">
        <v>7</v>
      </c>
      <c r="D10" s="313">
        <v>2083152</v>
      </c>
      <c r="E10" s="129">
        <v>148258.79999999999</v>
      </c>
      <c r="F10" s="129">
        <v>1616760.4</v>
      </c>
      <c r="G10" s="307">
        <f t="shared" si="0"/>
        <v>0.29676504832134187</v>
      </c>
      <c r="H10" s="307">
        <f t="shared" si="1"/>
        <v>-0.12289818650366863</v>
      </c>
      <c r="I10" s="313">
        <v>169032.6</v>
      </c>
      <c r="J10" s="129">
        <v>1821508.9</v>
      </c>
      <c r="K10" s="307">
        <f t="shared" si="2"/>
        <v>0.30017825479570548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42"/>
      <c r="B11" s="442"/>
      <c r="C11" s="154" t="s">
        <v>93</v>
      </c>
      <c r="D11" s="313">
        <v>212</v>
      </c>
      <c r="E11" s="129">
        <v>5736.1949999999997</v>
      </c>
      <c r="F11" s="129">
        <v>62553.117209999989</v>
      </c>
      <c r="G11" s="307">
        <f t="shared" si="0"/>
        <v>1.1481963879079283E-2</v>
      </c>
      <c r="H11" s="307">
        <f t="shared" si="1"/>
        <v>-5.5918004591874682E-2</v>
      </c>
      <c r="I11" s="313">
        <v>6075.9500000000007</v>
      </c>
      <c r="J11" s="129">
        <v>65474.962349999987</v>
      </c>
      <c r="K11" s="307">
        <f t="shared" si="2"/>
        <v>1.0790037349162037E-2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42"/>
      <c r="B12" s="442"/>
      <c r="C12" s="154" t="s">
        <v>94</v>
      </c>
      <c r="D12" s="313"/>
      <c r="E12" s="129">
        <v>4192.5045244038265</v>
      </c>
      <c r="F12" s="129">
        <v>45719.195900000057</v>
      </c>
      <c r="G12" s="307">
        <f t="shared" si="0"/>
        <v>8.3920064628348941E-3</v>
      </c>
      <c r="H12" s="307">
        <f>(E12-I12)/I12</f>
        <v>1.0644805823951666</v>
      </c>
      <c r="I12" s="313">
        <v>2030.7793447685381</v>
      </c>
      <c r="J12" s="129">
        <v>21883.846779999942</v>
      </c>
      <c r="K12" s="307">
        <f t="shared" si="2"/>
        <v>3.6063800686245494E-3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3"/>
      <c r="B13" s="443"/>
      <c r="C13" s="318" t="s">
        <v>0</v>
      </c>
      <c r="D13" s="321">
        <v>2242592</v>
      </c>
      <c r="E13" s="319">
        <v>499583.09052440379</v>
      </c>
      <c r="F13" s="319">
        <v>5447945.7453199988</v>
      </c>
      <c r="G13" s="320">
        <f>SUM(G7:G12)</f>
        <v>1.0000000000000002</v>
      </c>
      <c r="H13" s="320">
        <f>(E13-I13)/I13</f>
        <v>-0.11281030854959065</v>
      </c>
      <c r="I13" s="321">
        <v>563107.41134476836</v>
      </c>
      <c r="J13" s="319">
        <v>6068092.2070999993</v>
      </c>
      <c r="K13" s="320">
        <f>SUM(K7:K12)</f>
        <v>1.0000000000000004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1" t="str">
        <f>'3.1'!E5</f>
        <v>Květen</v>
      </c>
      <c r="B14" s="441"/>
      <c r="C14" s="164" t="s">
        <v>4</v>
      </c>
      <c r="D14" s="312">
        <v>1234</v>
      </c>
      <c r="E14" s="308">
        <v>190428.06099999996</v>
      </c>
      <c r="F14" s="308">
        <v>2084657.6573600001</v>
      </c>
      <c r="G14" s="309">
        <f>E14/$E$20</f>
        <v>0.61009295927118845</v>
      </c>
      <c r="H14" s="309">
        <f>(E14-I14)/I14</f>
        <v>-0.10346332119191663</v>
      </c>
      <c r="I14" s="312">
        <v>212404.09400000001</v>
      </c>
      <c r="J14" s="308">
        <v>2282259.15356</v>
      </c>
      <c r="K14" s="309">
        <f>I14/$I$20</f>
        <v>0.67684108392868891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42"/>
      <c r="B15" s="442"/>
      <c r="C15" s="154" t="s">
        <v>5</v>
      </c>
      <c r="D15" s="313">
        <v>4230</v>
      </c>
      <c r="E15" s="129">
        <v>25234.908999999996</v>
      </c>
      <c r="F15" s="129">
        <v>276253.02778</v>
      </c>
      <c r="G15" s="307">
        <f t="shared" ref="G15:G19" si="3">E15/$E$20</f>
        <v>8.0847540157168052E-2</v>
      </c>
      <c r="H15" s="307">
        <f t="shared" ref="H15:H17" si="4">(E15-I15)/I15</f>
        <v>2.2116228501863344E-2</v>
      </c>
      <c r="I15" s="313">
        <v>24688.883999999998</v>
      </c>
      <c r="J15" s="129">
        <v>265279.9615899999</v>
      </c>
      <c r="K15" s="307">
        <f t="shared" ref="K15:K19" si="5">I15/$I$20</f>
        <v>7.8672923354997398E-2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42"/>
      <c r="B16" s="442"/>
      <c r="C16" s="154" t="s">
        <v>6</v>
      </c>
      <c r="D16" s="313">
        <v>153620</v>
      </c>
      <c r="E16" s="129">
        <v>28364.941000000003</v>
      </c>
      <c r="F16" s="129">
        <v>310518.07118999993</v>
      </c>
      <c r="G16" s="307">
        <f t="shared" si="3"/>
        <v>9.0875529075741979E-2</v>
      </c>
      <c r="H16" s="307">
        <f t="shared" si="4"/>
        <v>0.10034521390538219</v>
      </c>
      <c r="I16" s="313">
        <v>25778.22</v>
      </c>
      <c r="J16" s="129">
        <v>276984.44539999997</v>
      </c>
      <c r="K16" s="307">
        <f>I16/$I$20</f>
        <v>8.2144171696390211E-2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42"/>
      <c r="B17" s="442"/>
      <c r="C17" s="154" t="s">
        <v>7</v>
      </c>
      <c r="D17" s="313">
        <v>2080920</v>
      </c>
      <c r="E17" s="129">
        <v>57452.500000000007</v>
      </c>
      <c r="F17" s="129">
        <v>628944.80000000005</v>
      </c>
      <c r="G17" s="307">
        <f t="shared" si="3"/>
        <v>0.18406617994460367</v>
      </c>
      <c r="H17" s="307">
        <f t="shared" si="4"/>
        <v>0.31381561646028444</v>
      </c>
      <c r="I17" s="313">
        <v>43729.5</v>
      </c>
      <c r="J17" s="129">
        <v>469868.2</v>
      </c>
      <c r="K17" s="307">
        <f>I17/$I$20</f>
        <v>0.139347230188791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42"/>
      <c r="B18" s="442"/>
      <c r="C18" s="154" t="s">
        <v>93</v>
      </c>
      <c r="D18" s="313">
        <v>212</v>
      </c>
      <c r="E18" s="129">
        <v>6066.7879999999996</v>
      </c>
      <c r="F18" s="129">
        <v>66414.499819999997</v>
      </c>
      <c r="G18" s="307">
        <f t="shared" si="3"/>
        <v>1.9436760657826239E-2</v>
      </c>
      <c r="H18" s="307">
        <f>(E18-I18)/I18</f>
        <v>-6.0321506115480851E-2</v>
      </c>
      <c r="I18" s="313">
        <v>6456.2379999999994</v>
      </c>
      <c r="J18" s="129">
        <v>69371.578670000003</v>
      </c>
      <c r="K18" s="307">
        <f>I18/$I$20</f>
        <v>2.0573271652765741E-2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42"/>
      <c r="B19" s="442"/>
      <c r="C19" s="154" t="s">
        <v>94</v>
      </c>
      <c r="D19" s="313"/>
      <c r="E19" s="129">
        <v>4582.3840515461725</v>
      </c>
      <c r="F19" s="129">
        <v>50164.384419999908</v>
      </c>
      <c r="G19" s="307">
        <f t="shared" si="3"/>
        <v>1.4681030893471645E-2</v>
      </c>
      <c r="H19" s="307">
        <f t="shared" ref="H19" si="6">(E19-I19)/I19</f>
        <v>5.0306381649787788</v>
      </c>
      <c r="I19" s="313">
        <v>759.85060389745627</v>
      </c>
      <c r="J19" s="129">
        <v>8164.51356999994</v>
      </c>
      <c r="K19" s="307">
        <f t="shared" si="5"/>
        <v>2.421319178366793E-3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3"/>
      <c r="B20" s="443"/>
      <c r="C20" s="318" t="s">
        <v>0</v>
      </c>
      <c r="D20" s="321">
        <v>2240216</v>
      </c>
      <c r="E20" s="319">
        <v>312129.58305154613</v>
      </c>
      <c r="F20" s="319">
        <v>3416952.4405700001</v>
      </c>
      <c r="G20" s="320">
        <f>SUM(G14:G19)</f>
        <v>1.0000000000000002</v>
      </c>
      <c r="H20" s="320">
        <f>(E20-I20)/I20</f>
        <v>-5.376396752417638E-3</v>
      </c>
      <c r="I20" s="321">
        <v>313816.78660389746</v>
      </c>
      <c r="J20" s="319">
        <v>3371927.8527900004</v>
      </c>
      <c r="K20" s="320">
        <f>SUM(K14:K19)</f>
        <v>1.0000000000000002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1" t="str">
        <f>'3.1'!F5</f>
        <v>Červen</v>
      </c>
      <c r="B21" s="441"/>
      <c r="C21" s="164" t="s">
        <v>4</v>
      </c>
      <c r="D21" s="312">
        <v>1233</v>
      </c>
      <c r="E21" s="308">
        <v>171055.80900000001</v>
      </c>
      <c r="F21" s="308">
        <v>1873031.2898900001</v>
      </c>
      <c r="G21" s="309">
        <f>E21/$E$27</f>
        <v>0.73106886398167592</v>
      </c>
      <c r="H21" s="309">
        <f>(E21-I21)/I21</f>
        <v>-0.11387612145710579</v>
      </c>
      <c r="I21" s="312">
        <v>193038.25700000001</v>
      </c>
      <c r="J21" s="308">
        <v>2090938.5697499998</v>
      </c>
      <c r="K21" s="309">
        <f>I21/$I$27</f>
        <v>0.74465108311536021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42"/>
      <c r="B22" s="442"/>
      <c r="C22" s="154" t="s">
        <v>5</v>
      </c>
      <c r="D22" s="313">
        <v>4230</v>
      </c>
      <c r="E22" s="129">
        <v>18207.617999999995</v>
      </c>
      <c r="F22" s="129">
        <v>199369.60620999997</v>
      </c>
      <c r="G22" s="307">
        <f t="shared" ref="G22:G26" si="7">E22/$E$27</f>
        <v>7.7816840508890942E-2</v>
      </c>
      <c r="H22" s="307">
        <f t="shared" ref="H22:H26" si="8">(E22-I22)/I22</f>
        <v>-5.3717324549960754E-2</v>
      </c>
      <c r="I22" s="313">
        <v>19241.203999999998</v>
      </c>
      <c r="J22" s="129">
        <v>208414.46673000007</v>
      </c>
      <c r="K22" s="307">
        <f t="shared" ref="K22:K26" si="9">I22/$I$27</f>
        <v>7.4223543155197455E-2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42"/>
      <c r="B23" s="442"/>
      <c r="C23" s="154" t="s">
        <v>6</v>
      </c>
      <c r="D23" s="313">
        <v>153442</v>
      </c>
      <c r="E23" s="129">
        <v>12581.766</v>
      </c>
      <c r="F23" s="129">
        <v>137770.46635</v>
      </c>
      <c r="G23" s="307">
        <f t="shared" si="7"/>
        <v>5.3772727335458535E-2</v>
      </c>
      <c r="H23" s="307">
        <f t="shared" si="8"/>
        <v>-0.21035222259669786</v>
      </c>
      <c r="I23" s="313">
        <v>15933.39</v>
      </c>
      <c r="J23" s="129">
        <v>172588.12846000001</v>
      </c>
      <c r="K23" s="307">
        <f t="shared" si="9"/>
        <v>6.1463547721524688E-2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42"/>
      <c r="B24" s="442"/>
      <c r="C24" s="154" t="s">
        <v>7</v>
      </c>
      <c r="D24" s="313">
        <v>2078577</v>
      </c>
      <c r="E24" s="129">
        <v>25704.400000000001</v>
      </c>
      <c r="F24" s="129">
        <v>281457.69999999995</v>
      </c>
      <c r="G24" s="307">
        <f t="shared" si="7"/>
        <v>0.1098570496797954</v>
      </c>
      <c r="H24" s="307">
        <f t="shared" si="8"/>
        <v>1.9216452089447817E-3</v>
      </c>
      <c r="I24" s="313">
        <v>25655.100000000002</v>
      </c>
      <c r="J24" s="129">
        <v>277889.8</v>
      </c>
      <c r="K24" s="307">
        <f t="shared" si="9"/>
        <v>9.8965346555283482E-2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42"/>
      <c r="B25" s="442"/>
      <c r="C25" s="154" t="s">
        <v>93</v>
      </c>
      <c r="D25" s="313">
        <v>212</v>
      </c>
      <c r="E25" s="129">
        <v>6061.7610000000004</v>
      </c>
      <c r="F25" s="129">
        <v>66375.261710000006</v>
      </c>
      <c r="G25" s="307">
        <f t="shared" si="7"/>
        <v>2.5907127936230616E-2</v>
      </c>
      <c r="H25" s="307">
        <f t="shared" si="8"/>
        <v>-5.3730613552354457E-2</v>
      </c>
      <c r="I25" s="313">
        <v>6405.9570000000003</v>
      </c>
      <c r="J25" s="129">
        <v>69387.599720000013</v>
      </c>
      <c r="K25" s="307">
        <f t="shared" si="9"/>
        <v>2.4711178460549522E-2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42"/>
      <c r="B26" s="442"/>
      <c r="C26" s="154" t="s">
        <v>94</v>
      </c>
      <c r="D26" s="313"/>
      <c r="E26" s="129">
        <v>369.0785250096838</v>
      </c>
      <c r="F26" s="129">
        <v>4041.3466499999995</v>
      </c>
      <c r="G26" s="307">
        <f t="shared" si="7"/>
        <v>1.5773905579486173E-3</v>
      </c>
      <c r="H26" s="307">
        <f t="shared" si="8"/>
        <v>-1.3546297971454595</v>
      </c>
      <c r="I26" s="313">
        <v>-1040.7431298230636</v>
      </c>
      <c r="J26" s="129">
        <v>-11273.056070000061</v>
      </c>
      <c r="K26" s="307">
        <f t="shared" si="9"/>
        <v>-4.0146990079153802E-3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3"/>
      <c r="B27" s="443"/>
      <c r="C27" s="318" t="s">
        <v>0</v>
      </c>
      <c r="D27" s="321">
        <v>2237694</v>
      </c>
      <c r="E27" s="319">
        <v>233980.43252500967</v>
      </c>
      <c r="F27" s="319">
        <v>2562045.6708100005</v>
      </c>
      <c r="G27" s="320">
        <f>SUM(G21:G26)</f>
        <v>1</v>
      </c>
      <c r="H27" s="320">
        <f>(E27-I27)/I27</f>
        <v>-9.7413200806361969E-2</v>
      </c>
      <c r="I27" s="321">
        <v>259233.16487017696</v>
      </c>
      <c r="J27" s="319">
        <v>2807945.5085899993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10" t="str">
        <f>'3.1'!G5</f>
        <v>II. čtvrtletí</v>
      </c>
      <c r="B28" s="441"/>
      <c r="C28" s="164" t="s">
        <v>4</v>
      </c>
      <c r="D28" s="312">
        <f>D21</f>
        <v>1233</v>
      </c>
      <c r="E28" s="308">
        <f>E7+E14+E21</f>
        <v>589145.55199999991</v>
      </c>
      <c r="F28" s="308">
        <f>F7+F14+F21</f>
        <v>6440336.5232200008</v>
      </c>
      <c r="G28" s="309">
        <f>E28/$E$34</f>
        <v>0.56340196618176719</v>
      </c>
      <c r="H28" s="309">
        <f>(E28-I28)/I28</f>
        <v>-0.10747482126406414</v>
      </c>
      <c r="I28" s="312">
        <f>I7+I14+I21</f>
        <v>660088.43900000001</v>
      </c>
      <c r="J28" s="308">
        <f>J7+J14+J21</f>
        <v>7117282.7270299997</v>
      </c>
      <c r="K28" s="309">
        <f>I28/$I$34</f>
        <v>0.58098328682419431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42"/>
      <c r="B29" s="442"/>
      <c r="C29" s="154" t="s">
        <v>5</v>
      </c>
      <c r="D29" s="313">
        <f t="shared" ref="D29:D32" si="10">D22</f>
        <v>4230</v>
      </c>
      <c r="E29" s="129">
        <f>E8+E15+E22</f>
        <v>84179.819999999978</v>
      </c>
      <c r="F29" s="129">
        <f t="shared" ref="F29" si="11">F8+F15+F22</f>
        <v>919862.74747999979</v>
      </c>
      <c r="G29" s="307">
        <f t="shared" ref="G29:G33" si="12">E29/$E$34</f>
        <v>8.050145832354047E-2</v>
      </c>
      <c r="H29" s="307">
        <f t="shared" ref="H29:H31" si="13">(E29-I29)/I29</f>
        <v>-8.2760742215294017E-2</v>
      </c>
      <c r="I29" s="313">
        <f>I8+I15+I22</f>
        <v>91775.203999999998</v>
      </c>
      <c r="J29" s="129">
        <f t="shared" ref="J29" si="14">J8+J15+J22</f>
        <v>989276.33467999985</v>
      </c>
      <c r="K29" s="307">
        <f t="shared" ref="K29:K33" si="15">I29/$I$34</f>
        <v>8.0776842190506751E-2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42"/>
      <c r="B30" s="442"/>
      <c r="C30" s="154" t="s">
        <v>6</v>
      </c>
      <c r="D30" s="313">
        <f t="shared" si="10"/>
        <v>153442</v>
      </c>
      <c r="E30" s="129">
        <f t="shared" ref="E30:F33" si="16">E9+E16+E23</f>
        <v>113943.323</v>
      </c>
      <c r="F30" s="129">
        <f t="shared" si="16"/>
        <v>1244313.8802899998</v>
      </c>
      <c r="G30" s="307">
        <f t="shared" si="12"/>
        <v>0.10896440106108821</v>
      </c>
      <c r="H30" s="307">
        <f t="shared" si="13"/>
        <v>-8.9825871209499655E-2</v>
      </c>
      <c r="I30" s="313">
        <f t="shared" ref="I30:J32" si="17">I9+I16+I23</f>
        <v>125188.488</v>
      </c>
      <c r="J30" s="129">
        <f t="shared" si="17"/>
        <v>1349130.1617500002</v>
      </c>
      <c r="K30" s="307">
        <f t="shared" si="15"/>
        <v>0.11018587045847533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42"/>
      <c r="B31" s="442"/>
      <c r="C31" s="154" t="s">
        <v>7</v>
      </c>
      <c r="D31" s="313">
        <f t="shared" si="10"/>
        <v>2078577</v>
      </c>
      <c r="E31" s="129">
        <f>E10+E17+E24</f>
        <v>231415.69999999998</v>
      </c>
      <c r="F31" s="129">
        <f t="shared" si="16"/>
        <v>2527162.9000000004</v>
      </c>
      <c r="G31" s="307">
        <f t="shared" si="12"/>
        <v>0.22130364889070742</v>
      </c>
      <c r="H31" s="307">
        <f t="shared" si="13"/>
        <v>-2.9366589323253645E-2</v>
      </c>
      <c r="I31" s="313">
        <f>I10+I17+I24</f>
        <v>238417.2</v>
      </c>
      <c r="J31" s="129">
        <f t="shared" si="17"/>
        <v>2569266.9</v>
      </c>
      <c r="K31" s="307">
        <f t="shared" si="15"/>
        <v>0.20984522725661811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42"/>
      <c r="B32" s="442"/>
      <c r="C32" s="154" t="s">
        <v>93</v>
      </c>
      <c r="D32" s="313">
        <f t="shared" si="10"/>
        <v>212</v>
      </c>
      <c r="E32" s="129">
        <f>E11+E18+E25</f>
        <v>17864.743999999999</v>
      </c>
      <c r="F32" s="129">
        <f t="shared" si="16"/>
        <v>195342.87874000001</v>
      </c>
      <c r="G32" s="307">
        <f t="shared" si="12"/>
        <v>1.7084117601780569E-2</v>
      </c>
      <c r="H32" s="307">
        <f>(E32-I32)/I32</f>
        <v>-5.6679310460449092E-2</v>
      </c>
      <c r="I32" s="313">
        <f>I11+I18+I25</f>
        <v>18938.145</v>
      </c>
      <c r="J32" s="129">
        <f t="shared" si="17"/>
        <v>204234.14074</v>
      </c>
      <c r="K32" s="307">
        <f t="shared" si="15"/>
        <v>1.6668593295046608E-2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42"/>
      <c r="B33" s="442"/>
      <c r="C33" s="154" t="s">
        <v>94</v>
      </c>
      <c r="D33" s="313"/>
      <c r="E33" s="129">
        <f t="shared" si="16"/>
        <v>9143.9671009596823</v>
      </c>
      <c r="F33" s="129">
        <f t="shared" si="16"/>
        <v>99924.926969999971</v>
      </c>
      <c r="G33" s="307">
        <f t="shared" si="12"/>
        <v>8.7444079411161876E-3</v>
      </c>
      <c r="H33" s="307">
        <f t="shared" ref="H33" si="18">(E33-I33)/I33</f>
        <v>4.2254620141695236</v>
      </c>
      <c r="I33" s="313">
        <f t="shared" ref="I33:J33" si="19">I12+I19+I26</f>
        <v>1749.886818842931</v>
      </c>
      <c r="J33" s="129">
        <f t="shared" si="19"/>
        <v>18775.304279999822</v>
      </c>
      <c r="K33" s="307">
        <f t="shared" si="15"/>
        <v>1.5401799751589035E-3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3"/>
      <c r="B34" s="443"/>
      <c r="C34" s="318" t="s">
        <v>0</v>
      </c>
      <c r="D34" s="321">
        <f>SUM(D28:D33)</f>
        <v>2237694</v>
      </c>
      <c r="E34" s="319">
        <f>SUM(E28:E33)</f>
        <v>1045693.1061009595</v>
      </c>
      <c r="F34" s="319">
        <f>SUM(F28:F33)</f>
        <v>11426943.856699999</v>
      </c>
      <c r="G34" s="320">
        <f>SUM(G28:G33)</f>
        <v>1</v>
      </c>
      <c r="H34" s="320">
        <f>(E34-I34)/I34</f>
        <v>-7.9622999135822867E-2</v>
      </c>
      <c r="I34" s="321">
        <f>SUM(I28:I33)</f>
        <v>1136157.362818843</v>
      </c>
      <c r="J34" s="319">
        <f>SUM(J28:J33)</f>
        <v>12247965.56848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5" t="s">
        <v>272</v>
      </c>
      <c r="H35" s="495"/>
      <c r="I35" s="495"/>
      <c r="J35" s="495"/>
      <c r="K35" s="495"/>
    </row>
    <row r="36" spans="1:20" ht="15" customHeight="1">
      <c r="A36" s="487" t="s">
        <v>271</v>
      </c>
      <c r="B36" s="487"/>
      <c r="C36" s="487"/>
      <c r="D36" s="487"/>
      <c r="E36" s="487"/>
      <c r="F36" s="119"/>
      <c r="G36" s="495"/>
      <c r="H36" s="495"/>
      <c r="I36" s="495"/>
      <c r="J36" s="495"/>
      <c r="K36" s="495"/>
      <c r="M36" s="93"/>
      <c r="N36" s="93"/>
      <c r="O36" s="93"/>
      <c r="P36" s="93"/>
      <c r="Q36" s="93"/>
      <c r="R36" s="93"/>
      <c r="S36" s="93"/>
    </row>
    <row r="37" spans="1:20" ht="15" customHeight="1">
      <c r="A37" s="488" t="str">
        <f>A28</f>
        <v>II. čtvrtletí</v>
      </c>
      <c r="B37" s="489"/>
      <c r="C37" s="489"/>
      <c r="D37" s="489"/>
      <c r="E37" s="489"/>
      <c r="F37" s="125"/>
      <c r="G37" s="490" t="str">
        <f>A28</f>
        <v>II. čtvrtletí</v>
      </c>
      <c r="H37" s="490"/>
      <c r="I37" s="490"/>
      <c r="J37" s="490"/>
      <c r="K37" s="49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Duben</v>
      </c>
      <c r="C42" s="78">
        <f>E13</f>
        <v>499583.09052440379</v>
      </c>
      <c r="D42" s="78">
        <f>I13</f>
        <v>563107.41134476836</v>
      </c>
      <c r="E42" s="76"/>
      <c r="F42" s="76"/>
      <c r="G42" s="76"/>
      <c r="H42" s="94" t="str">
        <f>A7</f>
        <v>Duben</v>
      </c>
      <c r="I42" s="95">
        <f>E13/E34</f>
        <v>0.47775306885897179</v>
      </c>
      <c r="J42" s="95">
        <f>I13/I34</f>
        <v>0.4956244880970368</v>
      </c>
      <c r="K42" s="94"/>
    </row>
    <row r="43" spans="1:20" ht="15" customHeight="1">
      <c r="A43" s="94"/>
      <c r="B43" s="94" t="str">
        <f>A14</f>
        <v>Květen</v>
      </c>
      <c r="C43" s="78">
        <f>E20</f>
        <v>312129.58305154613</v>
      </c>
      <c r="D43" s="78">
        <f>I20</f>
        <v>313816.78660389746</v>
      </c>
      <c r="E43" s="76"/>
      <c r="F43" s="76"/>
      <c r="G43" s="76"/>
      <c r="H43" s="94" t="str">
        <f>A14</f>
        <v>Květen</v>
      </c>
      <c r="I43" s="95">
        <f>E20/E34</f>
        <v>0.29849061950439087</v>
      </c>
      <c r="J43" s="95">
        <f>I20/I34</f>
        <v>0.27620890985145569</v>
      </c>
      <c r="K43" s="94"/>
    </row>
    <row r="44" spans="1:20" ht="15" customHeight="1">
      <c r="A44" s="94"/>
      <c r="B44" s="94" t="str">
        <f>A21</f>
        <v>Červen</v>
      </c>
      <c r="C44" s="78">
        <f>E27</f>
        <v>233980.43252500967</v>
      </c>
      <c r="D44" s="78">
        <f>I27</f>
        <v>259233.16487017696</v>
      </c>
      <c r="E44" s="76"/>
      <c r="F44" s="76"/>
      <c r="G44" s="76"/>
      <c r="H44" s="94" t="str">
        <f>A21</f>
        <v>Červen</v>
      </c>
      <c r="I44" s="95">
        <f>E27/E34</f>
        <v>0.22375631163663745</v>
      </c>
      <c r="J44" s="95">
        <f>I27/I34</f>
        <v>0.22816660205150732</v>
      </c>
      <c r="K44" s="94"/>
    </row>
    <row r="45" spans="1:20" ht="15" customHeight="1">
      <c r="A45" s="94"/>
      <c r="B45" s="94"/>
      <c r="C45" s="78">
        <f>SUM(C42:C44)</f>
        <v>1045693.1061009595</v>
      </c>
      <c r="D45" s="78">
        <f>SUM(D42:D44)</f>
        <v>1136157.3628188428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300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96"/>
      <c r="B2" s="496"/>
      <c r="C2" s="496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6" t="s">
        <v>209</v>
      </c>
      <c r="B3" s="506"/>
      <c r="C3" s="506"/>
      <c r="D3" s="341">
        <f>'3.1'!A4</f>
        <v>2023</v>
      </c>
      <c r="E3" s="501"/>
      <c r="F3" s="501"/>
      <c r="G3" s="501"/>
      <c r="H3" s="340"/>
      <c r="I3" s="500">
        <f>D3-1</f>
        <v>2022</v>
      </c>
      <c r="J3" s="501"/>
      <c r="K3" s="501"/>
    </row>
    <row r="4" spans="1:21" ht="50.1" customHeight="1">
      <c r="A4" s="507"/>
      <c r="B4" s="507"/>
      <c r="C4" s="507"/>
      <c r="D4" s="343"/>
      <c r="E4" s="503"/>
      <c r="F4" s="503"/>
      <c r="G4" s="503"/>
      <c r="H4" s="174"/>
      <c r="I4" s="502"/>
      <c r="J4" s="503"/>
      <c r="K4" s="503"/>
    </row>
    <row r="5" spans="1:21" ht="24.95" customHeight="1">
      <c r="A5" s="506" t="s">
        <v>158</v>
      </c>
      <c r="B5" s="506"/>
      <c r="C5" s="508" t="s">
        <v>184</v>
      </c>
      <c r="D5" s="504" t="s">
        <v>159</v>
      </c>
      <c r="E5" s="498" t="s">
        <v>60</v>
      </c>
      <c r="F5" s="498"/>
      <c r="G5" s="499" t="s">
        <v>33</v>
      </c>
      <c r="H5" s="499" t="s">
        <v>270</v>
      </c>
      <c r="I5" s="497" t="s">
        <v>60</v>
      </c>
      <c r="J5" s="498"/>
      <c r="K5" s="499" t="s">
        <v>33</v>
      </c>
    </row>
    <row r="6" spans="1:21" ht="22.5" customHeight="1">
      <c r="A6" s="507"/>
      <c r="B6" s="507"/>
      <c r="C6" s="509"/>
      <c r="D6" s="505"/>
      <c r="E6" s="219" t="s">
        <v>261</v>
      </c>
      <c r="F6" s="219" t="s">
        <v>262</v>
      </c>
      <c r="G6" s="486"/>
      <c r="H6" s="486"/>
      <c r="I6" s="221" t="s">
        <v>261</v>
      </c>
      <c r="J6" s="219" t="s">
        <v>262</v>
      </c>
      <c r="K6" s="486"/>
    </row>
    <row r="7" spans="1:21" ht="12.95" customHeight="1">
      <c r="A7" s="441" t="str">
        <f>'3.1'!D5</f>
        <v>Duben</v>
      </c>
      <c r="B7" s="441"/>
      <c r="C7" s="164" t="s">
        <v>4</v>
      </c>
      <c r="D7" s="312">
        <v>97</v>
      </c>
      <c r="E7" s="308">
        <v>8421.8588799999998</v>
      </c>
      <c r="F7" s="308">
        <v>91816.800269999992</v>
      </c>
      <c r="G7" s="309">
        <f t="shared" ref="G7:G12" si="0">E7/$E$13</f>
        <v>0.33167603648135213</v>
      </c>
      <c r="H7" s="309">
        <f>(E7-I7)/I7</f>
        <v>-0.15194954544101508</v>
      </c>
      <c r="I7" s="312">
        <v>9930.8464899999999</v>
      </c>
      <c r="J7" s="308">
        <v>106096.18769000001</v>
      </c>
      <c r="K7" s="309">
        <f>I7/$I$13</f>
        <v>0.35078164266401496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42"/>
      <c r="B8" s="442"/>
      <c r="C8" s="154" t="s">
        <v>5</v>
      </c>
      <c r="D8" s="313">
        <v>330</v>
      </c>
      <c r="E8" s="129">
        <v>3198.9910199999999</v>
      </c>
      <c r="F8" s="129">
        <v>34876.039830000002</v>
      </c>
      <c r="G8" s="307">
        <f t="shared" si="0"/>
        <v>0.12598509157791041</v>
      </c>
      <c r="H8" s="307">
        <f t="shared" ref="H8:H11" si="1">(E8-I8)/I8</f>
        <v>-8.8974331445111757E-2</v>
      </c>
      <c r="I8" s="313">
        <v>3511.4169999999999</v>
      </c>
      <c r="J8" s="129">
        <v>37514.22352</v>
      </c>
      <c r="K8" s="307">
        <f t="shared" ref="K8:K12" si="2">I8/$I$13</f>
        <v>0.12403178566687796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42"/>
      <c r="B9" s="442"/>
      <c r="C9" s="154" t="s">
        <v>6</v>
      </c>
      <c r="D9" s="313">
        <v>10641</v>
      </c>
      <c r="E9" s="129">
        <v>5137.5571200000004</v>
      </c>
      <c r="F9" s="129">
        <v>56010.675289999999</v>
      </c>
      <c r="G9" s="307">
        <f t="shared" si="0"/>
        <v>0.20233117261140221</v>
      </c>
      <c r="H9" s="307">
        <f t="shared" si="1"/>
        <v>-6.7076580639342118E-2</v>
      </c>
      <c r="I9" s="313">
        <v>5506.9440999999997</v>
      </c>
      <c r="J9" s="129">
        <v>58833.43735</v>
      </c>
      <c r="K9" s="307">
        <f t="shared" si="2"/>
        <v>0.19451865451772835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42"/>
      <c r="B10" s="442"/>
      <c r="C10" s="154" t="s">
        <v>7</v>
      </c>
      <c r="D10" s="313">
        <v>101374</v>
      </c>
      <c r="E10" s="129">
        <v>7836.0719800000006</v>
      </c>
      <c r="F10" s="129">
        <v>85430.929940000002</v>
      </c>
      <c r="G10" s="307">
        <f t="shared" si="0"/>
        <v>0.30860613232087092</v>
      </c>
      <c r="H10" s="307">
        <f t="shared" si="1"/>
        <v>-6.7076581228671439E-2</v>
      </c>
      <c r="I10" s="313">
        <v>8399.4804100000001</v>
      </c>
      <c r="J10" s="129">
        <v>89736.667889999997</v>
      </c>
      <c r="K10" s="307">
        <f t="shared" si="2"/>
        <v>0.29669006954350918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42"/>
      <c r="B11" s="442"/>
      <c r="C11" s="154" t="s">
        <v>93</v>
      </c>
      <c r="D11" s="313">
        <v>17</v>
      </c>
      <c r="E11" s="129">
        <v>341.82500000000005</v>
      </c>
      <c r="F11" s="129">
        <v>3726.6970000000001</v>
      </c>
      <c r="G11" s="307">
        <f t="shared" si="0"/>
        <v>1.3462011509059887E-2</v>
      </c>
      <c r="H11" s="307">
        <f t="shared" si="1"/>
        <v>-0.18359426312709717</v>
      </c>
      <c r="I11" s="313">
        <v>418.69499999999999</v>
      </c>
      <c r="J11" s="129">
        <v>4472.7709999999997</v>
      </c>
      <c r="K11" s="307">
        <f t="shared" si="2"/>
        <v>1.4789325363462519E-2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42"/>
      <c r="B12" s="442"/>
      <c r="C12" s="154" t="s">
        <v>94</v>
      </c>
      <c r="D12" s="313"/>
      <c r="E12" s="129">
        <v>455.51800000000003</v>
      </c>
      <c r="F12" s="129">
        <v>4966.1810000000005</v>
      </c>
      <c r="G12" s="307">
        <f t="shared" si="0"/>
        <v>1.7939555499404493E-2</v>
      </c>
      <c r="H12" s="307">
        <f>(E12-I12)/I12</f>
        <v>-0.16147772895539533</v>
      </c>
      <c r="I12" s="313">
        <v>543.23900000000003</v>
      </c>
      <c r="J12" s="129">
        <v>5803.683</v>
      </c>
      <c r="K12" s="307">
        <f t="shared" si="2"/>
        <v>1.9188522244407067E-2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3"/>
      <c r="B13" s="443"/>
      <c r="C13" s="318" t="s">
        <v>0</v>
      </c>
      <c r="D13" s="321">
        <v>112459</v>
      </c>
      <c r="E13" s="319">
        <v>25391.822</v>
      </c>
      <c r="F13" s="319">
        <v>276827.32332999998</v>
      </c>
      <c r="G13" s="320">
        <f>SUM(G7:G12)</f>
        <v>1</v>
      </c>
      <c r="H13" s="320">
        <f>(E13-I13)/I13</f>
        <v>-0.10309911241088236</v>
      </c>
      <c r="I13" s="321">
        <v>28310.621999999999</v>
      </c>
      <c r="J13" s="319">
        <v>302456.97045000002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1" t="str">
        <f>'3.1'!E5</f>
        <v>Květen</v>
      </c>
      <c r="B14" s="441"/>
      <c r="C14" s="164" t="s">
        <v>4</v>
      </c>
      <c r="D14" s="312">
        <v>97</v>
      </c>
      <c r="E14" s="308">
        <v>7242.6519800000005</v>
      </c>
      <c r="F14" s="308">
        <v>79118.733649999995</v>
      </c>
      <c r="G14" s="309">
        <f>E14/$E$20</f>
        <v>0.47522924728744448</v>
      </c>
      <c r="H14" s="309">
        <f>(E14-I14)/I14</f>
        <v>-0.14801329633661398</v>
      </c>
      <c r="I14" s="312">
        <v>8500.8978999999999</v>
      </c>
      <c r="J14" s="308">
        <v>90929.007230000003</v>
      </c>
      <c r="K14" s="309">
        <f>I14/$I$20</f>
        <v>0.57212717799464674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42"/>
      <c r="B15" s="442"/>
      <c r="C15" s="154" t="s">
        <v>5</v>
      </c>
      <c r="D15" s="313">
        <v>328</v>
      </c>
      <c r="E15" s="129">
        <v>2084.9445999999998</v>
      </c>
      <c r="F15" s="129">
        <v>22775.934789999999</v>
      </c>
      <c r="G15" s="307">
        <f t="shared" ref="G15:G19" si="3">E15/$E$20</f>
        <v>0.13680439922146057</v>
      </c>
      <c r="H15" s="307">
        <f t="shared" ref="H15:H17" si="4">(E15-I15)/I15</f>
        <v>7.1438428997452383E-2</v>
      </c>
      <c r="I15" s="313">
        <v>1945.93039</v>
      </c>
      <c r="J15" s="129">
        <v>20814.44976</v>
      </c>
      <c r="K15" s="307">
        <f t="shared" ref="K15:K19" si="5">I15/$I$20</f>
        <v>0.13096494931490971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42"/>
      <c r="B16" s="442"/>
      <c r="C16" s="154" t="s">
        <v>6</v>
      </c>
      <c r="D16" s="313">
        <v>10643</v>
      </c>
      <c r="E16" s="129">
        <v>2067.9145400000002</v>
      </c>
      <c r="F16" s="129">
        <v>22589.89849</v>
      </c>
      <c r="G16" s="307">
        <f t="shared" si="3"/>
        <v>0.1356869656325751</v>
      </c>
      <c r="H16" s="307">
        <f t="shared" si="4"/>
        <v>0.41585675982154474</v>
      </c>
      <c r="I16" s="313">
        <v>1460.53937</v>
      </c>
      <c r="J16" s="129">
        <v>15622.51324</v>
      </c>
      <c r="K16" s="307">
        <f>I16/$I$20</f>
        <v>9.829717730266814E-2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42"/>
      <c r="B17" s="442"/>
      <c r="C17" s="154" t="s">
        <v>7</v>
      </c>
      <c r="D17" s="313">
        <v>101236</v>
      </c>
      <c r="E17" s="129">
        <v>3154.0918799999999</v>
      </c>
      <c r="F17" s="129">
        <v>34454.977709999999</v>
      </c>
      <c r="G17" s="307">
        <f t="shared" si="3"/>
        <v>0.206956887359351</v>
      </c>
      <c r="H17" s="307">
        <f t="shared" si="4"/>
        <v>0.41585677028372886</v>
      </c>
      <c r="I17" s="313">
        <v>2227.6913500000001</v>
      </c>
      <c r="J17" s="129">
        <v>23828.302770000002</v>
      </c>
      <c r="K17" s="307">
        <f>I17/$I$20</f>
        <v>0.14992801707671199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42"/>
      <c r="B18" s="442"/>
      <c r="C18" s="154" t="s">
        <v>93</v>
      </c>
      <c r="D18" s="313">
        <v>17</v>
      </c>
      <c r="E18" s="129">
        <v>364.59000000000003</v>
      </c>
      <c r="F18" s="129">
        <v>3983.0600000000004</v>
      </c>
      <c r="G18" s="307">
        <f t="shared" si="3"/>
        <v>2.392270562592038E-2</v>
      </c>
      <c r="H18" s="307">
        <f>(E18-I18)/I18</f>
        <v>-0.18611218387314962</v>
      </c>
      <c r="I18" s="313">
        <v>447.96100000000001</v>
      </c>
      <c r="J18" s="129">
        <v>4791.6329999999998</v>
      </c>
      <c r="K18" s="307">
        <f>I18/$I$20</f>
        <v>3.0148657917848886E-2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42"/>
      <c r="B19" s="442"/>
      <c r="C19" s="154" t="s">
        <v>94</v>
      </c>
      <c r="D19" s="313"/>
      <c r="E19" s="129">
        <v>326.14000000000004</v>
      </c>
      <c r="F19" s="129">
        <v>3562.7489999999998</v>
      </c>
      <c r="G19" s="307">
        <f t="shared" si="3"/>
        <v>2.1399794873248508E-2</v>
      </c>
      <c r="H19" s="307">
        <f t="shared" ref="H19" si="6">(E19-I19)/I19</f>
        <v>0.18430130798225067</v>
      </c>
      <c r="I19" s="313">
        <v>275.38599999999997</v>
      </c>
      <c r="J19" s="129">
        <v>2945.625</v>
      </c>
      <c r="K19" s="307">
        <f t="shared" si="5"/>
        <v>1.8534020393214438E-2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3"/>
      <c r="B20" s="443"/>
      <c r="C20" s="318" t="s">
        <v>0</v>
      </c>
      <c r="D20" s="321">
        <v>112321</v>
      </c>
      <c r="E20" s="319">
        <v>15240.333000000001</v>
      </c>
      <c r="F20" s="319">
        <v>166485.35364000002</v>
      </c>
      <c r="G20" s="320">
        <f>SUM(G14:G19)</f>
        <v>1</v>
      </c>
      <c r="H20" s="320">
        <f>(E20-I20)/I20</f>
        <v>2.5704438937996142E-2</v>
      </c>
      <c r="I20" s="321">
        <v>14858.406010000001</v>
      </c>
      <c r="J20" s="319">
        <v>158931.53100000002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1" t="str">
        <f>'3.1'!F5</f>
        <v>Červen</v>
      </c>
      <c r="B21" s="441"/>
      <c r="C21" s="164" t="s">
        <v>4</v>
      </c>
      <c r="D21" s="312">
        <v>96</v>
      </c>
      <c r="E21" s="308">
        <v>7209.8930300000002</v>
      </c>
      <c r="F21" s="308">
        <v>79052.151339999997</v>
      </c>
      <c r="G21" s="309">
        <f>E21/$E$27</f>
        <v>0.62142850259883353</v>
      </c>
      <c r="H21" s="309">
        <f>(E21-I21)/I21</f>
        <v>-6.4922159652078371E-2</v>
      </c>
      <c r="I21" s="312">
        <v>7710.4736300000004</v>
      </c>
      <c r="J21" s="308">
        <v>83027.163959999991</v>
      </c>
      <c r="K21" s="309">
        <f>I21/$I$27</f>
        <v>0.66435437553016918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42"/>
      <c r="B22" s="442"/>
      <c r="C22" s="154" t="s">
        <v>5</v>
      </c>
      <c r="D22" s="313">
        <v>328</v>
      </c>
      <c r="E22" s="129">
        <v>1874.64057</v>
      </c>
      <c r="F22" s="129">
        <v>20554.309110000002</v>
      </c>
      <c r="G22" s="307">
        <f t="shared" ref="G22:G26" si="7">E22/$E$27</f>
        <v>0.16157730461170572</v>
      </c>
      <c r="H22" s="307">
        <f t="shared" ref="H22:H26" si="8">(E22-I22)/I22</f>
        <v>0.22964924525695829</v>
      </c>
      <c r="I22" s="313">
        <v>1524.53277</v>
      </c>
      <c r="J22" s="129">
        <v>16416.321329999999</v>
      </c>
      <c r="K22" s="307">
        <f t="shared" ref="K22:K26" si="9">I22/$I$27</f>
        <v>0.13135769149743257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42"/>
      <c r="B23" s="442"/>
      <c r="C23" s="154" t="s">
        <v>6</v>
      </c>
      <c r="D23" s="313">
        <v>10629</v>
      </c>
      <c r="E23" s="129">
        <v>768.58190999999999</v>
      </c>
      <c r="F23" s="129">
        <v>8427.0394400000005</v>
      </c>
      <c r="G23" s="307">
        <f t="shared" si="7"/>
        <v>6.624490869261225E-2</v>
      </c>
      <c r="H23" s="307">
        <f t="shared" si="8"/>
        <v>0.12408345224654291</v>
      </c>
      <c r="I23" s="313">
        <v>683.74097000000006</v>
      </c>
      <c r="J23" s="129">
        <v>7362.5910600000007</v>
      </c>
      <c r="K23" s="307">
        <f t="shared" si="9"/>
        <v>5.8912892637535963E-2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42"/>
      <c r="B24" s="442"/>
      <c r="C24" s="154" t="s">
        <v>7</v>
      </c>
      <c r="D24" s="313">
        <v>101126</v>
      </c>
      <c r="E24" s="129">
        <v>1172.2814900000001</v>
      </c>
      <c r="F24" s="129">
        <v>12853.06718</v>
      </c>
      <c r="G24" s="307">
        <f t="shared" si="7"/>
        <v>0.10104021348497448</v>
      </c>
      <c r="H24" s="307">
        <f t="shared" si="8"/>
        <v>0.12408345550570504</v>
      </c>
      <c r="I24" s="313">
        <v>1042.87763</v>
      </c>
      <c r="J24" s="129">
        <v>11230.886600000002</v>
      </c>
      <c r="K24" s="307">
        <f t="shared" si="9"/>
        <v>8.9857037307970511E-2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42"/>
      <c r="B25" s="442"/>
      <c r="C25" s="154" t="s">
        <v>93</v>
      </c>
      <c r="D25" s="313">
        <v>17</v>
      </c>
      <c r="E25" s="129">
        <v>371.96899999999999</v>
      </c>
      <c r="F25" s="129">
        <v>4078.7160000000003</v>
      </c>
      <c r="G25" s="307">
        <f t="shared" si="7"/>
        <v>3.2060411676202848E-2</v>
      </c>
      <c r="H25" s="307">
        <f t="shared" si="8"/>
        <v>-0.13732916186398814</v>
      </c>
      <c r="I25" s="313">
        <v>431.18299999999999</v>
      </c>
      <c r="J25" s="129">
        <v>4642.05</v>
      </c>
      <c r="K25" s="307">
        <f t="shared" si="9"/>
        <v>3.7151843900959547E-2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42"/>
      <c r="B26" s="442"/>
      <c r="C26" s="154" t="s">
        <v>94</v>
      </c>
      <c r="D26" s="313"/>
      <c r="E26" s="129">
        <v>204.762</v>
      </c>
      <c r="F26" s="129">
        <v>2245.0840000000003</v>
      </c>
      <c r="G26" s="307">
        <f t="shared" si="7"/>
        <v>1.7648658935671111E-2</v>
      </c>
      <c r="H26" s="307">
        <f t="shared" si="8"/>
        <v>-3.9384115933326184E-2</v>
      </c>
      <c r="I26" s="313">
        <v>213.15700000000001</v>
      </c>
      <c r="J26" s="129">
        <v>2295.3130000000001</v>
      </c>
      <c r="K26" s="307">
        <f t="shared" si="9"/>
        <v>1.8366159125932226E-2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3"/>
      <c r="B27" s="443"/>
      <c r="C27" s="318" t="s">
        <v>0</v>
      </c>
      <c r="D27" s="321">
        <v>112196</v>
      </c>
      <c r="E27" s="319">
        <v>11602.128000000001</v>
      </c>
      <c r="F27" s="319">
        <v>127210.36707000001</v>
      </c>
      <c r="G27" s="320">
        <f>SUM(G21:G26)</f>
        <v>1</v>
      </c>
      <c r="H27" s="320">
        <f>(E27-I27)/I27</f>
        <v>-3.3060585655734224E-4</v>
      </c>
      <c r="I27" s="321">
        <v>11605.965</v>
      </c>
      <c r="J27" s="319">
        <v>124974.32594999998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10" t="str">
        <f>'3.1'!G5</f>
        <v>II. čtvrtletí</v>
      </c>
      <c r="B28" s="441"/>
      <c r="C28" s="164" t="s">
        <v>4</v>
      </c>
      <c r="D28" s="312">
        <f>D21</f>
        <v>96</v>
      </c>
      <c r="E28" s="308">
        <f>E7+E14+E21</f>
        <v>22874.403890000001</v>
      </c>
      <c r="F28" s="308">
        <f>F7+F14+F21</f>
        <v>249987.68526</v>
      </c>
      <c r="G28" s="309">
        <f>E28/$E$34</f>
        <v>0.43791936207873283</v>
      </c>
      <c r="H28" s="309">
        <f>(E28-I28)/I28</f>
        <v>-0.12500141064924064</v>
      </c>
      <c r="I28" s="312">
        <f>I7+I14+I21</f>
        <v>26142.21802</v>
      </c>
      <c r="J28" s="308">
        <f>J7+J14+J21</f>
        <v>280052.35888000001</v>
      </c>
      <c r="K28" s="309">
        <f>I28/$I$34</f>
        <v>0.47726556560632233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42"/>
      <c r="B29" s="442"/>
      <c r="C29" s="154" t="s">
        <v>5</v>
      </c>
      <c r="D29" s="313">
        <f t="shared" ref="D29:D32" si="10">D22</f>
        <v>328</v>
      </c>
      <c r="E29" s="129">
        <f>E8+E15+E22</f>
        <v>7158.5761899999998</v>
      </c>
      <c r="F29" s="129">
        <f t="shared" ref="F29" si="11">F8+F15+F22</f>
        <v>78206.283729999996</v>
      </c>
      <c r="G29" s="307">
        <f t="shared" ref="G29:G33" si="12">E29/$E$34</f>
        <v>0.13704746727355288</v>
      </c>
      <c r="H29" s="307">
        <f t="shared" ref="H29:H31" si="13">(E29-I29)/I29</f>
        <v>2.5307800470754583E-2</v>
      </c>
      <c r="I29" s="313">
        <f>I8+I15+I22</f>
        <v>6981.8801599999997</v>
      </c>
      <c r="J29" s="129">
        <f t="shared" ref="J29" si="14">J8+J15+J22</f>
        <v>74744.994609999994</v>
      </c>
      <c r="K29" s="307">
        <f t="shared" ref="K29:K33" si="15">I29/$I$34</f>
        <v>0.12746473849344631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42"/>
      <c r="B30" s="442"/>
      <c r="C30" s="154" t="s">
        <v>6</v>
      </c>
      <c r="D30" s="313">
        <f t="shared" si="10"/>
        <v>10629</v>
      </c>
      <c r="E30" s="129">
        <f t="shared" ref="E30:F33" si="16">E9+E16+E23</f>
        <v>7974.0535700000009</v>
      </c>
      <c r="F30" s="129">
        <f t="shared" si="16"/>
        <v>87027.613219999999</v>
      </c>
      <c r="G30" s="307">
        <f t="shared" si="12"/>
        <v>0.15265938598219106</v>
      </c>
      <c r="H30" s="307">
        <f t="shared" si="13"/>
        <v>4.2193132946444049E-2</v>
      </c>
      <c r="I30" s="313">
        <f t="shared" ref="I30:J32" si="17">I9+I16+I23</f>
        <v>7651.224439999999</v>
      </c>
      <c r="J30" s="129">
        <f t="shared" si="17"/>
        <v>81818.541649999999</v>
      </c>
      <c r="K30" s="307">
        <f t="shared" si="15"/>
        <v>0.13968462649740829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42"/>
      <c r="B31" s="442"/>
      <c r="C31" s="154" t="s">
        <v>7</v>
      </c>
      <c r="D31" s="313">
        <f t="shared" si="10"/>
        <v>101126</v>
      </c>
      <c r="E31" s="129">
        <f>E10+E17+E24</f>
        <v>12162.44535</v>
      </c>
      <c r="F31" s="129">
        <f t="shared" si="16"/>
        <v>132738.97483000002</v>
      </c>
      <c r="G31" s="307">
        <f t="shared" si="12"/>
        <v>0.23284411408499661</v>
      </c>
      <c r="H31" s="307">
        <f t="shared" si="13"/>
        <v>4.2193134197180959E-2</v>
      </c>
      <c r="I31" s="313">
        <f>I10+I17+I24</f>
        <v>11670.04939</v>
      </c>
      <c r="J31" s="129">
        <f t="shared" si="17"/>
        <v>124795.85725999999</v>
      </c>
      <c r="K31" s="307">
        <f t="shared" si="15"/>
        <v>0.2130543291510682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42"/>
      <c r="B32" s="442"/>
      <c r="C32" s="154" t="s">
        <v>93</v>
      </c>
      <c r="D32" s="313">
        <f t="shared" si="10"/>
        <v>17</v>
      </c>
      <c r="E32" s="129">
        <f>E11+E18+E25</f>
        <v>1078.384</v>
      </c>
      <c r="F32" s="129">
        <f t="shared" si="16"/>
        <v>11788.473000000002</v>
      </c>
      <c r="G32" s="307">
        <f t="shared" si="12"/>
        <v>2.0645138366310111E-2</v>
      </c>
      <c r="H32" s="307">
        <f>(E32-I32)/I32</f>
        <v>-0.16909262242851381</v>
      </c>
      <c r="I32" s="313">
        <f>I11+I18+I25</f>
        <v>1297.8389999999999</v>
      </c>
      <c r="J32" s="129">
        <f t="shared" si="17"/>
        <v>13906.453999999998</v>
      </c>
      <c r="K32" s="307">
        <f t="shared" si="15"/>
        <v>2.3694005762137843E-2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42"/>
      <c r="B33" s="442"/>
      <c r="C33" s="154" t="s">
        <v>94</v>
      </c>
      <c r="D33" s="313"/>
      <c r="E33" s="129">
        <f t="shared" si="16"/>
        <v>986.42000000000007</v>
      </c>
      <c r="F33" s="129">
        <f t="shared" si="16"/>
        <v>10774.014000000001</v>
      </c>
      <c r="G33" s="307">
        <f t="shared" si="12"/>
        <v>1.8884532214216477E-2</v>
      </c>
      <c r="H33" s="307">
        <f t="shared" ref="H33" si="18">(E33-I33)/I33</f>
        <v>-4.3964713476296206E-2</v>
      </c>
      <c r="I33" s="313">
        <f t="shared" ref="I33:J33" si="19">I12+I19+I26</f>
        <v>1031.7819999999999</v>
      </c>
      <c r="J33" s="129">
        <f t="shared" si="19"/>
        <v>11044.621000000001</v>
      </c>
      <c r="K33" s="307">
        <f t="shared" si="15"/>
        <v>1.8836734489617053E-2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3"/>
      <c r="B34" s="443"/>
      <c r="C34" s="318" t="s">
        <v>0</v>
      </c>
      <c r="D34" s="321">
        <f>SUM(D28:D33)</f>
        <v>112196</v>
      </c>
      <c r="E34" s="319">
        <f>SUM(E28:E33)</f>
        <v>52234.283000000003</v>
      </c>
      <c r="F34" s="319">
        <f>SUM(F28:F33)</f>
        <v>570523.04403999995</v>
      </c>
      <c r="G34" s="320">
        <f>SUM(G28:G33)</f>
        <v>1</v>
      </c>
      <c r="H34" s="320">
        <f>(E34-I34)/I34</f>
        <v>-4.6384488073529288E-2</v>
      </c>
      <c r="I34" s="321">
        <f>SUM(I28:I33)</f>
        <v>54774.993009999998</v>
      </c>
      <c r="J34" s="319">
        <f>SUM(J28:J33)</f>
        <v>586362.82740000007</v>
      </c>
      <c r="K34" s="320">
        <f>SUM(K28:K33)</f>
        <v>1.0000000000000002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95" t="s">
        <v>272</v>
      </c>
      <c r="H35" s="495"/>
      <c r="I35" s="495"/>
      <c r="J35" s="495"/>
      <c r="K35" s="495"/>
    </row>
    <row r="36" spans="1:20" ht="15" customHeight="1">
      <c r="A36" s="487" t="s">
        <v>271</v>
      </c>
      <c r="B36" s="487"/>
      <c r="C36" s="487"/>
      <c r="D36" s="487"/>
      <c r="E36" s="487"/>
      <c r="F36" s="119"/>
      <c r="G36" s="495"/>
      <c r="H36" s="495"/>
      <c r="I36" s="495"/>
      <c r="J36" s="495"/>
      <c r="K36" s="495"/>
      <c r="M36" s="93"/>
      <c r="N36" s="93"/>
      <c r="O36" s="93"/>
      <c r="P36" s="93"/>
      <c r="Q36" s="93"/>
      <c r="R36" s="93"/>
      <c r="S36" s="93"/>
    </row>
    <row r="37" spans="1:20" ht="15" customHeight="1">
      <c r="A37" s="488" t="str">
        <f>A28</f>
        <v>II. čtvrtletí</v>
      </c>
      <c r="B37" s="489"/>
      <c r="C37" s="489"/>
      <c r="D37" s="489"/>
      <c r="E37" s="489"/>
      <c r="F37" s="125"/>
      <c r="G37" s="490" t="str">
        <f>A28</f>
        <v>II. čtvrtletí</v>
      </c>
      <c r="H37" s="490"/>
      <c r="I37" s="490"/>
      <c r="J37" s="490"/>
      <c r="K37" s="49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Duben</v>
      </c>
      <c r="C42" s="78">
        <f>E13</f>
        <v>25391.822</v>
      </c>
      <c r="D42" s="78">
        <f>I13</f>
        <v>28310.621999999999</v>
      </c>
      <c r="E42" s="76"/>
      <c r="F42" s="76"/>
      <c r="G42" s="76"/>
      <c r="H42" s="94" t="str">
        <f>A7</f>
        <v>Duben</v>
      </c>
      <c r="I42" s="95">
        <f>E13/E34</f>
        <v>0.48611411015252182</v>
      </c>
      <c r="J42" s="95">
        <f>I13/I34</f>
        <v>0.51685304633140661</v>
      </c>
      <c r="K42" s="94"/>
    </row>
    <row r="43" spans="1:20" ht="15" customHeight="1">
      <c r="A43" s="94"/>
      <c r="B43" s="94" t="str">
        <f>A14</f>
        <v>Květen</v>
      </c>
      <c r="C43" s="78">
        <f>E20</f>
        <v>15240.333000000001</v>
      </c>
      <c r="D43" s="78">
        <f>I20</f>
        <v>14858.406010000001</v>
      </c>
      <c r="E43" s="76"/>
      <c r="F43" s="76"/>
      <c r="G43" s="76"/>
      <c r="H43" s="94" t="str">
        <f>A14</f>
        <v>Květen</v>
      </c>
      <c r="I43" s="95">
        <f>E20/E34</f>
        <v>0.29176877951976482</v>
      </c>
      <c r="J43" s="95">
        <f>I20/I34</f>
        <v>0.27126258158147781</v>
      </c>
      <c r="K43" s="94"/>
    </row>
    <row r="44" spans="1:20" ht="15" customHeight="1">
      <c r="A44" s="94"/>
      <c r="B44" s="94" t="str">
        <f>A21</f>
        <v>Červen</v>
      </c>
      <c r="C44" s="78">
        <f>E27</f>
        <v>11602.128000000001</v>
      </c>
      <c r="D44" s="78">
        <f>I27</f>
        <v>11605.965</v>
      </c>
      <c r="E44" s="76"/>
      <c r="F44" s="76"/>
      <c r="G44" s="76"/>
      <c r="H44" s="94" t="str">
        <f>A21</f>
        <v>Červen</v>
      </c>
      <c r="I44" s="95">
        <f>E27/E34</f>
        <v>0.22211711032771331</v>
      </c>
      <c r="J44" s="95">
        <f>I27/I34</f>
        <v>0.21188437208711569</v>
      </c>
      <c r="K44" s="94"/>
    </row>
    <row r="45" spans="1:20" ht="15" customHeight="1">
      <c r="A45" s="94"/>
      <c r="B45" s="94"/>
      <c r="C45" s="78">
        <f>SUM(C42:C44)</f>
        <v>52234.282999999996</v>
      </c>
      <c r="D45" s="78">
        <f>SUM(D42:D44)</f>
        <v>54774.993010000006</v>
      </c>
      <c r="E45" s="94"/>
      <c r="F45" s="94"/>
      <c r="G45" s="94"/>
      <c r="H45" s="94"/>
      <c r="I45" s="96">
        <f>SUM(I42:I44)</f>
        <v>1</v>
      </c>
      <c r="J45" s="96">
        <f>SUM(J42:J44)</f>
        <v>1.0000000000000002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81" t="s">
        <v>301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1" ht="6" customHeight="1">
      <c r="A2" s="496"/>
      <c r="B2" s="496"/>
      <c r="C2" s="496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6" t="s">
        <v>34</v>
      </c>
      <c r="B3" s="506"/>
      <c r="C3" s="506"/>
      <c r="D3" s="341">
        <f>'3.1'!A4</f>
        <v>2023</v>
      </c>
      <c r="E3" s="501"/>
      <c r="F3" s="501"/>
      <c r="G3" s="501"/>
      <c r="H3" s="340"/>
      <c r="I3" s="500">
        <f>D3-1</f>
        <v>2022</v>
      </c>
      <c r="J3" s="501"/>
      <c r="K3" s="501"/>
    </row>
    <row r="4" spans="1:21" ht="50.1" customHeight="1">
      <c r="A4" s="507"/>
      <c r="B4" s="507"/>
      <c r="C4" s="507"/>
      <c r="D4" s="343"/>
      <c r="E4" s="503"/>
      <c r="F4" s="503"/>
      <c r="G4" s="503"/>
      <c r="H4" s="174"/>
      <c r="I4" s="502"/>
      <c r="J4" s="503"/>
      <c r="K4" s="503"/>
    </row>
    <row r="5" spans="1:21" ht="24.95" customHeight="1">
      <c r="A5" s="506" t="s">
        <v>158</v>
      </c>
      <c r="B5" s="506"/>
      <c r="C5" s="508" t="s">
        <v>184</v>
      </c>
      <c r="D5" s="504" t="s">
        <v>159</v>
      </c>
      <c r="E5" s="498" t="s">
        <v>60</v>
      </c>
      <c r="F5" s="498"/>
      <c r="G5" s="499" t="s">
        <v>33</v>
      </c>
      <c r="H5" s="499" t="s">
        <v>270</v>
      </c>
      <c r="I5" s="497" t="s">
        <v>60</v>
      </c>
      <c r="J5" s="498"/>
      <c r="K5" s="499" t="s">
        <v>33</v>
      </c>
    </row>
    <row r="6" spans="1:21" ht="22.5" customHeight="1">
      <c r="A6" s="507"/>
      <c r="B6" s="507"/>
      <c r="C6" s="509"/>
      <c r="D6" s="505"/>
      <c r="E6" s="219" t="s">
        <v>261</v>
      </c>
      <c r="F6" s="219" t="s">
        <v>262</v>
      </c>
      <c r="G6" s="486"/>
      <c r="H6" s="486"/>
      <c r="I6" s="221" t="s">
        <v>261</v>
      </c>
      <c r="J6" s="219" t="s">
        <v>262</v>
      </c>
      <c r="K6" s="486"/>
    </row>
    <row r="7" spans="1:21" ht="12.95" customHeight="1">
      <c r="A7" s="441" t="str">
        <f>'3.1'!D5</f>
        <v>Duben</v>
      </c>
      <c r="B7" s="441"/>
      <c r="C7" s="164" t="s">
        <v>4</v>
      </c>
      <c r="D7" s="312">
        <v>96</v>
      </c>
      <c r="E7" s="308">
        <v>14589.663000000002</v>
      </c>
      <c r="F7" s="308">
        <v>159129.94376999998</v>
      </c>
      <c r="G7" s="309">
        <f t="shared" ref="G7:G12" si="0">E7/$E$13</f>
        <v>0.97301379669597166</v>
      </c>
      <c r="H7" s="309">
        <f>(E7-I7)/I7</f>
        <v>4.7503437870613112</v>
      </c>
      <c r="I7" s="312">
        <v>2537.1809999999996</v>
      </c>
      <c r="J7" s="308">
        <v>27335.463179999999</v>
      </c>
      <c r="K7" s="309">
        <f>I7/$I$13</f>
        <v>0.47039823583989293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42"/>
      <c r="B8" s="442"/>
      <c r="C8" s="154" t="s">
        <v>5</v>
      </c>
      <c r="D8" s="313">
        <v>118</v>
      </c>
      <c r="E8" s="129">
        <v>47.781999999999996</v>
      </c>
      <c r="F8" s="129">
        <v>503.18</v>
      </c>
      <c r="G8" s="307">
        <f t="shared" si="0"/>
        <v>3.1866771174719325E-3</v>
      </c>
      <c r="H8" s="307">
        <f t="shared" ref="H8:H11" si="1">(E8-I8)/I8</f>
        <v>-0.24515007898894156</v>
      </c>
      <c r="I8" s="313">
        <v>63.3</v>
      </c>
      <c r="J8" s="129">
        <v>667.13400000000001</v>
      </c>
      <c r="K8" s="307">
        <f t="shared" ref="K8:K12" si="2">I8/$I$13</f>
        <v>1.1735941711949296E-2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42"/>
      <c r="B9" s="442"/>
      <c r="C9" s="154" t="s">
        <v>6</v>
      </c>
      <c r="D9" s="313">
        <v>1153</v>
      </c>
      <c r="E9" s="129">
        <v>123.401</v>
      </c>
      <c r="F9" s="129">
        <v>1296.6859999999999</v>
      </c>
      <c r="G9" s="307">
        <f t="shared" si="0"/>
        <v>8.2298594234890537E-3</v>
      </c>
      <c r="H9" s="307">
        <f t="shared" si="1"/>
        <v>1.6322177427955888</v>
      </c>
      <c r="I9" s="313">
        <v>46.881</v>
      </c>
      <c r="J9" s="129">
        <v>498.36700000000002</v>
      </c>
      <c r="K9" s="307">
        <f t="shared" si="2"/>
        <v>8.6918275418308832E-3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42"/>
      <c r="B10" s="442"/>
      <c r="C10" s="154" t="s">
        <v>7</v>
      </c>
      <c r="D10" s="313">
        <v>8052</v>
      </c>
      <c r="E10" s="129">
        <v>0</v>
      </c>
      <c r="F10" s="129">
        <v>0</v>
      </c>
      <c r="G10" s="307">
        <f t="shared" si="0"/>
        <v>0</v>
      </c>
      <c r="H10" s="344" t="e">
        <f t="shared" si="1"/>
        <v>#DIV/0!</v>
      </c>
      <c r="I10" s="313">
        <v>0</v>
      </c>
      <c r="J10" s="129">
        <v>0</v>
      </c>
      <c r="K10" s="307">
        <f t="shared" si="2"/>
        <v>0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42"/>
      <c r="B11" s="442"/>
      <c r="C11" s="154" t="s">
        <v>93</v>
      </c>
      <c r="D11" s="313">
        <v>6</v>
      </c>
      <c r="E11" s="129">
        <v>5.7770000000000001</v>
      </c>
      <c r="F11" s="129">
        <v>59.942</v>
      </c>
      <c r="G11" s="307">
        <f t="shared" si="0"/>
        <v>3.8527968079266994E-4</v>
      </c>
      <c r="H11" s="307">
        <f t="shared" si="1"/>
        <v>-0.79717726363093777</v>
      </c>
      <c r="I11" s="313">
        <v>28.483000000000001</v>
      </c>
      <c r="J11" s="129">
        <v>295.96699999999998</v>
      </c>
      <c r="K11" s="307">
        <f t="shared" si="2"/>
        <v>5.2808029665316241E-3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42"/>
      <c r="B12" s="442"/>
      <c r="C12" s="154" t="s">
        <v>96</v>
      </c>
      <c r="D12" s="313">
        <v>0</v>
      </c>
      <c r="E12" s="129">
        <v>227.67928999999742</v>
      </c>
      <c r="F12" s="129">
        <v>2560.516466999984</v>
      </c>
      <c r="G12" s="307">
        <f t="shared" si="0"/>
        <v>1.5184387082274665E-2</v>
      </c>
      <c r="H12" s="307">
        <f>(E12-I12)/I12</f>
        <v>-0.91622792524623087</v>
      </c>
      <c r="I12" s="313">
        <v>2717.8423199999988</v>
      </c>
      <c r="J12" s="129">
        <v>29441.138602999996</v>
      </c>
      <c r="K12" s="307">
        <f t="shared" si="2"/>
        <v>0.50389319193979509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43"/>
      <c r="B13" s="443"/>
      <c r="C13" s="318" t="s">
        <v>0</v>
      </c>
      <c r="D13" s="321">
        <v>9425</v>
      </c>
      <c r="E13" s="319">
        <v>14994.30229</v>
      </c>
      <c r="F13" s="319">
        <v>163550.26823699995</v>
      </c>
      <c r="G13" s="320">
        <f>SUM(G7:G12)</f>
        <v>1</v>
      </c>
      <c r="H13" s="320">
        <f>(E13-I13)/I13</f>
        <v>1.7799724753047053</v>
      </c>
      <c r="I13" s="321">
        <v>5393.6873199999991</v>
      </c>
      <c r="J13" s="319">
        <v>58238.069782999992</v>
      </c>
      <c r="K13" s="320">
        <f>SUM(K7:K12)</f>
        <v>0.99999999999999978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41" t="str">
        <f>'3.1'!E5</f>
        <v>Květen</v>
      </c>
      <c r="B14" s="441"/>
      <c r="C14" s="164" t="s">
        <v>4</v>
      </c>
      <c r="D14" s="312">
        <v>95</v>
      </c>
      <c r="E14" s="308">
        <v>9135.9809999999998</v>
      </c>
      <c r="F14" s="308">
        <v>99877.082549000013</v>
      </c>
      <c r="G14" s="309">
        <f>E14/$E$20</f>
        <v>0.96574708881879656</v>
      </c>
      <c r="H14" s="309">
        <f>(E14-I14)/I14</f>
        <v>-0.69441132815816142</v>
      </c>
      <c r="I14" s="312">
        <v>29896.333999999995</v>
      </c>
      <c r="J14" s="308">
        <v>321545.18204599991</v>
      </c>
      <c r="K14" s="309">
        <f>I14/$I$20</f>
        <v>0.91709958129086333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42"/>
      <c r="B15" s="442"/>
      <c r="C15" s="154" t="s">
        <v>5</v>
      </c>
      <c r="D15" s="313">
        <v>118</v>
      </c>
      <c r="E15" s="129">
        <v>26.548999999999999</v>
      </c>
      <c r="F15" s="129">
        <v>278.572</v>
      </c>
      <c r="G15" s="307">
        <f t="shared" ref="G15:G19" si="3">E15/$E$20</f>
        <v>2.8064440437266924E-3</v>
      </c>
      <c r="H15" s="307">
        <f t="shared" ref="H15:H17" si="4">(E15-I15)/I15</f>
        <v>9.7247478922135797E-2</v>
      </c>
      <c r="I15" s="313">
        <v>24.196000000000002</v>
      </c>
      <c r="J15" s="129">
        <v>254.88800000000001</v>
      </c>
      <c r="K15" s="307">
        <f t="shared" ref="K15:K19" si="5">I15/$I$20</f>
        <v>7.4223620424208978E-4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42"/>
      <c r="B16" s="442"/>
      <c r="C16" s="154" t="s">
        <v>6</v>
      </c>
      <c r="D16" s="313">
        <v>1159</v>
      </c>
      <c r="E16" s="129">
        <v>123.741</v>
      </c>
      <c r="F16" s="129">
        <v>1299.404</v>
      </c>
      <c r="G16" s="307">
        <f t="shared" si="3"/>
        <v>1.3080424589053624E-2</v>
      </c>
      <c r="H16" s="307">
        <f t="shared" si="4"/>
        <v>1.7076212774337545</v>
      </c>
      <c r="I16" s="313">
        <v>45.700999999999993</v>
      </c>
      <c r="J16" s="129">
        <v>486.34800000000001</v>
      </c>
      <c r="K16" s="307">
        <f>I16/$I$20</f>
        <v>1.4019233249325401E-3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42"/>
      <c r="B17" s="442"/>
      <c r="C17" s="154" t="s">
        <v>7</v>
      </c>
      <c r="D17" s="313">
        <v>8058</v>
      </c>
      <c r="E17" s="129">
        <v>0</v>
      </c>
      <c r="F17" s="129">
        <v>0</v>
      </c>
      <c r="G17" s="307">
        <f t="shared" si="3"/>
        <v>0</v>
      </c>
      <c r="H17" s="344" t="e">
        <f t="shared" si="4"/>
        <v>#DIV/0!</v>
      </c>
      <c r="I17" s="313">
        <v>0</v>
      </c>
      <c r="J17" s="129">
        <v>0</v>
      </c>
      <c r="K17" s="307">
        <f>I17/$I$20</f>
        <v>0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42"/>
      <c r="B18" s="442"/>
      <c r="C18" s="154" t="s">
        <v>93</v>
      </c>
      <c r="D18" s="313">
        <v>6</v>
      </c>
      <c r="E18" s="129">
        <v>5.5949999999999998</v>
      </c>
      <c r="F18" s="129">
        <v>57.914000000000001</v>
      </c>
      <c r="G18" s="307">
        <f t="shared" si="3"/>
        <v>5.9143675560852928E-4</v>
      </c>
      <c r="H18" s="307">
        <f>(E18-I18)/I18</f>
        <v>-0.8622260526963802</v>
      </c>
      <c r="I18" s="313">
        <v>40.61</v>
      </c>
      <c r="J18" s="129">
        <v>421.12599999999998</v>
      </c>
      <c r="K18" s="307">
        <f>I18/$I$20</f>
        <v>1.2457518703203531E-3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42"/>
      <c r="B19" s="442"/>
      <c r="C19" s="154" t="s">
        <v>96</v>
      </c>
      <c r="D19" s="313">
        <v>0</v>
      </c>
      <c r="E19" s="129">
        <v>168.14801999999943</v>
      </c>
      <c r="F19" s="129">
        <v>1874.3073380000233</v>
      </c>
      <c r="G19" s="307">
        <f t="shared" si="3"/>
        <v>1.7774605792814615E-2</v>
      </c>
      <c r="H19" s="307">
        <f t="shared" ref="H19" si="6">(E19-I19)/I19</f>
        <v>-0.9351267296800656</v>
      </c>
      <c r="I19" s="313">
        <v>2591.946100000001</v>
      </c>
      <c r="J19" s="129">
        <v>28062.286448000006</v>
      </c>
      <c r="K19" s="307">
        <f t="shared" si="5"/>
        <v>7.9510507309641626E-2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43"/>
      <c r="B20" s="443"/>
      <c r="C20" s="318" t="s">
        <v>0</v>
      </c>
      <c r="D20" s="321">
        <v>9436</v>
      </c>
      <c r="E20" s="319">
        <v>9460.0140199999987</v>
      </c>
      <c r="F20" s="319">
        <v>103387.27988700004</v>
      </c>
      <c r="G20" s="320">
        <f>SUM(G14:G19)</f>
        <v>1</v>
      </c>
      <c r="H20" s="320">
        <f>(E20-I20)/I20</f>
        <v>-0.70980472399232308</v>
      </c>
      <c r="I20" s="321">
        <v>32598.787099999998</v>
      </c>
      <c r="J20" s="319">
        <v>350769.83049399988</v>
      </c>
      <c r="K20" s="320">
        <f>SUM(K14:K19)</f>
        <v>0.99999999999999989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41" t="str">
        <f>'3.1'!F5</f>
        <v>Červen</v>
      </c>
      <c r="B21" s="441"/>
      <c r="C21" s="164" t="s">
        <v>4</v>
      </c>
      <c r="D21" s="312">
        <v>95</v>
      </c>
      <c r="E21" s="308">
        <v>48891.555</v>
      </c>
      <c r="F21" s="308">
        <v>535822.43255700008</v>
      </c>
      <c r="G21" s="309">
        <f>E21/$E$27</f>
        <v>0.99459222680001291</v>
      </c>
      <c r="H21" s="309">
        <f>(E21-I21)/I21</f>
        <v>9.9785351851399112E-2</v>
      </c>
      <c r="I21" s="312">
        <v>44455.542999999998</v>
      </c>
      <c r="J21" s="308">
        <v>485948.68272099993</v>
      </c>
      <c r="K21" s="309">
        <f>I21/$I$27</f>
        <v>0.96295244340853059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42"/>
      <c r="B22" s="442"/>
      <c r="C22" s="154" t="s">
        <v>5</v>
      </c>
      <c r="D22" s="313">
        <v>118</v>
      </c>
      <c r="E22" s="129">
        <v>19.206</v>
      </c>
      <c r="F22" s="129">
        <v>202.21299999999999</v>
      </c>
      <c r="G22" s="307">
        <f t="shared" ref="G22:G26" si="7">E22/$E$27</f>
        <v>3.9070424959731896E-4</v>
      </c>
      <c r="H22" s="307">
        <f t="shared" ref="H22:H26" si="8">(E22-I22)/I22</f>
        <v>1.9318543679015008E-2</v>
      </c>
      <c r="I22" s="313">
        <v>18.841999999999999</v>
      </c>
      <c r="J22" s="129">
        <v>199.25200000000001</v>
      </c>
      <c r="K22" s="307">
        <f t="shared" ref="K22:K26" si="9">I22/$I$27</f>
        <v>4.0813695468084899E-4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42"/>
      <c r="B23" s="442"/>
      <c r="C23" s="154" t="s">
        <v>6</v>
      </c>
      <c r="D23" s="313">
        <v>1159</v>
      </c>
      <c r="E23" s="129">
        <v>119.636</v>
      </c>
      <c r="F23" s="129">
        <v>1256.1574999999998</v>
      </c>
      <c r="G23" s="307">
        <f t="shared" si="7"/>
        <v>2.4337339167356475E-3</v>
      </c>
      <c r="H23" s="307">
        <f t="shared" si="8"/>
        <v>0.79641725603255376</v>
      </c>
      <c r="I23" s="313">
        <v>66.597000000000008</v>
      </c>
      <c r="J23" s="129">
        <v>709.08900000000017</v>
      </c>
      <c r="K23" s="307">
        <f t="shared" si="9"/>
        <v>1.4425590049294398E-3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42"/>
      <c r="B24" s="442"/>
      <c r="C24" s="154" t="s">
        <v>7</v>
      </c>
      <c r="D24" s="313">
        <v>8058</v>
      </c>
      <c r="E24" s="129">
        <v>0</v>
      </c>
      <c r="F24" s="129">
        <v>0</v>
      </c>
      <c r="G24" s="307">
        <f t="shared" si="7"/>
        <v>0</v>
      </c>
      <c r="H24" s="344" t="e">
        <f t="shared" si="8"/>
        <v>#DIV/0!</v>
      </c>
      <c r="I24" s="313">
        <v>0</v>
      </c>
      <c r="J24" s="129">
        <v>0</v>
      </c>
      <c r="K24" s="307">
        <f t="shared" si="9"/>
        <v>0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42"/>
      <c r="B25" s="442"/>
      <c r="C25" s="154" t="s">
        <v>93</v>
      </c>
      <c r="D25" s="313">
        <v>6</v>
      </c>
      <c r="E25" s="129">
        <v>6.9509999999999996</v>
      </c>
      <c r="F25" s="129">
        <v>72.067999999999998</v>
      </c>
      <c r="G25" s="307">
        <f t="shared" si="7"/>
        <v>1.4140295943720525E-4</v>
      </c>
      <c r="H25" s="307">
        <f t="shared" si="8"/>
        <v>-0.8316256086040259</v>
      </c>
      <c r="I25" s="313">
        <v>41.283000000000001</v>
      </c>
      <c r="J25" s="129">
        <v>428.18700000000001</v>
      </c>
      <c r="K25" s="307">
        <f t="shared" si="9"/>
        <v>8.9423192336744988E-4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42"/>
      <c r="B26" s="442"/>
      <c r="C26" s="154" t="s">
        <v>96</v>
      </c>
      <c r="D26" s="313">
        <v>0</v>
      </c>
      <c r="E26" s="129">
        <v>120.03900000000029</v>
      </c>
      <c r="F26" s="129">
        <v>1436.7249209999943</v>
      </c>
      <c r="G26" s="307">
        <f t="shared" si="7"/>
        <v>2.4419320742170509E-3</v>
      </c>
      <c r="H26" s="307">
        <f t="shared" si="8"/>
        <v>-0.9241991830190105</v>
      </c>
      <c r="I26" s="313">
        <v>1583.6109000000029</v>
      </c>
      <c r="J26" s="129">
        <v>17390.021393000017</v>
      </c>
      <c r="K26" s="307">
        <f t="shared" si="9"/>
        <v>3.4302628708491649E-2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43"/>
      <c r="B27" s="443"/>
      <c r="C27" s="318" t="s">
        <v>0</v>
      </c>
      <c r="D27" s="321">
        <v>9436</v>
      </c>
      <c r="E27" s="319">
        <v>49157.386999999995</v>
      </c>
      <c r="F27" s="319">
        <v>538789.59597799997</v>
      </c>
      <c r="G27" s="320">
        <f>SUM(G21:G26)</f>
        <v>1</v>
      </c>
      <c r="H27" s="320">
        <f>(E27-I27)/I27</f>
        <v>6.4799184282345573E-2</v>
      </c>
      <c r="I27" s="321">
        <v>46165.875899999999</v>
      </c>
      <c r="J27" s="319">
        <v>504675.2321139999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10" t="str">
        <f>'3.1'!G5</f>
        <v>II. čtvrtletí</v>
      </c>
      <c r="B28" s="441"/>
      <c r="C28" s="164" t="s">
        <v>4</v>
      </c>
      <c r="D28" s="312">
        <f>D21</f>
        <v>95</v>
      </c>
      <c r="E28" s="308">
        <f>E7+E14+E21</f>
        <v>72617.198999999993</v>
      </c>
      <c r="F28" s="308">
        <f>F7+F14+F21</f>
        <v>794829.45887600002</v>
      </c>
      <c r="G28" s="309">
        <f>E28/$E$34</f>
        <v>0.98648986145841699</v>
      </c>
      <c r="H28" s="309">
        <f>(E28-I28)/I28</f>
        <v>-5.5558737629481651E-2</v>
      </c>
      <c r="I28" s="312">
        <f>I7+I14+I21</f>
        <v>76889.05799999999</v>
      </c>
      <c r="J28" s="308">
        <f>J7+J14+J21</f>
        <v>834829.32794699981</v>
      </c>
      <c r="K28" s="309">
        <f>I28/$I$34</f>
        <v>0.91362363577280725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42"/>
      <c r="B29" s="442"/>
      <c r="C29" s="154" t="s">
        <v>5</v>
      </c>
      <c r="D29" s="313">
        <f t="shared" ref="D29:D32" si="10">D22</f>
        <v>118</v>
      </c>
      <c r="E29" s="129">
        <f>E8+E15+E22</f>
        <v>93.536999999999992</v>
      </c>
      <c r="F29" s="129">
        <f t="shared" ref="F29" si="11">F8+F15+F22</f>
        <v>983.96499999999992</v>
      </c>
      <c r="G29" s="307">
        <f t="shared" ref="G29:G33" si="12">E29/$E$34</f>
        <v>1.2706810981684374E-3</v>
      </c>
      <c r="H29" s="307">
        <f t="shared" ref="H29:H31" si="13">(E29-I29)/I29</f>
        <v>-0.12038029678948262</v>
      </c>
      <c r="I29" s="313">
        <f>I8+I15+I22</f>
        <v>106.33799999999999</v>
      </c>
      <c r="J29" s="129">
        <f t="shared" ref="J29" si="14">J8+J15+J22</f>
        <v>1121.2740000000001</v>
      </c>
      <c r="K29" s="307">
        <f t="shared" ref="K29:K33" si="15">I29/$I$34</f>
        <v>1.2635466307937963E-3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42"/>
      <c r="B30" s="442"/>
      <c r="C30" s="154" t="s">
        <v>6</v>
      </c>
      <c r="D30" s="313">
        <f t="shared" si="10"/>
        <v>1159</v>
      </c>
      <c r="E30" s="129">
        <f t="shared" ref="E30:F33" si="16">E9+E16+E23</f>
        <v>366.77800000000002</v>
      </c>
      <c r="F30" s="129">
        <f t="shared" si="16"/>
        <v>3852.2474999999999</v>
      </c>
      <c r="G30" s="307">
        <f t="shared" si="12"/>
        <v>4.9826044434183609E-3</v>
      </c>
      <c r="H30" s="307">
        <f t="shared" si="13"/>
        <v>1.3041858536616011</v>
      </c>
      <c r="I30" s="313">
        <f t="shared" ref="I30:J32" si="17">I9+I16+I23</f>
        <v>159.179</v>
      </c>
      <c r="J30" s="129">
        <f t="shared" si="17"/>
        <v>1693.8040000000001</v>
      </c>
      <c r="K30" s="307">
        <f t="shared" si="15"/>
        <v>1.8914225313916538E-3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42"/>
      <c r="B31" s="442"/>
      <c r="C31" s="154" t="s">
        <v>7</v>
      </c>
      <c r="D31" s="313">
        <f t="shared" si="10"/>
        <v>8058</v>
      </c>
      <c r="E31" s="129">
        <f>E10+E17+E24</f>
        <v>0</v>
      </c>
      <c r="F31" s="129">
        <f t="shared" si="16"/>
        <v>0</v>
      </c>
      <c r="G31" s="307">
        <f t="shared" si="12"/>
        <v>0</v>
      </c>
      <c r="H31" s="344" t="e">
        <f t="shared" si="13"/>
        <v>#DIV/0!</v>
      </c>
      <c r="I31" s="313">
        <f>I10+I17+I24</f>
        <v>0</v>
      </c>
      <c r="J31" s="129">
        <f t="shared" si="17"/>
        <v>0</v>
      </c>
      <c r="K31" s="307">
        <f t="shared" si="15"/>
        <v>0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42"/>
      <c r="B32" s="442"/>
      <c r="C32" s="154" t="s">
        <v>93</v>
      </c>
      <c r="D32" s="313">
        <f t="shared" si="10"/>
        <v>6</v>
      </c>
      <c r="E32" s="129">
        <f>E11+E18+E25</f>
        <v>18.323</v>
      </c>
      <c r="F32" s="129">
        <f t="shared" si="16"/>
        <v>189.92399999999998</v>
      </c>
      <c r="G32" s="307">
        <f t="shared" si="12"/>
        <v>2.4891422390861673E-4</v>
      </c>
      <c r="H32" s="307">
        <f>(E32-I32)/I32</f>
        <v>-0.83399470899470896</v>
      </c>
      <c r="I32" s="313">
        <f>I11+I18+I25</f>
        <v>110.376</v>
      </c>
      <c r="J32" s="129">
        <f t="shared" si="17"/>
        <v>1145.28</v>
      </c>
      <c r="K32" s="307">
        <f t="shared" si="15"/>
        <v>1.311527609325886E-3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42"/>
      <c r="B33" s="442"/>
      <c r="C33" s="154" t="s">
        <v>96</v>
      </c>
      <c r="D33" s="313"/>
      <c r="E33" s="129">
        <f t="shared" si="16"/>
        <v>515.86630999999716</v>
      </c>
      <c r="F33" s="129">
        <f t="shared" si="16"/>
        <v>5871.5487260000018</v>
      </c>
      <c r="G33" s="307">
        <f t="shared" si="12"/>
        <v>7.0079387760874946E-3</v>
      </c>
      <c r="H33" s="307">
        <f t="shared" ref="H33" si="18">(E33-I33)/I33</f>
        <v>-0.92516517815770505</v>
      </c>
      <c r="I33" s="313">
        <f t="shared" ref="I33:J33" si="19">I12+I19+I26</f>
        <v>6893.3993200000023</v>
      </c>
      <c r="J33" s="129">
        <f t="shared" si="19"/>
        <v>74893.446444000016</v>
      </c>
      <c r="K33" s="307">
        <f t="shared" si="15"/>
        <v>8.1909867455681407E-2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43"/>
      <c r="B34" s="443"/>
      <c r="C34" s="318" t="s">
        <v>0</v>
      </c>
      <c r="D34" s="321">
        <f>SUM(D28:D33)</f>
        <v>9436</v>
      </c>
      <c r="E34" s="319">
        <f>SUM(E28:E33)</f>
        <v>73611.703309999997</v>
      </c>
      <c r="F34" s="319">
        <f>SUM(F28:F33)</f>
        <v>805727.14410200005</v>
      </c>
      <c r="G34" s="320">
        <f>SUM(G28:G33)</f>
        <v>0.99999999999999989</v>
      </c>
      <c r="H34" s="320">
        <f>(E34-I34)/I34</f>
        <v>-0.12531907968606676</v>
      </c>
      <c r="I34" s="321">
        <f>SUM(I28:I33)</f>
        <v>84158.350319999998</v>
      </c>
      <c r="J34" s="319">
        <f>SUM(J28:J33)</f>
        <v>913683.13239099982</v>
      </c>
      <c r="K34" s="320">
        <f>SUM(K28:K33)</f>
        <v>0.99999999999999989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126"/>
      <c r="B35" s="303"/>
      <c r="C35" s="101"/>
      <c r="D35" s="88"/>
      <c r="E35" s="88"/>
      <c r="F35" s="88"/>
      <c r="G35" s="495" t="s">
        <v>272</v>
      </c>
      <c r="H35" s="495"/>
      <c r="I35" s="495"/>
      <c r="J35" s="495"/>
      <c r="K35" s="495"/>
    </row>
    <row r="36" spans="1:20" ht="15" customHeight="1">
      <c r="A36" s="487" t="s">
        <v>271</v>
      </c>
      <c r="B36" s="487"/>
      <c r="C36" s="487"/>
      <c r="D36" s="487"/>
      <c r="E36" s="487"/>
      <c r="F36" s="119"/>
      <c r="G36" s="495"/>
      <c r="H36" s="495"/>
      <c r="I36" s="495"/>
      <c r="J36" s="495"/>
      <c r="K36" s="495"/>
      <c r="M36" s="93"/>
      <c r="N36" s="93"/>
      <c r="O36" s="93"/>
      <c r="P36" s="93"/>
      <c r="Q36" s="93"/>
      <c r="R36" s="93"/>
      <c r="S36" s="93"/>
    </row>
    <row r="37" spans="1:20" ht="15" customHeight="1">
      <c r="A37" s="488" t="str">
        <f>A28</f>
        <v>II. čtvrtletí</v>
      </c>
      <c r="B37" s="488"/>
      <c r="C37" s="488"/>
      <c r="D37" s="488"/>
      <c r="E37" s="488"/>
      <c r="F37" s="125"/>
      <c r="G37" s="490" t="str">
        <f>A28</f>
        <v>II. čtvrtletí</v>
      </c>
      <c r="H37" s="490"/>
      <c r="I37" s="490"/>
      <c r="J37" s="490"/>
      <c r="K37" s="49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Duben</v>
      </c>
      <c r="C42" s="78">
        <f>E13</f>
        <v>14994.30229</v>
      </c>
      <c r="D42" s="78">
        <f>I13</f>
        <v>5393.6873199999991</v>
      </c>
      <c r="E42" s="76"/>
      <c r="F42" s="76"/>
      <c r="G42" s="76"/>
      <c r="H42" s="94" t="str">
        <f>A7</f>
        <v>Duben</v>
      </c>
      <c r="I42" s="95">
        <f>E13/E34</f>
        <v>0.20369454333714698</v>
      </c>
      <c r="J42" s="95">
        <f>I13/I34</f>
        <v>6.4089746287697896E-2</v>
      </c>
      <c r="K42" s="94"/>
    </row>
    <row r="43" spans="1:20" ht="15" customHeight="1">
      <c r="A43" s="94"/>
      <c r="B43" s="94" t="str">
        <f>A14</f>
        <v>Květen</v>
      </c>
      <c r="C43" s="78">
        <f>E20</f>
        <v>9460.0140199999987</v>
      </c>
      <c r="D43" s="78">
        <f>I20</f>
        <v>32598.787099999998</v>
      </c>
      <c r="E43" s="76"/>
      <c r="F43" s="76"/>
      <c r="G43" s="76"/>
      <c r="H43" s="94" t="str">
        <f>A14</f>
        <v>Květen</v>
      </c>
      <c r="I43" s="95">
        <f>E20/E34</f>
        <v>0.1285123641299423</v>
      </c>
      <c r="J43" s="95">
        <f>I20/I34</f>
        <v>0.38735059534850441</v>
      </c>
      <c r="K43" s="94"/>
    </row>
    <row r="44" spans="1:20" ht="15" customHeight="1">
      <c r="A44" s="94"/>
      <c r="B44" s="94" t="str">
        <f>A21</f>
        <v>Červen</v>
      </c>
      <c r="C44" s="78">
        <f>E27</f>
        <v>49157.386999999995</v>
      </c>
      <c r="D44" s="78">
        <f>I27</f>
        <v>46165.875899999999</v>
      </c>
      <c r="E44" s="76"/>
      <c r="F44" s="76"/>
      <c r="G44" s="76"/>
      <c r="H44" s="94" t="str">
        <f>A21</f>
        <v>Červen</v>
      </c>
      <c r="I44" s="95">
        <f>E27/E34</f>
        <v>0.66779309253291064</v>
      </c>
      <c r="J44" s="95">
        <f>I27/I34</f>
        <v>0.54855965836379761</v>
      </c>
      <c r="K44" s="94"/>
    </row>
    <row r="45" spans="1:20" ht="15" customHeight="1">
      <c r="A45" s="94"/>
      <c r="B45" s="94"/>
      <c r="C45" s="78">
        <f>SUM(C42:C44)</f>
        <v>73611.703309999997</v>
      </c>
      <c r="D45" s="78">
        <f>SUM(D42:D44)</f>
        <v>84158.350319999998</v>
      </c>
      <c r="E45" s="94"/>
      <c r="F45" s="94"/>
      <c r="G45" s="94"/>
      <c r="H45" s="94"/>
      <c r="I45" s="96">
        <f>SUM(I42:I44)</f>
        <v>0.99999999999999989</v>
      </c>
      <c r="J45" s="96">
        <f>SUM(J42:J44)</f>
        <v>0.99999999999999989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513" t="s">
        <v>202</v>
      </c>
      <c r="B52" s="513"/>
      <c r="C52" s="513"/>
      <c r="D52" s="513"/>
      <c r="E52" s="513"/>
      <c r="F52" s="513"/>
      <c r="G52" s="513"/>
      <c r="H52" s="513"/>
      <c r="I52" s="513"/>
      <c r="J52" s="513"/>
      <c r="K52" s="513"/>
    </row>
    <row r="53" spans="1:11" ht="15" customHeight="1">
      <c r="A53" s="513"/>
      <c r="B53" s="513"/>
      <c r="C53" s="513"/>
      <c r="D53" s="513"/>
      <c r="E53" s="513"/>
      <c r="F53" s="513"/>
      <c r="G53" s="513"/>
      <c r="H53" s="513"/>
      <c r="I53" s="513"/>
      <c r="J53" s="513"/>
      <c r="K53" s="513"/>
    </row>
    <row r="54" spans="1:11" ht="15" customHeight="1">
      <c r="A54" s="513"/>
      <c r="B54" s="513"/>
      <c r="C54" s="513"/>
      <c r="D54" s="513"/>
      <c r="E54" s="513"/>
      <c r="F54" s="513"/>
      <c r="G54" s="513"/>
      <c r="H54" s="513"/>
      <c r="I54" s="513"/>
      <c r="J54" s="513"/>
      <c r="K54" s="513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4" t="str">
        <f>"5.6 Spotřeba zemního plynu a teplota ovzduší: "&amp;LOWER(A3)</f>
        <v>5.6 Spotřeba zemního plynu a teplota ovzduší: duben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1" t="str">
        <f>'3.1'!D5</f>
        <v>Duben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4" spans="1:11" ht="24.95" customHeight="1">
      <c r="A4" s="128"/>
      <c r="B4" s="252">
        <f>'3.1'!A4</f>
        <v>2023</v>
      </c>
      <c r="C4" s="515" t="s">
        <v>60</v>
      </c>
      <c r="D4" s="516"/>
      <c r="E4" s="516"/>
      <c r="F4" s="517"/>
      <c r="G4" s="515" t="s">
        <v>186</v>
      </c>
      <c r="H4" s="516"/>
      <c r="I4" s="516"/>
      <c r="J4" s="516"/>
      <c r="K4" s="516"/>
    </row>
    <row r="5" spans="1:11" ht="22.5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86"/>
      <c r="C6" s="221" t="s">
        <v>261</v>
      </c>
      <c r="D6" s="219" t="s">
        <v>262</v>
      </c>
      <c r="E6" s="486"/>
      <c r="F6" s="520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'5.2'!D13</f>
        <v>405313</v>
      </c>
      <c r="C7" s="313">
        <f>'5.2'!E13</f>
        <v>66498.69310795347</v>
      </c>
      <c r="D7" s="129">
        <f>'5.2'!F13</f>
        <v>727192.46755095967</v>
      </c>
      <c r="E7" s="307">
        <f>C7/$C$11</f>
        <v>0.10964915412550885</v>
      </c>
      <c r="F7" s="332">
        <f>'5.2'!H13</f>
        <v>-0.10800435483649393</v>
      </c>
      <c r="G7" s="330">
        <v>8.0733333333333324</v>
      </c>
      <c r="H7" s="324">
        <v>14.7</v>
      </c>
      <c r="I7" s="324">
        <v>1.6</v>
      </c>
      <c r="J7" s="324">
        <v>8.6999999999999957</v>
      </c>
      <c r="K7" s="324">
        <v>-0.62666666666666337</v>
      </c>
    </row>
    <row r="8" spans="1:11" ht="15.95" customHeight="1">
      <c r="A8" s="154" t="s">
        <v>87</v>
      </c>
      <c r="B8" s="129">
        <f>'5.3'!D13</f>
        <v>2242592</v>
      </c>
      <c r="C8" s="313">
        <f>'5.3'!E13</f>
        <v>499583.09052440379</v>
      </c>
      <c r="D8" s="129">
        <f>'5.3'!F13</f>
        <v>5447945.7453199988</v>
      </c>
      <c r="E8" s="307">
        <f t="shared" ref="E8:E10" si="0">C8/$C$11</f>
        <v>0.82375849405763213</v>
      </c>
      <c r="F8" s="332">
        <f>'5.3'!H13</f>
        <v>-0.11281030854959065</v>
      </c>
      <c r="G8" s="330">
        <v>6.7083333333333366</v>
      </c>
      <c r="H8" s="325">
        <v>12.549999999999999</v>
      </c>
      <c r="I8" s="325">
        <v>-0.46666666666666673</v>
      </c>
      <c r="J8" s="325">
        <v>7.6166666666666689</v>
      </c>
      <c r="K8" s="324">
        <v>-0.90833333333333233</v>
      </c>
    </row>
    <row r="9" spans="1:11" ht="15.95" customHeight="1">
      <c r="A9" s="154" t="s">
        <v>211</v>
      </c>
      <c r="B9" s="129">
        <f>'5.4'!D13</f>
        <v>112459</v>
      </c>
      <c r="C9" s="313">
        <f>'5.4'!E13</f>
        <v>25391.822</v>
      </c>
      <c r="D9" s="129">
        <f>'5.4'!F13</f>
        <v>276827.32332999998</v>
      </c>
      <c r="E9" s="307">
        <f t="shared" si="0"/>
        <v>4.1868368743512761E-2</v>
      </c>
      <c r="F9" s="332">
        <f>'5.4'!H13</f>
        <v>-0.10309911241088236</v>
      </c>
      <c r="G9" s="330">
        <v>6.1366666666666676</v>
      </c>
      <c r="H9" s="325">
        <v>12.4</v>
      </c>
      <c r="I9" s="325">
        <v>-0.7</v>
      </c>
      <c r="J9" s="325">
        <v>7</v>
      </c>
      <c r="K9" s="324">
        <v>-0.8633333333333324</v>
      </c>
    </row>
    <row r="10" spans="1:11" ht="15.95" customHeight="1">
      <c r="A10" s="154" t="s">
        <v>32</v>
      </c>
      <c r="B10" s="129">
        <f>'5.5'!D13</f>
        <v>9425</v>
      </c>
      <c r="C10" s="313">
        <f>'5.5'!E13</f>
        <v>14994.30229</v>
      </c>
      <c r="D10" s="129">
        <f>'5.5'!F13</f>
        <v>163550.26823699995</v>
      </c>
      <c r="E10" s="307">
        <f t="shared" si="0"/>
        <v>2.4723983073346126E-2</v>
      </c>
      <c r="F10" s="332">
        <f>'5.5'!H13</f>
        <v>1.7799724753047053</v>
      </c>
      <c r="G10" s="330">
        <v>6.6799999999999988</v>
      </c>
      <c r="H10" s="325">
        <v>12.6</v>
      </c>
      <c r="I10" s="325">
        <v>-0.4</v>
      </c>
      <c r="J10" s="325">
        <v>8.6366666666666667</v>
      </c>
      <c r="K10" s="324">
        <v>-1.9566666666666679</v>
      </c>
    </row>
    <row r="11" spans="1:11" ht="15.95" customHeight="1">
      <c r="A11" s="159" t="s">
        <v>3</v>
      </c>
      <c r="B11" s="310">
        <f>SUM(B7:B10)</f>
        <v>2769789</v>
      </c>
      <c r="C11" s="314">
        <f>SUM(C7:C10)</f>
        <v>606467.90792235732</v>
      </c>
      <c r="D11" s="310">
        <f t="shared" ref="D11:E11" si="1">SUM(D7:D10)</f>
        <v>6615515.8044379586</v>
      </c>
      <c r="E11" s="311">
        <f t="shared" si="1"/>
        <v>0.99999999999999989</v>
      </c>
      <c r="F11" s="333">
        <f>'5.1'!H14</f>
        <v>-9.6660613524322231E-2</v>
      </c>
      <c r="G11" s="331">
        <v>6.6799999999999988</v>
      </c>
      <c r="H11" s="329">
        <v>12.6</v>
      </c>
      <c r="I11" s="329">
        <v>-0.4</v>
      </c>
      <c r="J11" s="329">
        <v>8.6366666666666667</v>
      </c>
      <c r="K11" s="328">
        <v>-1.9566666666666679</v>
      </c>
    </row>
    <row r="12" spans="1:11" ht="15" customHeight="1">
      <c r="A12" s="101"/>
      <c r="B12" s="94"/>
      <c r="C12" s="522" t="s">
        <v>241</v>
      </c>
      <c r="D12" s="522"/>
      <c r="E12" s="522"/>
      <c r="F12" s="522"/>
      <c r="G12" s="525" t="s">
        <v>242</v>
      </c>
      <c r="H12" s="525"/>
      <c r="I12" s="525"/>
      <c r="J12" s="525"/>
      <c r="K12" s="525"/>
    </row>
    <row r="13" spans="1:11" ht="15" customHeight="1">
      <c r="A13" s="94"/>
      <c r="B13" s="94"/>
      <c r="C13" s="522"/>
      <c r="D13" s="522"/>
      <c r="E13" s="522"/>
      <c r="F13" s="522"/>
      <c r="G13" s="525" t="s">
        <v>243</v>
      </c>
      <c r="H13" s="525"/>
      <c r="I13" s="525"/>
      <c r="J13" s="525"/>
      <c r="K13" s="525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6" t="s">
        <v>273</v>
      </c>
      <c r="B16" s="526"/>
      <c r="C16" s="526"/>
      <c r="D16" s="526"/>
      <c r="E16" s="526"/>
      <c r="F16" s="526" t="s">
        <v>274</v>
      </c>
      <c r="G16" s="526"/>
      <c r="H16" s="526"/>
      <c r="I16" s="526"/>
      <c r="J16" s="526"/>
      <c r="K16" s="526"/>
    </row>
    <row r="17" spans="1:11" ht="15" customHeight="1">
      <c r="A17" s="526"/>
      <c r="B17" s="526"/>
      <c r="C17" s="526"/>
      <c r="D17" s="526"/>
      <c r="E17" s="526"/>
      <c r="F17" s="526"/>
      <c r="G17" s="526"/>
      <c r="H17" s="526"/>
      <c r="I17" s="526"/>
      <c r="J17" s="526"/>
      <c r="K17" s="526"/>
    </row>
    <row r="18" spans="1:11" ht="15" customHeight="1">
      <c r="A18" s="124"/>
      <c r="B18" s="523"/>
      <c r="C18" s="523"/>
      <c r="D18" s="124"/>
      <c r="E18" s="124"/>
      <c r="F18" s="124"/>
      <c r="G18" s="124"/>
      <c r="H18" s="523"/>
      <c r="I18" s="523"/>
      <c r="J18" s="124"/>
      <c r="K18" s="124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6" t="s">
        <v>275</v>
      </c>
      <c r="B33" s="489"/>
      <c r="C33" s="489"/>
      <c r="D33" s="489"/>
      <c r="E33" s="489"/>
      <c r="F33" s="526" t="s">
        <v>66</v>
      </c>
      <c r="G33" s="526"/>
      <c r="H33" s="526"/>
      <c r="I33" s="526"/>
      <c r="J33" s="526"/>
      <c r="K33" s="526"/>
    </row>
    <row r="34" spans="1:11" ht="15" customHeight="1">
      <c r="A34" s="489"/>
      <c r="B34" s="489"/>
      <c r="C34" s="489"/>
      <c r="D34" s="489"/>
      <c r="E34" s="489"/>
      <c r="F34" s="526"/>
      <c r="G34" s="526"/>
      <c r="H34" s="526"/>
      <c r="I34" s="526"/>
      <c r="J34" s="526"/>
      <c r="K34" s="526"/>
    </row>
    <row r="35" spans="1:11" ht="15" customHeight="1">
      <c r="A35" s="124"/>
      <c r="B35" s="523"/>
      <c r="C35" s="523"/>
      <c r="D35" s="124"/>
      <c r="E35" s="121"/>
      <c r="F35" s="127"/>
      <c r="G35" s="127"/>
      <c r="H35" s="524"/>
      <c r="I35" s="524"/>
      <c r="J35" s="127"/>
      <c r="K35" s="127"/>
    </row>
    <row r="36" spans="1:11" ht="15" customHeight="1">
      <c r="A36" s="124"/>
      <c r="B36" s="124"/>
      <c r="C36" s="124"/>
      <c r="D36" s="124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4" t="str">
        <f>"5.7 Spotřeba zemního plynu a teplota ovzduší: "&amp;LOWER(A3)</f>
        <v>5.7 Spotřeba zemního plynu a teplota ovzduší: květen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1" t="str">
        <f>'3.1'!E5</f>
        <v>Květen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4" spans="1:11" ht="24.95" customHeight="1">
      <c r="A4" s="128"/>
      <c r="B4" s="252">
        <f>'3.1'!A4</f>
        <v>2023</v>
      </c>
      <c r="C4" s="515" t="s">
        <v>60</v>
      </c>
      <c r="D4" s="516"/>
      <c r="E4" s="516"/>
      <c r="F4" s="517"/>
      <c r="G4" s="515" t="s">
        <v>186</v>
      </c>
      <c r="H4" s="516"/>
      <c r="I4" s="516"/>
      <c r="J4" s="516"/>
      <c r="K4" s="516"/>
    </row>
    <row r="5" spans="1:11" ht="22.5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86"/>
      <c r="C6" s="221" t="s">
        <v>261</v>
      </c>
      <c r="D6" s="219" t="s">
        <v>262</v>
      </c>
      <c r="E6" s="486"/>
      <c r="F6" s="520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'5.2'!D20</f>
        <v>404701</v>
      </c>
      <c r="C7" s="313">
        <f>'5.2'!E20</f>
        <v>32024.078304436709</v>
      </c>
      <c r="D7" s="129">
        <f>'5.2'!F20</f>
        <v>351546.71426591743</v>
      </c>
      <c r="E7" s="307">
        <f>C7/$C$11</f>
        <v>8.6820469826082797E-2</v>
      </c>
      <c r="F7" s="332">
        <f>'5.2'!H20</f>
        <v>0.15936048064951117</v>
      </c>
      <c r="G7" s="330">
        <v>14.445161290322584</v>
      </c>
      <c r="H7" s="324">
        <v>20.6</v>
      </c>
      <c r="I7" s="324">
        <v>9.6999999999999993</v>
      </c>
      <c r="J7" s="324">
        <v>14</v>
      </c>
      <c r="K7" s="324">
        <v>0.44516129032258434</v>
      </c>
    </row>
    <row r="8" spans="1:11" ht="15.95" customHeight="1">
      <c r="A8" s="154" t="s">
        <v>87</v>
      </c>
      <c r="B8" s="129">
        <f>'5.3'!D20</f>
        <v>2240216</v>
      </c>
      <c r="C8" s="313">
        <f>'5.3'!E20</f>
        <v>312129.58305154613</v>
      </c>
      <c r="D8" s="129">
        <f>'5.3'!F20</f>
        <v>3416952.4405700001</v>
      </c>
      <c r="E8" s="307">
        <f t="shared" ref="E8:E10" si="0">C8/$C$11</f>
        <v>0.84621442620567655</v>
      </c>
      <c r="F8" s="332">
        <f>'5.3'!H20</f>
        <v>-5.376396752417638E-3</v>
      </c>
      <c r="G8" s="330">
        <v>12.845698924731177</v>
      </c>
      <c r="H8" s="325">
        <v>18.349999999999998</v>
      </c>
      <c r="I8" s="325">
        <v>8.5</v>
      </c>
      <c r="J8" s="325">
        <v>13.016666666666657</v>
      </c>
      <c r="K8" s="324">
        <v>-0.17096774193547937</v>
      </c>
    </row>
    <row r="9" spans="1:11" ht="15.95" customHeight="1">
      <c r="A9" s="154" t="s">
        <v>211</v>
      </c>
      <c r="B9" s="129">
        <f>'5.4'!D20</f>
        <v>112321</v>
      </c>
      <c r="C9" s="313">
        <f>'5.4'!E20</f>
        <v>15240.333000000001</v>
      </c>
      <c r="D9" s="129">
        <f>'5.4'!F20</f>
        <v>166485.35364000002</v>
      </c>
      <c r="E9" s="307">
        <f t="shared" si="0"/>
        <v>4.131806257739002E-2</v>
      </c>
      <c r="F9" s="332">
        <f>'5.4'!H20</f>
        <v>2.5704438937996142E-2</v>
      </c>
      <c r="G9" s="330">
        <v>12.380645161290321</v>
      </c>
      <c r="H9" s="325">
        <v>18.899999999999999</v>
      </c>
      <c r="I9" s="325">
        <v>8.1999999999999993</v>
      </c>
      <c r="J9" s="325">
        <v>12.399999999999995</v>
      </c>
      <c r="K9" s="324">
        <v>-1.9354838709674027E-2</v>
      </c>
    </row>
    <row r="10" spans="1:11" ht="15.95" customHeight="1">
      <c r="A10" s="154" t="s">
        <v>32</v>
      </c>
      <c r="B10" s="129">
        <f>'5.5'!D20</f>
        <v>9436</v>
      </c>
      <c r="C10" s="313">
        <f>'5.5'!E20</f>
        <v>9460.0140199999987</v>
      </c>
      <c r="D10" s="129">
        <f>'5.5'!F20</f>
        <v>103387.27988700004</v>
      </c>
      <c r="E10" s="307">
        <f t="shared" si="0"/>
        <v>2.5647041390850635E-2</v>
      </c>
      <c r="F10" s="332">
        <f>'5.5'!H20</f>
        <v>-0.70980472399232308</v>
      </c>
      <c r="G10" s="330">
        <v>12.812903225806451</v>
      </c>
      <c r="H10" s="325">
        <v>18.399999999999999</v>
      </c>
      <c r="I10" s="325">
        <v>8.5</v>
      </c>
      <c r="J10" s="325">
        <v>13.522580645161288</v>
      </c>
      <c r="K10" s="324">
        <v>-0.7096774193548363</v>
      </c>
    </row>
    <row r="11" spans="1:11" ht="15.95" customHeight="1">
      <c r="A11" s="159" t="s">
        <v>3</v>
      </c>
      <c r="B11" s="310">
        <f>SUM(B7:B10)</f>
        <v>2766674</v>
      </c>
      <c r="C11" s="314">
        <f t="shared" ref="C11:E11" si="1">SUM(C7:C10)</f>
        <v>368854.00837598281</v>
      </c>
      <c r="D11" s="310">
        <f t="shared" si="1"/>
        <v>4038371.7883629175</v>
      </c>
      <c r="E11" s="311">
        <f t="shared" si="1"/>
        <v>1</v>
      </c>
      <c r="F11" s="333">
        <f>'5.1'!H21</f>
        <v>-5.1536027385937537E-2</v>
      </c>
      <c r="G11" s="331">
        <v>12.812903225806451</v>
      </c>
      <c r="H11" s="329">
        <v>18.399999999999999</v>
      </c>
      <c r="I11" s="329">
        <v>8.5</v>
      </c>
      <c r="J11" s="329">
        <v>13.522580645161288</v>
      </c>
      <c r="K11" s="328">
        <v>-0.7096774193548363</v>
      </c>
    </row>
    <row r="12" spans="1:11" ht="15" customHeight="1">
      <c r="A12" s="101"/>
      <c r="B12" s="94"/>
      <c r="C12" s="522" t="s">
        <v>241</v>
      </c>
      <c r="D12" s="522"/>
      <c r="E12" s="522"/>
      <c r="F12" s="522"/>
      <c r="G12" s="525" t="s">
        <v>242</v>
      </c>
      <c r="H12" s="525"/>
      <c r="I12" s="525"/>
      <c r="J12" s="525"/>
      <c r="K12" s="525"/>
    </row>
    <row r="13" spans="1:11" ht="15" customHeight="1">
      <c r="A13" s="94"/>
      <c r="B13" s="94"/>
      <c r="C13" s="522"/>
      <c r="D13" s="522"/>
      <c r="E13" s="522"/>
      <c r="F13" s="522"/>
      <c r="G13" s="525" t="s">
        <v>243</v>
      </c>
      <c r="H13" s="525"/>
      <c r="I13" s="525"/>
      <c r="J13" s="525"/>
      <c r="K13" s="525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6" t="s">
        <v>273</v>
      </c>
      <c r="B16" s="526"/>
      <c r="C16" s="526"/>
      <c r="D16" s="526"/>
      <c r="E16" s="526"/>
      <c r="F16" s="526" t="s">
        <v>274</v>
      </c>
      <c r="G16" s="526"/>
      <c r="H16" s="526"/>
      <c r="I16" s="526"/>
      <c r="J16" s="526"/>
      <c r="K16" s="526"/>
    </row>
    <row r="17" spans="1:11" ht="15" customHeight="1">
      <c r="A17" s="526"/>
      <c r="B17" s="526"/>
      <c r="C17" s="526"/>
      <c r="D17" s="526"/>
      <c r="E17" s="526"/>
      <c r="F17" s="526"/>
      <c r="G17" s="526"/>
      <c r="H17" s="526"/>
      <c r="I17" s="526"/>
      <c r="J17" s="526"/>
      <c r="K17" s="526"/>
    </row>
    <row r="18" spans="1:11" ht="15" customHeight="1">
      <c r="A18" s="120"/>
      <c r="B18" s="523"/>
      <c r="C18" s="523"/>
      <c r="D18" s="120"/>
      <c r="E18" s="120"/>
      <c r="F18" s="120"/>
      <c r="G18" s="123"/>
      <c r="H18" s="523"/>
      <c r="I18" s="523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6" t="s">
        <v>275</v>
      </c>
      <c r="B33" s="489"/>
      <c r="C33" s="489"/>
      <c r="D33" s="489"/>
      <c r="E33" s="489"/>
      <c r="F33" s="526" t="s">
        <v>66</v>
      </c>
      <c r="G33" s="526"/>
      <c r="H33" s="526"/>
      <c r="I33" s="526"/>
      <c r="J33" s="526"/>
      <c r="K33" s="526"/>
    </row>
    <row r="34" spans="1:11" ht="15" customHeight="1">
      <c r="A34" s="489"/>
      <c r="B34" s="489"/>
      <c r="C34" s="489"/>
      <c r="D34" s="489"/>
      <c r="E34" s="489"/>
      <c r="F34" s="526"/>
      <c r="G34" s="526"/>
      <c r="H34" s="526"/>
      <c r="I34" s="526"/>
      <c r="J34" s="526"/>
      <c r="K34" s="526"/>
    </row>
    <row r="35" spans="1:11" ht="15" customHeight="1">
      <c r="A35" s="120"/>
      <c r="B35" s="523"/>
      <c r="C35" s="523"/>
      <c r="D35" s="120"/>
      <c r="E35" s="121"/>
      <c r="F35" s="127"/>
      <c r="G35" s="127"/>
      <c r="H35" s="524"/>
      <c r="I35" s="524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4" t="str">
        <f>"5.8 Spotřeba zemního plynu a teplota ovzduší: "&amp;LOWER(A3)</f>
        <v>5.8 Spotřeba zemního plynu a teplota ovzduší: červen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1" t="str">
        <f>'3.1'!F5</f>
        <v>Červen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4" spans="1:11" ht="24.95" customHeight="1">
      <c r="A4" s="128"/>
      <c r="B4" s="252">
        <f>'3.1'!A4</f>
        <v>2023</v>
      </c>
      <c r="C4" s="515" t="s">
        <v>60</v>
      </c>
      <c r="D4" s="516"/>
      <c r="E4" s="516"/>
      <c r="F4" s="517"/>
      <c r="G4" s="515" t="s">
        <v>186</v>
      </c>
      <c r="H4" s="516"/>
      <c r="I4" s="516"/>
      <c r="J4" s="516"/>
      <c r="K4" s="516"/>
    </row>
    <row r="5" spans="1:11" ht="22.5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486"/>
      <c r="C6" s="221" t="s">
        <v>261</v>
      </c>
      <c r="D6" s="219" t="s">
        <v>262</v>
      </c>
      <c r="E6" s="486"/>
      <c r="F6" s="520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'5.2'!D27</f>
        <v>403846</v>
      </c>
      <c r="C7" s="313">
        <f>'5.2'!E27</f>
        <v>19213.204103457079</v>
      </c>
      <c r="D7" s="129">
        <f>'5.2'!F27</f>
        <v>210968.27903787085</v>
      </c>
      <c r="E7" s="307">
        <f>C7/$C$11</f>
        <v>6.1197678710338453E-2</v>
      </c>
      <c r="F7" s="332">
        <f>'5.2'!H27</f>
        <v>-7.0433385949780977E-3</v>
      </c>
      <c r="G7" s="330">
        <v>18.913333333333334</v>
      </c>
      <c r="H7" s="324">
        <v>26</v>
      </c>
      <c r="I7" s="324">
        <v>14.7</v>
      </c>
      <c r="J7" s="324">
        <v>16.800000000000008</v>
      </c>
      <c r="K7" s="324">
        <v>2.1133333333333262</v>
      </c>
    </row>
    <row r="8" spans="1:11" ht="15.95" customHeight="1">
      <c r="A8" s="154" t="s">
        <v>87</v>
      </c>
      <c r="B8" s="129">
        <f>'5.3'!D27</f>
        <v>2237694</v>
      </c>
      <c r="C8" s="313">
        <f>'5.3'!E27</f>
        <v>233980.43252500967</v>
      </c>
      <c r="D8" s="129">
        <f>'5.3'!F27</f>
        <v>2562045.6708100005</v>
      </c>
      <c r="E8" s="307">
        <f t="shared" ref="E8:E10" si="0">C8/$C$11</f>
        <v>0.74527180667357318</v>
      </c>
      <c r="F8" s="332">
        <f>'5.3'!H27</f>
        <v>-9.7413200806361969E-2</v>
      </c>
      <c r="G8" s="330">
        <v>17.493888888888886</v>
      </c>
      <c r="H8" s="325">
        <v>24.2</v>
      </c>
      <c r="I8" s="325">
        <v>13.116666666666669</v>
      </c>
      <c r="J8" s="325">
        <v>15.800000000000008</v>
      </c>
      <c r="K8" s="324">
        <v>1.6938888888888783</v>
      </c>
    </row>
    <row r="9" spans="1:11" ht="15.95" customHeight="1">
      <c r="A9" s="154" t="s">
        <v>211</v>
      </c>
      <c r="B9" s="129">
        <f>'5.4'!D27</f>
        <v>112196</v>
      </c>
      <c r="C9" s="313">
        <f>'5.4'!E27</f>
        <v>11602.128000000001</v>
      </c>
      <c r="D9" s="129">
        <f>'5.4'!F27</f>
        <v>127210.36707000001</v>
      </c>
      <c r="E9" s="307">
        <f t="shared" si="0"/>
        <v>3.6954965859778977E-2</v>
      </c>
      <c r="F9" s="332">
        <f>'5.4'!H27</f>
        <v>-3.3060585655734224E-4</v>
      </c>
      <c r="G9" s="330">
        <v>16.973333333333329</v>
      </c>
      <c r="H9" s="325">
        <v>23.5</v>
      </c>
      <c r="I9" s="325">
        <v>13.3</v>
      </c>
      <c r="J9" s="325">
        <v>15.300000000000008</v>
      </c>
      <c r="K9" s="324">
        <v>1.6733333333333213</v>
      </c>
    </row>
    <row r="10" spans="1:11" ht="15.95" customHeight="1">
      <c r="A10" s="154" t="s">
        <v>32</v>
      </c>
      <c r="B10" s="129">
        <f>'5.5'!D27</f>
        <v>9436</v>
      </c>
      <c r="C10" s="313">
        <f>'5.5'!E27</f>
        <v>49157.386999999995</v>
      </c>
      <c r="D10" s="129">
        <f>'5.5'!F27</f>
        <v>538789.59597799997</v>
      </c>
      <c r="E10" s="307">
        <f t="shared" si="0"/>
        <v>0.15657554875630941</v>
      </c>
      <c r="F10" s="332">
        <f>'5.5'!H27</f>
        <v>6.4799184282345573E-2</v>
      </c>
      <c r="G10" s="330">
        <v>17.459999999999994</v>
      </c>
      <c r="H10" s="325">
        <v>24</v>
      </c>
      <c r="I10" s="325">
        <v>13.2</v>
      </c>
      <c r="J10" s="325">
        <v>16.59</v>
      </c>
      <c r="K10" s="324">
        <v>0.86999999999999389</v>
      </c>
    </row>
    <row r="11" spans="1:11" ht="15.95" customHeight="1">
      <c r="A11" s="159" t="s">
        <v>3</v>
      </c>
      <c r="B11" s="310">
        <f>SUM(B7:B10)</f>
        <v>2763172</v>
      </c>
      <c r="C11" s="314">
        <f t="shared" ref="C11:E11" si="1">SUM(C7:C10)</f>
        <v>313953.15162846673</v>
      </c>
      <c r="D11" s="310">
        <f t="shared" si="1"/>
        <v>3439013.9128958713</v>
      </c>
      <c r="E11" s="311">
        <f t="shared" si="1"/>
        <v>1</v>
      </c>
      <c r="F11" s="333">
        <f>'5.1'!H28</f>
        <v>-6.6600398061501156E-2</v>
      </c>
      <c r="G11" s="331">
        <v>17.459999999999994</v>
      </c>
      <c r="H11" s="329">
        <v>24</v>
      </c>
      <c r="I11" s="329">
        <v>13.2</v>
      </c>
      <c r="J11" s="329">
        <v>16.59</v>
      </c>
      <c r="K11" s="328">
        <v>0.86999999999999389</v>
      </c>
    </row>
    <row r="12" spans="1:11" ht="15" customHeight="1">
      <c r="A12" s="101"/>
      <c r="B12" s="94"/>
      <c r="C12" s="522" t="s">
        <v>241</v>
      </c>
      <c r="D12" s="522"/>
      <c r="E12" s="522"/>
      <c r="F12" s="522"/>
      <c r="G12" s="525" t="s">
        <v>242</v>
      </c>
      <c r="H12" s="525"/>
      <c r="I12" s="525"/>
      <c r="J12" s="525"/>
      <c r="K12" s="525"/>
    </row>
    <row r="13" spans="1:11" ht="15" customHeight="1">
      <c r="A13" s="94"/>
      <c r="B13" s="94"/>
      <c r="C13" s="522"/>
      <c r="D13" s="522"/>
      <c r="E13" s="522"/>
      <c r="F13" s="522"/>
      <c r="G13" s="525" t="s">
        <v>243</v>
      </c>
      <c r="H13" s="525"/>
      <c r="I13" s="525"/>
      <c r="J13" s="525"/>
      <c r="K13" s="525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6" t="s">
        <v>273</v>
      </c>
      <c r="B16" s="526"/>
      <c r="C16" s="526"/>
      <c r="D16" s="526"/>
      <c r="E16" s="526"/>
      <c r="F16" s="526" t="s">
        <v>274</v>
      </c>
      <c r="G16" s="526"/>
      <c r="H16" s="526"/>
      <c r="I16" s="526"/>
      <c r="J16" s="526"/>
      <c r="K16" s="526"/>
    </row>
    <row r="17" spans="1:11" ht="15" customHeight="1">
      <c r="A17" s="526"/>
      <c r="B17" s="526"/>
      <c r="C17" s="526"/>
      <c r="D17" s="526"/>
      <c r="E17" s="526"/>
      <c r="F17" s="526"/>
      <c r="G17" s="526"/>
      <c r="H17" s="526"/>
      <c r="I17" s="526"/>
      <c r="J17" s="526"/>
      <c r="K17" s="526"/>
    </row>
    <row r="18" spans="1:11" ht="15" customHeight="1">
      <c r="A18" s="120"/>
      <c r="B18" s="523"/>
      <c r="C18" s="523"/>
      <c r="D18" s="120"/>
      <c r="E18" s="120"/>
      <c r="F18" s="120"/>
      <c r="G18" s="120"/>
      <c r="H18" s="523"/>
      <c r="I18" s="523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6" t="s">
        <v>275</v>
      </c>
      <c r="B33" s="489"/>
      <c r="C33" s="489"/>
      <c r="D33" s="489"/>
      <c r="E33" s="489"/>
      <c r="F33" s="526" t="s">
        <v>66</v>
      </c>
      <c r="G33" s="526"/>
      <c r="H33" s="526"/>
      <c r="I33" s="526"/>
      <c r="J33" s="526"/>
      <c r="K33" s="526"/>
    </row>
    <row r="34" spans="1:11" ht="15" customHeight="1">
      <c r="A34" s="489"/>
      <c r="B34" s="489"/>
      <c r="C34" s="489"/>
      <c r="D34" s="489"/>
      <c r="E34" s="489"/>
      <c r="F34" s="526"/>
      <c r="G34" s="526"/>
      <c r="H34" s="526"/>
      <c r="I34" s="526"/>
      <c r="J34" s="526"/>
      <c r="K34" s="526"/>
    </row>
    <row r="35" spans="1:11" ht="15" customHeight="1">
      <c r="A35" s="120"/>
      <c r="B35" s="523"/>
      <c r="C35" s="523"/>
      <c r="D35" s="120"/>
      <c r="E35" s="121"/>
      <c r="F35" s="127"/>
      <c r="G35" s="127"/>
      <c r="H35" s="524"/>
      <c r="I35" s="524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14" t="str">
        <f>"5.9 Spotřeba zemního plynu a teplota ovzduší: "&amp;(A3)</f>
        <v>5.9 Spotřeba zemního plynu a teplota ovzduší: II. čtvrtletí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1" t="str">
        <f>'3.1'!G5</f>
        <v>II. čtvrtletí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4" spans="1:11" ht="24.95" customHeight="1">
      <c r="A4" s="128"/>
      <c r="B4" s="252">
        <f>'3.1'!A4</f>
        <v>2023</v>
      </c>
      <c r="C4" s="515" t="s">
        <v>60</v>
      </c>
      <c r="D4" s="516"/>
      <c r="E4" s="516"/>
      <c r="F4" s="517"/>
      <c r="G4" s="515" t="s">
        <v>186</v>
      </c>
      <c r="H4" s="516"/>
      <c r="I4" s="516"/>
      <c r="J4" s="516"/>
      <c r="K4" s="516"/>
    </row>
    <row r="5" spans="1:11" ht="22.5" customHeight="1">
      <c r="A5" s="272"/>
      <c r="B5" s="519" t="s">
        <v>185</v>
      </c>
      <c r="C5" s="345"/>
      <c r="D5" s="346"/>
      <c r="E5" s="529" t="s">
        <v>279</v>
      </c>
      <c r="F5" s="530" t="s">
        <v>282</v>
      </c>
      <c r="G5" s="347" t="s">
        <v>62</v>
      </c>
      <c r="H5" s="348" t="s">
        <v>173</v>
      </c>
      <c r="I5" s="348" t="s">
        <v>174</v>
      </c>
      <c r="J5" s="348" t="s">
        <v>280</v>
      </c>
      <c r="K5" s="348" t="s">
        <v>281</v>
      </c>
    </row>
    <row r="6" spans="1:11" ht="24.95" customHeight="1">
      <c r="A6" s="349" t="s">
        <v>283</v>
      </c>
      <c r="B6" s="520"/>
      <c r="C6" s="221" t="s">
        <v>261</v>
      </c>
      <c r="D6" s="219" t="s">
        <v>262</v>
      </c>
      <c r="E6" s="486"/>
      <c r="F6" s="520"/>
      <c r="G6" s="350" t="s">
        <v>230</v>
      </c>
      <c r="H6" s="351" t="s">
        <v>230</v>
      </c>
      <c r="I6" s="351" t="s">
        <v>230</v>
      </c>
      <c r="J6" s="351" t="s">
        <v>230</v>
      </c>
      <c r="K6" s="351" t="s">
        <v>230</v>
      </c>
    </row>
    <row r="7" spans="1:11" ht="15.95" customHeight="1">
      <c r="A7" s="154" t="s">
        <v>20</v>
      </c>
      <c r="B7" s="129">
        <f>'5.2'!D34</f>
        <v>403846</v>
      </c>
      <c r="C7" s="313">
        <f>'5.2'!E34</f>
        <v>117735.97551584727</v>
      </c>
      <c r="D7" s="129">
        <f>'5.2'!F34</f>
        <v>1289707.4608547478</v>
      </c>
      <c r="E7" s="307">
        <f>C7/$C$11</f>
        <v>9.131951624967842E-2</v>
      </c>
      <c r="F7" s="332">
        <f>'5.2'!H34</f>
        <v>-3.1156249121318504E-2</v>
      </c>
      <c r="G7" s="330">
        <f>AVERAGE('5.6'!G7,'5.7'!G7,'5.8'!G7)</f>
        <v>13.810609318996418</v>
      </c>
      <c r="H7" s="324">
        <f>MAX('5.6'!H7,'5.7'!H7,'5.8'!H7)</f>
        <v>26</v>
      </c>
      <c r="I7" s="324">
        <f>MIN('5.6'!I7,'5.7'!I7,'5.8'!I7)</f>
        <v>1.6</v>
      </c>
      <c r="J7" s="324">
        <f>AVERAGE('5.6'!J7,'5.7'!J7,'5.8'!J7)</f>
        <v>13.166666666666666</v>
      </c>
      <c r="K7" s="324">
        <f>G7-J7</f>
        <v>0.64394265232975201</v>
      </c>
    </row>
    <row r="8" spans="1:11" ht="15.95" customHeight="1">
      <c r="A8" s="154" t="s">
        <v>87</v>
      </c>
      <c r="B8" s="129">
        <f>'5.3'!D34</f>
        <v>2237694</v>
      </c>
      <c r="C8" s="313">
        <f>'5.3'!E34</f>
        <v>1045693.1061009595</v>
      </c>
      <c r="D8" s="129">
        <f>'5.3'!F34</f>
        <v>11426943.856699999</v>
      </c>
      <c r="E8" s="307">
        <f t="shared" ref="E8:E10" si="0">C8/$C$11</f>
        <v>0.8110706024762161</v>
      </c>
      <c r="F8" s="332">
        <f>'5.3'!H34</f>
        <v>-7.9622999135822867E-2</v>
      </c>
      <c r="G8" s="330">
        <f>AVERAGE('5.6'!G8,'5.7'!G8,'5.8'!G8)</f>
        <v>12.349307048984466</v>
      </c>
      <c r="H8" s="325">
        <f>MAX('5.6'!H8,'5.7'!H8,'5.8'!H8)</f>
        <v>24.2</v>
      </c>
      <c r="I8" s="325">
        <f>MIN('5.6'!I8,'5.7'!I8,'5.8'!I8)</f>
        <v>-0.46666666666666673</v>
      </c>
      <c r="J8" s="325">
        <f>AVERAGE('5.6'!J8,'5.7'!J8,'5.8'!J8)</f>
        <v>12.144444444444446</v>
      </c>
      <c r="K8" s="324">
        <f t="shared" ref="K8:K11" si="1">G8-J8</f>
        <v>0.20486260454002014</v>
      </c>
    </row>
    <row r="9" spans="1:11" ht="15.95" customHeight="1">
      <c r="A9" s="154" t="s">
        <v>211</v>
      </c>
      <c r="B9" s="129">
        <f>'5.4'!D34</f>
        <v>112196</v>
      </c>
      <c r="C9" s="313">
        <f>'5.4'!E34</f>
        <v>52234.283000000003</v>
      </c>
      <c r="D9" s="129">
        <f>'5.4'!F34</f>
        <v>570523.04403999995</v>
      </c>
      <c r="E9" s="307">
        <f t="shared" si="0"/>
        <v>4.051445986929253E-2</v>
      </c>
      <c r="F9" s="332">
        <f>'5.4'!H34</f>
        <v>-4.6384488073529288E-2</v>
      </c>
      <c r="G9" s="330">
        <f>AVERAGE('5.6'!G9,'5.7'!G9,'5.8'!G9)</f>
        <v>11.830215053763439</v>
      </c>
      <c r="H9" s="325">
        <f>MAX('5.6'!H9,'5.7'!H9,'5.8'!H9)</f>
        <v>23.5</v>
      </c>
      <c r="I9" s="325">
        <f>MIN('5.6'!I9,'5.7'!I9,'5.8'!I9)</f>
        <v>-0.7</v>
      </c>
      <c r="J9" s="325">
        <f>AVERAGE('5.6'!J9,'5.7'!J9,'5.8'!J9)</f>
        <v>11.566666666666668</v>
      </c>
      <c r="K9" s="324">
        <f t="shared" si="1"/>
        <v>0.26354838709677075</v>
      </c>
    </row>
    <row r="10" spans="1:11" ht="15.95" customHeight="1">
      <c r="A10" s="154" t="s">
        <v>32</v>
      </c>
      <c r="B10" s="129">
        <f>'5.5'!D34</f>
        <v>9436</v>
      </c>
      <c r="C10" s="313">
        <f>'5.5'!E34</f>
        <v>73611.703309999997</v>
      </c>
      <c r="D10" s="129">
        <f>'5.5'!F34</f>
        <v>805727.14410200005</v>
      </c>
      <c r="E10" s="307">
        <f t="shared" si="0"/>
        <v>5.7095421404813052E-2</v>
      </c>
      <c r="F10" s="332">
        <f>'5.5'!H34</f>
        <v>-0.12531907968606676</v>
      </c>
      <c r="G10" s="330">
        <f>AVERAGE('5.6'!G10,'5.7'!G10,'5.8'!G10)</f>
        <v>12.317634408602148</v>
      </c>
      <c r="H10" s="325">
        <f>MAX('5.6'!H10,'5.7'!H10,'5.8'!H10)</f>
        <v>24</v>
      </c>
      <c r="I10" s="325">
        <f>MIN('5.6'!I10,'5.7'!I10,'5.8'!I10)</f>
        <v>-0.4</v>
      </c>
      <c r="J10" s="325">
        <f>AVERAGE('5.6'!J10,'5.7'!J10,'5.8'!J10)</f>
        <v>12.916415770609319</v>
      </c>
      <c r="K10" s="324">
        <f t="shared" si="1"/>
        <v>-0.59878136200717158</v>
      </c>
    </row>
    <row r="11" spans="1:11" ht="15.95" customHeight="1">
      <c r="A11" s="159" t="s">
        <v>3</v>
      </c>
      <c r="B11" s="310">
        <f>'5.1'!D35</f>
        <v>2763172</v>
      </c>
      <c r="C11" s="314">
        <f>'5.1'!E35</f>
        <v>1289275.0679268066</v>
      </c>
      <c r="D11" s="310">
        <f>'5.1'!F35</f>
        <v>14092901.505696749</v>
      </c>
      <c r="E11" s="311">
        <f t="shared" ref="E11" si="2">SUM(E7:E10)</f>
        <v>1</v>
      </c>
      <c r="F11" s="333">
        <f>'5.1'!H35</f>
        <v>-7.685579267684689E-2</v>
      </c>
      <c r="G11" s="331">
        <f>AVERAGE('5.6'!G11,'5.7'!G11,'5.8'!G11)</f>
        <v>12.317634408602148</v>
      </c>
      <c r="H11" s="329">
        <f>MAX('5.6'!H11,'5.7'!H11,'5.8'!H11)</f>
        <v>24</v>
      </c>
      <c r="I11" s="329">
        <f>MIN('5.6'!I11,'5.7'!I11,'5.8'!I11)</f>
        <v>-0.4</v>
      </c>
      <c r="J11" s="329">
        <f>AVERAGE('5.6'!J11,'5.7'!J11,'5.8'!J11)</f>
        <v>12.916415770609319</v>
      </c>
      <c r="K11" s="328">
        <f t="shared" si="1"/>
        <v>-0.59878136200717158</v>
      </c>
    </row>
    <row r="12" spans="1:11" ht="15" customHeight="1">
      <c r="A12" s="101"/>
      <c r="B12" s="94"/>
      <c r="C12" s="522" t="s">
        <v>241</v>
      </c>
      <c r="D12" s="522"/>
      <c r="E12" s="522"/>
      <c r="F12" s="522"/>
      <c r="G12" s="525" t="s">
        <v>242</v>
      </c>
      <c r="H12" s="525"/>
      <c r="I12" s="525"/>
      <c r="J12" s="525"/>
      <c r="K12" s="525"/>
    </row>
    <row r="13" spans="1:11" ht="15" customHeight="1">
      <c r="A13" s="94"/>
      <c r="B13" s="94"/>
      <c r="C13" s="522"/>
      <c r="D13" s="522"/>
      <c r="E13" s="522"/>
      <c r="F13" s="522"/>
      <c r="G13" s="525" t="s">
        <v>243</v>
      </c>
      <c r="H13" s="525"/>
      <c r="I13" s="525"/>
      <c r="J13" s="525"/>
      <c r="K13" s="525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6" t="s">
        <v>273</v>
      </c>
      <c r="B16" s="526"/>
      <c r="C16" s="526"/>
      <c r="D16" s="526"/>
      <c r="E16" s="526"/>
      <c r="F16" s="526" t="s">
        <v>274</v>
      </c>
      <c r="G16" s="526"/>
      <c r="H16" s="526"/>
      <c r="I16" s="526"/>
      <c r="J16" s="526"/>
      <c r="K16" s="526"/>
    </row>
    <row r="17" spans="1:11" ht="15" customHeight="1">
      <c r="A17" s="526"/>
      <c r="B17" s="526"/>
      <c r="C17" s="526"/>
      <c r="D17" s="526"/>
      <c r="E17" s="526"/>
      <c r="F17" s="526"/>
      <c r="G17" s="526"/>
      <c r="H17" s="526"/>
      <c r="I17" s="526"/>
      <c r="J17" s="526"/>
      <c r="K17" s="526"/>
    </row>
    <row r="18" spans="1:11" ht="15" customHeight="1">
      <c r="A18" s="120"/>
      <c r="B18" s="528"/>
      <c r="C18" s="528"/>
      <c r="D18" s="120"/>
      <c r="E18" s="120"/>
      <c r="F18" s="120"/>
      <c r="G18" s="120"/>
      <c r="H18" s="528"/>
      <c r="I18" s="528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6" t="s">
        <v>275</v>
      </c>
      <c r="B33" s="489"/>
      <c r="C33" s="489"/>
      <c r="D33" s="489"/>
      <c r="E33" s="489"/>
      <c r="F33" s="526" t="s">
        <v>66</v>
      </c>
      <c r="G33" s="526"/>
      <c r="H33" s="526"/>
      <c r="I33" s="526"/>
      <c r="J33" s="526"/>
      <c r="K33" s="526"/>
    </row>
    <row r="34" spans="1:11" ht="15" customHeight="1">
      <c r="A34" s="489"/>
      <c r="B34" s="489"/>
      <c r="C34" s="489"/>
      <c r="D34" s="489"/>
      <c r="E34" s="489"/>
      <c r="F34" s="526"/>
      <c r="G34" s="526"/>
      <c r="H34" s="526"/>
      <c r="I34" s="526"/>
      <c r="J34" s="526"/>
      <c r="K34" s="526"/>
    </row>
    <row r="35" spans="1:11" ht="15" customHeight="1">
      <c r="A35" s="120"/>
      <c r="B35" s="528"/>
      <c r="C35" s="528"/>
      <c r="D35" s="120"/>
      <c r="E35" s="121"/>
      <c r="F35" s="127"/>
      <c r="G35" s="127"/>
      <c r="H35" s="527"/>
      <c r="I35" s="527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245</v>
      </c>
    </row>
    <row r="2" spans="1:5" ht="6" customHeight="1"/>
    <row r="3" spans="1:5" ht="15">
      <c r="A3" s="371" t="str">
        <f>MID(E3,1,1+IF(MID(E3,2,1)&lt;&gt;" ",IF(MID(E3,3,1)&lt;&gt;" ",IF(MID(E3,4,1)&lt;&gt;" ",3,2),1),0))</f>
        <v>1</v>
      </c>
      <c r="B3" s="372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71" t="str">
        <f t="shared" ref="A4:A36" si="0">MID(E4,1,1+IF(MID(E4,2,1)&lt;&gt;" ",IF(MID(E4,3,1)&lt;&gt;" ",IF(MID(E4,4,1)&lt;&gt;" ",3,2),1),0))</f>
        <v>2</v>
      </c>
      <c r="B4" s="372" t="str">
        <f t="shared" ref="B4:B36" si="1">MID(E4,3+IF(MID(E4,2,1)&lt;&gt;" ",IF(MID(E4,3,1)&lt;&gt;" ",IF(MID(E4,4,1)&lt;&gt;" ",3,2),1),0),100)</f>
        <v>STRUČNÝ PŘEHLED ZA II. ČTVRTLETÍ 2023</v>
      </c>
      <c r="C4" s="48">
        <v>6</v>
      </c>
      <c r="E4" s="49" t="str">
        <f>'2'!A1</f>
        <v>2 STRUČNÝ PŘEHLED ZA II. ČTVRTLETÍ 2023</v>
      </c>
    </row>
    <row r="5" spans="1:5" ht="15">
      <c r="A5" s="371" t="str">
        <f t="shared" si="0"/>
        <v>3</v>
      </c>
      <c r="B5" s="372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71" t="str">
        <f t="shared" si="0"/>
        <v>3.1</v>
      </c>
      <c r="B6" s="372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71" t="str">
        <f t="shared" si="0"/>
        <v>3.2</v>
      </c>
      <c r="B7" s="372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71" t="str">
        <f t="shared" si="0"/>
        <v>4</v>
      </c>
      <c r="B8" s="372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71" t="str">
        <f t="shared" si="0"/>
        <v>4.1</v>
      </c>
      <c r="B9" s="372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71" t="str">
        <f t="shared" si="0"/>
        <v>4.2</v>
      </c>
      <c r="B10" s="372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71" t="str">
        <f t="shared" si="0"/>
        <v>4.3</v>
      </c>
      <c r="B11" s="372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71" t="str">
        <f t="shared" si="0"/>
        <v>5</v>
      </c>
      <c r="B12" s="372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71" t="str">
        <f t="shared" si="0"/>
        <v>5.1</v>
      </c>
      <c r="B13" s="372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71" t="str">
        <f t="shared" si="0"/>
        <v>5.2</v>
      </c>
      <c r="B14" s="372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71" t="str">
        <f t="shared" si="0"/>
        <v>5.3</v>
      </c>
      <c r="B15" s="372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71" t="str">
        <f t="shared" si="0"/>
        <v>5.4</v>
      </c>
      <c r="B16" s="372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71" t="str">
        <f t="shared" si="0"/>
        <v>5.5</v>
      </c>
      <c r="B17" s="372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71" t="str">
        <f t="shared" si="0"/>
        <v>5.6</v>
      </c>
      <c r="B18" s="372" t="str">
        <f t="shared" si="1"/>
        <v>Spotřeba zemního plynu a teplota ovzduší: duben</v>
      </c>
      <c r="C18" s="48">
        <v>17</v>
      </c>
      <c r="E18" s="50" t="str">
        <f>'5.6'!A1</f>
        <v>5.6 Spotřeba zemního plynu a teplota ovzduší: duben</v>
      </c>
    </row>
    <row r="19" spans="1:5" ht="15">
      <c r="A19" s="371" t="str">
        <f t="shared" si="0"/>
        <v>5.7</v>
      </c>
      <c r="B19" s="372" t="str">
        <f t="shared" si="1"/>
        <v>Spotřeba zemního plynu a teplota ovzduší: květen</v>
      </c>
      <c r="C19" s="48">
        <v>18</v>
      </c>
      <c r="E19" s="50" t="str">
        <f>'5.7'!A1</f>
        <v>5.7 Spotřeba zemního plynu a teplota ovzduší: květen</v>
      </c>
    </row>
    <row r="20" spans="1:5" ht="15">
      <c r="A20" s="371" t="str">
        <f t="shared" si="0"/>
        <v>5.8</v>
      </c>
      <c r="B20" s="372" t="str">
        <f t="shared" si="1"/>
        <v>Spotřeba zemního plynu a teplota ovzduší: červen</v>
      </c>
      <c r="C20" s="48">
        <v>19</v>
      </c>
      <c r="E20" s="50" t="str">
        <f>'5.8'!A1</f>
        <v>5.8 Spotřeba zemního plynu a teplota ovzduší: červen</v>
      </c>
    </row>
    <row r="21" spans="1:5" ht="15">
      <c r="A21" s="371" t="str">
        <f t="shared" si="0"/>
        <v>5.9</v>
      </c>
      <c r="B21" s="372" t="str">
        <f t="shared" si="1"/>
        <v>Spotřeba zemního plynu a teplota ovzduší: II. čtvrtletí</v>
      </c>
      <c r="C21" s="48">
        <v>20</v>
      </c>
      <c r="E21" s="50" t="str">
        <f>'5.9'!A1</f>
        <v>5.9 Spotřeba zemního plynu a teplota ovzduší: II. čtvrtletí</v>
      </c>
    </row>
    <row r="22" spans="1:5" ht="15">
      <c r="A22" s="371" t="str">
        <f t="shared" si="0"/>
        <v>5.10</v>
      </c>
      <c r="B22" s="372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71" t="str">
        <f t="shared" si="0"/>
        <v>6</v>
      </c>
      <c r="B23" s="372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71" t="str">
        <f t="shared" si="0"/>
        <v>6.1</v>
      </c>
      <c r="B24" s="372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71" t="str">
        <f t="shared" si="0"/>
        <v>6.2</v>
      </c>
      <c r="B25" s="372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71" t="str">
        <f t="shared" si="0"/>
        <v>6.3</v>
      </c>
      <c r="B26" s="372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71" t="str">
        <f t="shared" si="0"/>
        <v>6.4</v>
      </c>
      <c r="B27" s="372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71" t="str">
        <f t="shared" si="0"/>
        <v>6.5</v>
      </c>
      <c r="B28" s="372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71" t="str">
        <f t="shared" si="0"/>
        <v>6.6</v>
      </c>
      <c r="B29" s="372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71" t="str">
        <f t="shared" si="0"/>
        <v>6.7</v>
      </c>
      <c r="B30" s="372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71" t="str">
        <f t="shared" si="0"/>
        <v>6.8</v>
      </c>
      <c r="B31" s="372" t="str">
        <f t="shared" si="1"/>
        <v>Spotřeba zemního plynu a teplota ovzduší podle krajů: duben</v>
      </c>
      <c r="C31" s="48">
        <v>29</v>
      </c>
      <c r="E31" s="50" t="str">
        <f>'6.8'!A1</f>
        <v>6.8 Spotřeba zemního plynu a teplota ovzduší podle krajů: duben</v>
      </c>
    </row>
    <row r="32" spans="1:5" ht="15">
      <c r="A32" s="371" t="str">
        <f t="shared" si="0"/>
        <v>6.9</v>
      </c>
      <c r="B32" s="372" t="str">
        <f t="shared" si="1"/>
        <v>Spotřeba zemního plynu a teplota ovzduší podle krajů: květen</v>
      </c>
      <c r="C32" s="48">
        <v>30</v>
      </c>
      <c r="E32" s="50" t="str">
        <f>'6.9'!A1</f>
        <v>6.9 Spotřeba zemního plynu a teplota ovzduší podle krajů: květen</v>
      </c>
    </row>
    <row r="33" spans="1:5" ht="15">
      <c r="A33" s="371" t="str">
        <f t="shared" si="0"/>
        <v>6.10</v>
      </c>
      <c r="B33" s="372" t="str">
        <f t="shared" si="1"/>
        <v>Spotřeba zemního plynu a teplota ovzduší podle krajů: červen</v>
      </c>
      <c r="C33" s="48">
        <v>31</v>
      </c>
      <c r="E33" s="50" t="str">
        <f>'6.10'!A1</f>
        <v>6.10 Spotřeba zemního plynu a teplota ovzduší podle krajů: červen</v>
      </c>
    </row>
    <row r="34" spans="1:5" ht="15">
      <c r="A34" s="371" t="str">
        <f t="shared" si="0"/>
        <v>6.11</v>
      </c>
      <c r="B34" s="372" t="str">
        <f t="shared" si="1"/>
        <v>Spotřeba zemního plynu a teplota ovzduší podle krajů: II. čtvrtletí</v>
      </c>
      <c r="C34" s="48">
        <v>32</v>
      </c>
      <c r="E34" s="50" t="str">
        <f>'6.11'!A1</f>
        <v>6.11 Spotřeba zemního plynu a teplota ovzduší podle krajů: II. čtvrtletí</v>
      </c>
    </row>
    <row r="35" spans="1:5" ht="15">
      <c r="A35" s="371" t="str">
        <f t="shared" si="0"/>
        <v>6.12</v>
      </c>
      <c r="B35" s="372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71" t="str">
        <f t="shared" si="0"/>
        <v>7</v>
      </c>
      <c r="B36" s="372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60" t="s">
        <v>302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5" ht="6" customHeight="1">
      <c r="A2" s="532"/>
      <c r="B2" s="533"/>
      <c r="C2" s="533"/>
      <c r="D2" s="533"/>
      <c r="E2" s="533"/>
      <c r="F2" s="533"/>
      <c r="G2" s="533"/>
      <c r="H2" s="533"/>
      <c r="I2" s="533"/>
      <c r="J2" s="208"/>
      <c r="K2" s="207"/>
    </row>
    <row r="3" spans="1:15" ht="20.100000000000001" customHeight="1">
      <c r="A3" s="336">
        <f>'3.1'!A4</f>
        <v>2023</v>
      </c>
      <c r="B3" s="466" t="s">
        <v>276</v>
      </c>
      <c r="C3" s="469"/>
      <c r="D3" s="469"/>
      <c r="E3" s="469"/>
      <c r="F3" s="468"/>
      <c r="G3" s="466" t="s">
        <v>277</v>
      </c>
      <c r="H3" s="469"/>
      <c r="I3" s="469"/>
      <c r="J3" s="469"/>
      <c r="K3" s="469"/>
    </row>
    <row r="4" spans="1:15" ht="67.5" customHeight="1">
      <c r="A4" s="337"/>
      <c r="B4" s="338" t="s">
        <v>83</v>
      </c>
      <c r="C4" s="234" t="s">
        <v>89</v>
      </c>
      <c r="D4" s="234" t="s">
        <v>212</v>
      </c>
      <c r="E4" s="234" t="s">
        <v>84</v>
      </c>
      <c r="F4" s="339" t="s">
        <v>82</v>
      </c>
      <c r="G4" s="338" t="s">
        <v>83</v>
      </c>
      <c r="H4" s="234" t="s">
        <v>89</v>
      </c>
      <c r="I4" s="234" t="s">
        <v>212</v>
      </c>
      <c r="J4" s="234" t="s">
        <v>84</v>
      </c>
      <c r="K4" s="234" t="s">
        <v>82</v>
      </c>
    </row>
    <row r="5" spans="1:15" ht="18" customHeight="1">
      <c r="A5" s="176" t="s">
        <v>160</v>
      </c>
      <c r="B5" s="240">
        <v>104879.74624464105</v>
      </c>
      <c r="C5" s="235">
        <v>724955.80042494205</v>
      </c>
      <c r="D5" s="236">
        <v>36370.573989999997</v>
      </c>
      <c r="E5" s="236">
        <v>25573.489890000004</v>
      </c>
      <c r="F5" s="242">
        <v>891779.61054958298</v>
      </c>
      <c r="G5" s="334">
        <v>1143475.27685</v>
      </c>
      <c r="H5" s="236">
        <v>7893525.4439799991</v>
      </c>
      <c r="I5" s="236">
        <v>397789.60784000007</v>
      </c>
      <c r="J5" s="236">
        <v>279772.96688000002</v>
      </c>
      <c r="K5" s="236">
        <v>9714563.2955499981</v>
      </c>
      <c r="L5" s="56"/>
      <c r="M5" s="57"/>
      <c r="N5" s="57"/>
      <c r="O5" s="57"/>
    </row>
    <row r="6" spans="1:15" ht="18" customHeight="1">
      <c r="A6" s="176" t="s">
        <v>161</v>
      </c>
      <c r="B6" s="240">
        <v>99145.560802454216</v>
      </c>
      <c r="C6" s="236">
        <v>690480.12805244885</v>
      </c>
      <c r="D6" s="236">
        <v>34474.625010000003</v>
      </c>
      <c r="E6" s="236">
        <v>36666.994709999999</v>
      </c>
      <c r="F6" s="242">
        <v>860767.30857490306</v>
      </c>
      <c r="G6" s="334">
        <v>1080096.3679399998</v>
      </c>
      <c r="H6" s="236">
        <v>7485132.0798500003</v>
      </c>
      <c r="I6" s="236">
        <v>374146.90541000001</v>
      </c>
      <c r="J6" s="236">
        <v>402013.99779599992</v>
      </c>
      <c r="K6" s="236">
        <v>9341389.3509959988</v>
      </c>
      <c r="L6" s="58"/>
      <c r="M6" s="57"/>
      <c r="N6" s="57"/>
      <c r="O6" s="57"/>
    </row>
    <row r="7" spans="1:15" ht="18" customHeight="1">
      <c r="A7" s="179" t="s">
        <v>162</v>
      </c>
      <c r="B7" s="241">
        <v>85945.845000000001</v>
      </c>
      <c r="C7" s="239">
        <v>621172.57123024494</v>
      </c>
      <c r="D7" s="239">
        <v>30476.012999999999</v>
      </c>
      <c r="E7" s="239">
        <v>31673.611960000009</v>
      </c>
      <c r="F7" s="243">
        <v>769268.04119024496</v>
      </c>
      <c r="G7" s="335">
        <v>934027.24559895427</v>
      </c>
      <c r="H7" s="239">
        <v>6727420.7430999996</v>
      </c>
      <c r="I7" s="239">
        <v>333084.73147</v>
      </c>
      <c r="J7" s="239">
        <v>345486.69451300008</v>
      </c>
      <c r="K7" s="239">
        <v>8340019.4146819543</v>
      </c>
      <c r="L7" s="59"/>
      <c r="M7" s="57"/>
      <c r="N7" s="57"/>
      <c r="O7" s="57"/>
    </row>
    <row r="8" spans="1:15" ht="18" customHeight="1">
      <c r="A8" s="176" t="s">
        <v>163</v>
      </c>
      <c r="B8" s="240">
        <v>66498.69310795347</v>
      </c>
      <c r="C8" s="236">
        <v>499583.09052440379</v>
      </c>
      <c r="D8" s="236">
        <v>25391.822</v>
      </c>
      <c r="E8" s="236">
        <v>14994.30229</v>
      </c>
      <c r="F8" s="242">
        <v>606467.90792235732</v>
      </c>
      <c r="G8" s="334">
        <v>727192.46755095967</v>
      </c>
      <c r="H8" s="236">
        <v>5447945.7453199988</v>
      </c>
      <c r="I8" s="236">
        <v>276827.32332999998</v>
      </c>
      <c r="J8" s="236">
        <v>163550.26823699998</v>
      </c>
      <c r="K8" s="236">
        <v>6615515.8044379586</v>
      </c>
      <c r="L8" s="58"/>
      <c r="M8" s="57"/>
      <c r="N8" s="57"/>
      <c r="O8" s="57"/>
    </row>
    <row r="9" spans="1:15" ht="18" customHeight="1">
      <c r="A9" s="176" t="s">
        <v>164</v>
      </c>
      <c r="B9" s="240">
        <v>32024.078304436709</v>
      </c>
      <c r="C9" s="236">
        <v>312129.58305154613</v>
      </c>
      <c r="D9" s="236">
        <v>15240.333000000001</v>
      </c>
      <c r="E9" s="236">
        <v>9460.0140199999987</v>
      </c>
      <c r="F9" s="242">
        <v>368854.00837598281</v>
      </c>
      <c r="G9" s="334">
        <v>351546.71426591743</v>
      </c>
      <c r="H9" s="236">
        <v>3416952.4405700001</v>
      </c>
      <c r="I9" s="236">
        <v>166485.35364000002</v>
      </c>
      <c r="J9" s="236">
        <v>103387.27988700004</v>
      </c>
      <c r="K9" s="236">
        <v>4038371.7883629175</v>
      </c>
      <c r="L9" s="58"/>
      <c r="M9" s="57"/>
      <c r="N9" s="57"/>
      <c r="O9" s="57"/>
    </row>
    <row r="10" spans="1:15" ht="18" customHeight="1">
      <c r="A10" s="179" t="s">
        <v>165</v>
      </c>
      <c r="B10" s="241">
        <v>19213.204103457079</v>
      </c>
      <c r="C10" s="239">
        <v>233980.43252500967</v>
      </c>
      <c r="D10" s="239">
        <v>11602.128000000001</v>
      </c>
      <c r="E10" s="239">
        <v>49157.386999999995</v>
      </c>
      <c r="F10" s="243">
        <v>313953.15162846673</v>
      </c>
      <c r="G10" s="335">
        <v>210968.27903787085</v>
      </c>
      <c r="H10" s="239">
        <v>2562045.6708100005</v>
      </c>
      <c r="I10" s="239">
        <v>127210.36707000001</v>
      </c>
      <c r="J10" s="239">
        <v>538789.59597799997</v>
      </c>
      <c r="K10" s="239">
        <v>3439013.9128958713</v>
      </c>
      <c r="L10" s="58"/>
      <c r="M10" s="57"/>
      <c r="N10" s="57"/>
      <c r="O10" s="57"/>
    </row>
    <row r="11" spans="1:15" ht="18" customHeight="1">
      <c r="A11" s="176" t="s">
        <v>166</v>
      </c>
      <c r="B11" s="240"/>
      <c r="C11" s="236"/>
      <c r="D11" s="236"/>
      <c r="E11" s="236"/>
      <c r="F11" s="242"/>
      <c r="G11" s="334"/>
      <c r="H11" s="236"/>
      <c r="I11" s="236"/>
      <c r="J11" s="236"/>
      <c r="K11" s="236"/>
      <c r="L11" s="58"/>
      <c r="M11" s="57"/>
      <c r="N11" s="57"/>
      <c r="O11" s="57"/>
    </row>
    <row r="12" spans="1:15" ht="18" customHeight="1">
      <c r="A12" s="176" t="s">
        <v>167</v>
      </c>
      <c r="B12" s="240"/>
      <c r="C12" s="236"/>
      <c r="D12" s="236"/>
      <c r="E12" s="236"/>
      <c r="F12" s="242"/>
      <c r="G12" s="334"/>
      <c r="H12" s="236"/>
      <c r="I12" s="236"/>
      <c r="J12" s="236"/>
      <c r="K12" s="236"/>
      <c r="L12" s="58"/>
      <c r="M12" s="57"/>
      <c r="N12" s="57"/>
      <c r="O12" s="57"/>
    </row>
    <row r="13" spans="1:15" ht="18" customHeight="1">
      <c r="A13" s="179" t="s">
        <v>168</v>
      </c>
      <c r="B13" s="241"/>
      <c r="C13" s="239"/>
      <c r="D13" s="239"/>
      <c r="E13" s="239"/>
      <c r="F13" s="243"/>
      <c r="G13" s="335"/>
      <c r="H13" s="239"/>
      <c r="I13" s="239"/>
      <c r="J13" s="239"/>
      <c r="K13" s="239"/>
      <c r="L13" s="58"/>
      <c r="M13" s="57"/>
      <c r="N13" s="57"/>
      <c r="O13" s="57"/>
    </row>
    <row r="14" spans="1:15" ht="18" customHeight="1">
      <c r="A14" s="176" t="s">
        <v>169</v>
      </c>
      <c r="B14" s="240"/>
      <c r="C14" s="236"/>
      <c r="D14" s="236"/>
      <c r="E14" s="236"/>
      <c r="F14" s="242"/>
      <c r="G14" s="334"/>
      <c r="H14" s="236"/>
      <c r="I14" s="236"/>
      <c r="J14" s="236"/>
      <c r="K14" s="236"/>
      <c r="L14" s="58"/>
      <c r="M14" s="57"/>
      <c r="N14" s="57"/>
      <c r="O14" s="57"/>
    </row>
    <row r="15" spans="1:15" ht="18" customHeight="1">
      <c r="A15" s="176" t="s">
        <v>170</v>
      </c>
      <c r="B15" s="240"/>
      <c r="C15" s="236"/>
      <c r="D15" s="236"/>
      <c r="E15" s="236"/>
      <c r="F15" s="242"/>
      <c r="G15" s="334"/>
      <c r="H15" s="236"/>
      <c r="I15" s="236"/>
      <c r="J15" s="236"/>
      <c r="K15" s="236"/>
      <c r="L15" s="58"/>
      <c r="M15" s="57"/>
      <c r="N15" s="57"/>
      <c r="O15" s="57"/>
    </row>
    <row r="16" spans="1:15" ht="18" customHeight="1">
      <c r="A16" s="179" t="s">
        <v>171</v>
      </c>
      <c r="B16" s="241"/>
      <c r="C16" s="239"/>
      <c r="D16" s="239"/>
      <c r="E16" s="239"/>
      <c r="F16" s="243"/>
      <c r="G16" s="335"/>
      <c r="H16" s="239"/>
      <c r="I16" s="239"/>
      <c r="J16" s="239"/>
      <c r="K16" s="239"/>
      <c r="L16" s="58"/>
      <c r="M16" s="57"/>
      <c r="N16" s="57"/>
      <c r="O16" s="57"/>
    </row>
    <row r="17" spans="1:11" ht="18" customHeight="1">
      <c r="A17" s="176" t="s">
        <v>48</v>
      </c>
      <c r="B17" s="240">
        <f>SUM(B5:B7)</f>
        <v>289971.15204709524</v>
      </c>
      <c r="C17" s="235">
        <f>SUM(C5:C7)</f>
        <v>2036608.499707636</v>
      </c>
      <c r="D17" s="235">
        <f t="shared" ref="D17:J17" si="0">SUM(D5:D7)</f>
        <v>101321.212</v>
      </c>
      <c r="E17" s="235">
        <f t="shared" si="0"/>
        <v>93914.096560000005</v>
      </c>
      <c r="F17" s="244">
        <f t="shared" si="0"/>
        <v>2521814.9603147311</v>
      </c>
      <c r="G17" s="240">
        <f t="shared" si="0"/>
        <v>3157598.890388954</v>
      </c>
      <c r="H17" s="235">
        <f t="shared" si="0"/>
        <v>22106078.266929999</v>
      </c>
      <c r="I17" s="235">
        <f t="shared" si="0"/>
        <v>1105021.2447200001</v>
      </c>
      <c r="J17" s="235">
        <f t="shared" si="0"/>
        <v>1027273.659189</v>
      </c>
      <c r="K17" s="235">
        <f>SUM(K5:K7)</f>
        <v>27395972.061227955</v>
      </c>
    </row>
    <row r="18" spans="1:11" ht="18" customHeight="1">
      <c r="A18" s="176" t="s">
        <v>56</v>
      </c>
      <c r="B18" s="240">
        <f>SUM(B8:B10)</f>
        <v>117735.97551584727</v>
      </c>
      <c r="C18" s="235">
        <f>SUM(C8:C10)</f>
        <v>1045693.1061009595</v>
      </c>
      <c r="D18" s="235">
        <f t="shared" ref="D18:J18" si="1">SUM(D8:D10)</f>
        <v>52234.282999999996</v>
      </c>
      <c r="E18" s="235">
        <f t="shared" si="1"/>
        <v>73611.703309999997</v>
      </c>
      <c r="F18" s="244">
        <f t="shared" si="1"/>
        <v>1289275.0679268069</v>
      </c>
      <c r="G18" s="240">
        <f t="shared" si="1"/>
        <v>1289707.460854748</v>
      </c>
      <c r="H18" s="235">
        <f t="shared" si="1"/>
        <v>11426943.856699999</v>
      </c>
      <c r="I18" s="235">
        <f t="shared" si="1"/>
        <v>570523.04404000007</v>
      </c>
      <c r="J18" s="235">
        <f t="shared" si="1"/>
        <v>805727.14410199993</v>
      </c>
      <c r="K18" s="235">
        <f>SUM(K8:K10)</f>
        <v>14092901.505696747</v>
      </c>
    </row>
    <row r="19" spans="1:11" ht="18" customHeight="1">
      <c r="A19" s="176" t="s">
        <v>63</v>
      </c>
      <c r="B19" s="407">
        <f>SUM(B11:B13)</f>
        <v>0</v>
      </c>
      <c r="C19" s="408">
        <f>SUM(C11:C13)</f>
        <v>0</v>
      </c>
      <c r="D19" s="408">
        <f t="shared" ref="D19:J19" si="2">SUM(D11:D13)</f>
        <v>0</v>
      </c>
      <c r="E19" s="408">
        <f t="shared" si="2"/>
        <v>0</v>
      </c>
      <c r="F19" s="409">
        <f t="shared" si="2"/>
        <v>0</v>
      </c>
      <c r="G19" s="407">
        <f t="shared" si="2"/>
        <v>0</v>
      </c>
      <c r="H19" s="408">
        <f t="shared" si="2"/>
        <v>0</v>
      </c>
      <c r="I19" s="408">
        <f t="shared" si="2"/>
        <v>0</v>
      </c>
      <c r="J19" s="408">
        <f t="shared" si="2"/>
        <v>0</v>
      </c>
      <c r="K19" s="408">
        <f>SUM(K11:K13)</f>
        <v>0</v>
      </c>
    </row>
    <row r="20" spans="1:11" ht="18" customHeight="1">
      <c r="A20" s="179" t="s">
        <v>57</v>
      </c>
      <c r="B20" s="410">
        <f>SUM(B14:B16)</f>
        <v>0</v>
      </c>
      <c r="C20" s="411">
        <f>SUM(C14:C16)</f>
        <v>0</v>
      </c>
      <c r="D20" s="411">
        <f t="shared" ref="D20:J20" si="3">SUM(D14:D16)</f>
        <v>0</v>
      </c>
      <c r="E20" s="411">
        <f t="shared" si="3"/>
        <v>0</v>
      </c>
      <c r="F20" s="412">
        <f t="shared" si="3"/>
        <v>0</v>
      </c>
      <c r="G20" s="410">
        <f t="shared" si="3"/>
        <v>0</v>
      </c>
      <c r="H20" s="411">
        <f t="shared" si="3"/>
        <v>0</v>
      </c>
      <c r="I20" s="411">
        <f t="shared" si="3"/>
        <v>0</v>
      </c>
      <c r="J20" s="411">
        <f t="shared" si="3"/>
        <v>0</v>
      </c>
      <c r="K20" s="411">
        <f>SUM(K14:K16)</f>
        <v>0</v>
      </c>
    </row>
    <row r="21" spans="1:11" ht="18" customHeight="1">
      <c r="A21" s="176" t="s">
        <v>58</v>
      </c>
      <c r="B21" s="240">
        <f>SUM(B5:B10)</f>
        <v>407707.12756294251</v>
      </c>
      <c r="C21" s="235">
        <f>SUM(C5:C10)</f>
        <v>3082301.6058085957</v>
      </c>
      <c r="D21" s="235">
        <f t="shared" ref="D21:J21" si="4">SUM(D5:D10)</f>
        <v>153555.495</v>
      </c>
      <c r="E21" s="235">
        <f t="shared" si="4"/>
        <v>167525.79986999999</v>
      </c>
      <c r="F21" s="244">
        <f t="shared" si="4"/>
        <v>3811090.028241538</v>
      </c>
      <c r="G21" s="240">
        <f t="shared" si="4"/>
        <v>4447306.3512437018</v>
      </c>
      <c r="H21" s="235">
        <f t="shared" si="4"/>
        <v>33533022.123629998</v>
      </c>
      <c r="I21" s="235">
        <f t="shared" si="4"/>
        <v>1675544.2887600001</v>
      </c>
      <c r="J21" s="235">
        <f t="shared" si="4"/>
        <v>1833000.8032910002</v>
      </c>
      <c r="K21" s="235">
        <f>SUM(K5:K10)</f>
        <v>41488873.566924706</v>
      </c>
    </row>
    <row r="22" spans="1:11" ht="18" customHeight="1">
      <c r="A22" s="179" t="s">
        <v>59</v>
      </c>
      <c r="B22" s="410">
        <f>SUM(B11:B16)</f>
        <v>0</v>
      </c>
      <c r="C22" s="411">
        <f>SUM(C11:C16)</f>
        <v>0</v>
      </c>
      <c r="D22" s="411">
        <f t="shared" ref="D22:J22" si="5">SUM(D11:D16)</f>
        <v>0</v>
      </c>
      <c r="E22" s="411">
        <f t="shared" si="5"/>
        <v>0</v>
      </c>
      <c r="F22" s="412">
        <f t="shared" si="5"/>
        <v>0</v>
      </c>
      <c r="G22" s="410">
        <f t="shared" si="5"/>
        <v>0</v>
      </c>
      <c r="H22" s="411">
        <f t="shared" si="5"/>
        <v>0</v>
      </c>
      <c r="I22" s="411">
        <f t="shared" si="5"/>
        <v>0</v>
      </c>
      <c r="J22" s="411">
        <f t="shared" si="5"/>
        <v>0</v>
      </c>
      <c r="K22" s="411">
        <f>SUM(K11:K16)</f>
        <v>0</v>
      </c>
    </row>
    <row r="23" spans="1:11" ht="18" customHeight="1">
      <c r="A23" s="216" t="s">
        <v>172</v>
      </c>
      <c r="B23" s="413">
        <f>SUM(B5:B16)</f>
        <v>407707.12756294251</v>
      </c>
      <c r="C23" s="414">
        <f>SUM(C5:C16)</f>
        <v>3082301.6058085957</v>
      </c>
      <c r="D23" s="414">
        <f t="shared" ref="D23:J23" si="6">SUM(D5:D16)</f>
        <v>153555.495</v>
      </c>
      <c r="E23" s="414">
        <f t="shared" si="6"/>
        <v>167525.79986999999</v>
      </c>
      <c r="F23" s="415">
        <f t="shared" si="6"/>
        <v>3811090.028241538</v>
      </c>
      <c r="G23" s="413">
        <f t="shared" si="6"/>
        <v>4447306.3512437018</v>
      </c>
      <c r="H23" s="414">
        <f t="shared" si="6"/>
        <v>33533022.123629998</v>
      </c>
      <c r="I23" s="414">
        <f t="shared" si="6"/>
        <v>1675544.2887600001</v>
      </c>
      <c r="J23" s="414">
        <f t="shared" si="6"/>
        <v>1833000.8032910002</v>
      </c>
      <c r="K23" s="414">
        <f>SUM(K5:K16)</f>
        <v>41488873.566924706</v>
      </c>
    </row>
    <row r="25" spans="1:11" ht="12" customHeight="1">
      <c r="A25" s="531" t="s">
        <v>278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289971.15204709524</v>
      </c>
      <c r="F31" s="12">
        <f t="shared" si="8"/>
        <v>2036608.499707636</v>
      </c>
      <c r="G31" s="12">
        <f t="shared" si="8"/>
        <v>101321.212</v>
      </c>
      <c r="H31" s="12">
        <f t="shared" si="8"/>
        <v>93914.096560000005</v>
      </c>
    </row>
    <row r="32" spans="1:11" ht="12" customHeight="1">
      <c r="D32" s="12" t="str">
        <f t="shared" ref="D32:D34" si="9">A18</f>
        <v>II. čtvrtletí</v>
      </c>
      <c r="E32" s="12">
        <f t="shared" si="8"/>
        <v>117735.97551584727</v>
      </c>
      <c r="F32" s="12">
        <f t="shared" si="8"/>
        <v>1045693.1061009595</v>
      </c>
      <c r="G32" s="12">
        <f t="shared" si="8"/>
        <v>52234.282999999996</v>
      </c>
      <c r="H32" s="12">
        <f t="shared" si="8"/>
        <v>73611.703309999997</v>
      </c>
    </row>
    <row r="33" spans="4:8" ht="12" customHeight="1">
      <c r="D33" s="12" t="str">
        <f t="shared" si="9"/>
        <v>III. čtvrtletí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290</v>
      </c>
    </row>
    <row r="2" spans="1:39" s="102" customFormat="1" ht="18">
      <c r="A2" s="514" t="s">
        <v>303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39" ht="6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39" ht="12.95" customHeight="1">
      <c r="A4" s="506" t="s">
        <v>35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39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39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39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39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41" t="str">
        <f>'3.1'!D5</f>
        <v>Duben</v>
      </c>
      <c r="B9" s="441"/>
      <c r="C9" s="164" t="s">
        <v>4</v>
      </c>
      <c r="D9" s="312">
        <v>82</v>
      </c>
      <c r="E9" s="308">
        <v>7255.8510900000001</v>
      </c>
      <c r="F9" s="308">
        <v>79104.739719999998</v>
      </c>
      <c r="G9" s="309">
        <f>E9/$E$14</f>
        <v>0.32994079826607348</v>
      </c>
      <c r="H9" s="309">
        <f>(E9-I9)/I9</f>
        <v>-0.15786372876338936</v>
      </c>
      <c r="I9" s="312">
        <v>8616.0059099999999</v>
      </c>
      <c r="J9" s="308">
        <v>92049.099140000006</v>
      </c>
      <c r="K9" s="309">
        <f>I9/$I$14</f>
        <v>0.35068614764597517</v>
      </c>
      <c r="N9" s="77"/>
      <c r="O9" s="77"/>
      <c r="P9" s="77"/>
      <c r="Q9" s="77"/>
      <c r="R9" s="77"/>
      <c r="S9" s="77"/>
      <c r="T9" s="77"/>
      <c r="U9" s="103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3"/>
    </row>
    <row r="10" spans="1:39" ht="11.1" customHeight="1">
      <c r="A10" s="442"/>
      <c r="B10" s="442"/>
      <c r="C10" s="154" t="s">
        <v>5</v>
      </c>
      <c r="D10" s="313">
        <v>278</v>
      </c>
      <c r="E10" s="129">
        <v>2767.5861599999998</v>
      </c>
      <c r="F10" s="129">
        <v>30172.884319999997</v>
      </c>
      <c r="G10" s="307">
        <f>E10/$E$14</f>
        <v>0.12584872202780237</v>
      </c>
      <c r="H10" s="307">
        <f>(E10-I10)/I10</f>
        <v>-0.10158795350541842</v>
      </c>
      <c r="I10" s="313">
        <v>3080.5309999999999</v>
      </c>
      <c r="J10" s="129">
        <v>32919.462639999998</v>
      </c>
      <c r="K10" s="307">
        <f>I10/$I$14</f>
        <v>0.12538287001871423</v>
      </c>
      <c r="L10" s="93"/>
      <c r="N10" s="77"/>
      <c r="O10" s="77"/>
      <c r="P10" s="77"/>
      <c r="Q10" s="77"/>
      <c r="R10" s="77"/>
      <c r="S10" s="77"/>
      <c r="T10" s="77"/>
      <c r="U10" s="103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42"/>
      <c r="B11" s="442"/>
      <c r="C11" s="154" t="s">
        <v>6</v>
      </c>
      <c r="D11" s="313">
        <v>9586</v>
      </c>
      <c r="E11" s="129">
        <v>4504.9284100000004</v>
      </c>
      <c r="F11" s="129">
        <v>49113.638129999999</v>
      </c>
      <c r="G11" s="307">
        <f>E11/$E$14</f>
        <v>0.20484980428766122</v>
      </c>
      <c r="H11" s="307">
        <f t="shared" ref="H11:H13" si="0">(E11-I11)/I11</f>
        <v>-6.7652001624740873E-2</v>
      </c>
      <c r="I11" s="313">
        <v>4831.8100299999996</v>
      </c>
      <c r="J11" s="129">
        <v>51625.334470000002</v>
      </c>
      <c r="K11" s="307">
        <f>I11/$I$14</f>
        <v>0.19666291588904952</v>
      </c>
      <c r="L11" s="93"/>
      <c r="N11" s="77"/>
      <c r="O11" s="77"/>
      <c r="P11" s="77"/>
      <c r="Q11" s="77"/>
      <c r="R11" s="77"/>
      <c r="S11" s="77"/>
      <c r="T11" s="77"/>
      <c r="U11" s="103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42"/>
      <c r="B12" s="442"/>
      <c r="C12" s="154" t="s">
        <v>7</v>
      </c>
      <c r="D12" s="313">
        <v>93102</v>
      </c>
      <c r="E12" s="129">
        <v>7160.0751200000004</v>
      </c>
      <c r="F12" s="129">
        <v>78061.487280000001</v>
      </c>
      <c r="G12" s="307">
        <f>E12/$E$14</f>
        <v>0.32558563722368949</v>
      </c>
      <c r="H12" s="307">
        <f t="shared" si="0"/>
        <v>-6.7603152588707222E-2</v>
      </c>
      <c r="I12" s="313">
        <v>7679.2142099999992</v>
      </c>
      <c r="J12" s="129">
        <v>82048.718569999997</v>
      </c>
      <c r="K12" s="307">
        <f>I12/$I$14</f>
        <v>0.31255712639745975</v>
      </c>
      <c r="L12" s="93"/>
      <c r="N12" s="77"/>
      <c r="O12" s="77"/>
      <c r="P12" s="77"/>
      <c r="Q12" s="77"/>
      <c r="R12" s="77"/>
      <c r="S12" s="77"/>
      <c r="T12" s="77"/>
      <c r="U12" s="103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42"/>
      <c r="B13" s="442"/>
      <c r="C13" s="154" t="s">
        <v>93</v>
      </c>
      <c r="D13" s="313">
        <v>15</v>
      </c>
      <c r="E13" s="129">
        <v>302.93200000000002</v>
      </c>
      <c r="F13" s="129">
        <v>3302.701</v>
      </c>
      <c r="G13" s="307">
        <f>E13/$E$14</f>
        <v>1.3775038194773395E-2</v>
      </c>
      <c r="H13" s="307">
        <f t="shared" si="0"/>
        <v>-0.16185849106196717</v>
      </c>
      <c r="I13" s="313">
        <v>361.43299999999999</v>
      </c>
      <c r="J13" s="129">
        <v>3861.0650000000001</v>
      </c>
      <c r="K13" s="307">
        <f>I13/$I$14</f>
        <v>1.4710940048801307E-2</v>
      </c>
      <c r="L13" s="93"/>
      <c r="N13" s="77"/>
      <c r="O13" s="77"/>
      <c r="P13" s="77"/>
      <c r="Q13" s="77"/>
      <c r="R13" s="77"/>
      <c r="S13" s="77"/>
      <c r="T13" s="77"/>
      <c r="U13" s="10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43"/>
      <c r="B14" s="443"/>
      <c r="C14" s="318" t="s">
        <v>0</v>
      </c>
      <c r="D14" s="321">
        <v>103063</v>
      </c>
      <c r="E14" s="319">
        <v>21991.372780000002</v>
      </c>
      <c r="F14" s="319">
        <v>239755.45045</v>
      </c>
      <c r="G14" s="320">
        <f>SUM(G9:G13)</f>
        <v>1</v>
      </c>
      <c r="H14" s="320">
        <f>(E14-I14)/I14</f>
        <v>-0.1049135896350888</v>
      </c>
      <c r="I14" s="321">
        <v>24568.994149999999</v>
      </c>
      <c r="J14" s="319">
        <v>262503.67981999996</v>
      </c>
      <c r="K14" s="320">
        <f>SUM(K9:K13)</f>
        <v>1</v>
      </c>
      <c r="L14" s="93"/>
      <c r="M14" s="93"/>
      <c r="N14" s="77"/>
      <c r="O14" s="77"/>
      <c r="P14" s="77"/>
      <c r="Q14" s="77"/>
      <c r="R14" s="77"/>
      <c r="S14" s="77"/>
      <c r="T14" s="77"/>
      <c r="U14" s="10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41" t="str">
        <f>'3.1'!E5</f>
        <v>Květen</v>
      </c>
      <c r="B15" s="441"/>
      <c r="C15" s="164" t="s">
        <v>4</v>
      </c>
      <c r="D15" s="312">
        <v>82</v>
      </c>
      <c r="E15" s="308">
        <v>6261.0241500000002</v>
      </c>
      <c r="F15" s="308">
        <v>68395.427769999995</v>
      </c>
      <c r="G15" s="309">
        <f>E15/$E$20</f>
        <v>0.47811867838967598</v>
      </c>
      <c r="H15" s="309">
        <f>(E15-I15)/I15</f>
        <v>-0.16137662240951664</v>
      </c>
      <c r="I15" s="312">
        <v>7465.8354600000002</v>
      </c>
      <c r="J15" s="308">
        <v>79857.562409999999</v>
      </c>
      <c r="K15" s="309">
        <f>I15/$I$20</f>
        <v>0.57955064808499612</v>
      </c>
      <c r="L15" s="93"/>
      <c r="M15" s="93"/>
      <c r="N15" s="77"/>
      <c r="O15" s="77"/>
      <c r="P15" s="77"/>
      <c r="Q15" s="77"/>
      <c r="R15" s="77"/>
      <c r="S15" s="77"/>
      <c r="T15" s="77"/>
      <c r="U15" s="103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42"/>
      <c r="B16" s="442"/>
      <c r="C16" s="154" t="s">
        <v>5</v>
      </c>
      <c r="D16" s="313">
        <v>276</v>
      </c>
      <c r="E16" s="129">
        <v>1817.78674</v>
      </c>
      <c r="F16" s="129">
        <v>19859.38667</v>
      </c>
      <c r="G16" s="307">
        <f>E16/$E$20</f>
        <v>0.13881399798195596</v>
      </c>
      <c r="H16" s="307">
        <f>(E16-I16)/I16</f>
        <v>6.2376856047797725E-2</v>
      </c>
      <c r="I16" s="313">
        <v>1711.0564199999999</v>
      </c>
      <c r="J16" s="129">
        <v>18305.326579999997</v>
      </c>
      <c r="K16" s="307">
        <f>I16/$I$20</f>
        <v>0.13282423145192021</v>
      </c>
      <c r="L16" s="97"/>
      <c r="M16" s="93"/>
      <c r="N16" s="77"/>
      <c r="O16" s="77"/>
      <c r="P16" s="77"/>
      <c r="Q16" s="77"/>
      <c r="R16" s="77"/>
      <c r="S16" s="77"/>
      <c r="T16" s="77"/>
      <c r="U16" s="10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42"/>
      <c r="B17" s="442"/>
      <c r="C17" s="154" t="s">
        <v>6</v>
      </c>
      <c r="D17" s="313">
        <v>9593</v>
      </c>
      <c r="E17" s="129">
        <v>1812.67021</v>
      </c>
      <c r="F17" s="129">
        <v>19802.248180000002</v>
      </c>
      <c r="G17" s="307">
        <f>E17/$E$20</f>
        <v>0.13842327778939112</v>
      </c>
      <c r="H17" s="307">
        <f t="shared" ref="H17:H20" si="1">(E17-I17)/I17</f>
        <v>0.41223035740283626</v>
      </c>
      <c r="I17" s="313">
        <v>1283.5513699999999</v>
      </c>
      <c r="J17" s="129">
        <v>13730.27211</v>
      </c>
      <c r="K17" s="307">
        <f>I17/$I$20</f>
        <v>9.9638283259712315E-2</v>
      </c>
      <c r="L17" s="93"/>
      <c r="M17" s="93"/>
      <c r="N17" s="77"/>
      <c r="O17" s="77"/>
      <c r="P17" s="77"/>
      <c r="Q17" s="77"/>
      <c r="R17" s="77"/>
      <c r="S17" s="77"/>
      <c r="T17" s="77"/>
      <c r="U17" s="103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42"/>
      <c r="B18" s="442"/>
      <c r="C18" s="154" t="s">
        <v>7</v>
      </c>
      <c r="D18" s="313">
        <v>92971</v>
      </c>
      <c r="E18" s="129">
        <v>2881.0375100000001</v>
      </c>
      <c r="F18" s="129">
        <v>31472.901409999999</v>
      </c>
      <c r="G18" s="307">
        <f>E18/$E$20</f>
        <v>0.22000839058770968</v>
      </c>
      <c r="H18" s="307">
        <f t="shared" si="1"/>
        <v>0.41493517068532171</v>
      </c>
      <c r="I18" s="313">
        <v>2036.1622</v>
      </c>
      <c r="J18" s="129">
        <v>21780.90768</v>
      </c>
      <c r="K18" s="307">
        <f>I18/$I$20</f>
        <v>0.15806122823609234</v>
      </c>
      <c r="L18" s="93"/>
      <c r="M18" s="93"/>
      <c r="N18" s="77"/>
      <c r="O18" s="77"/>
      <c r="P18" s="77"/>
      <c r="Q18" s="77"/>
      <c r="R18" s="77"/>
      <c r="S18" s="77"/>
      <c r="T18" s="77"/>
      <c r="U18" s="10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42"/>
      <c r="B19" s="442"/>
      <c r="C19" s="154" t="s">
        <v>93</v>
      </c>
      <c r="D19" s="313">
        <v>15</v>
      </c>
      <c r="E19" s="129">
        <v>322.60700000000003</v>
      </c>
      <c r="F19" s="129">
        <v>3524.4830000000002</v>
      </c>
      <c r="G19" s="307">
        <f>E19/$E$20</f>
        <v>2.4635655251267194E-2</v>
      </c>
      <c r="H19" s="307">
        <f t="shared" si="1"/>
        <v>-0.16315741689472243</v>
      </c>
      <c r="I19" s="313">
        <v>385.505</v>
      </c>
      <c r="J19" s="129">
        <v>4123.5590000000002</v>
      </c>
      <c r="K19" s="307">
        <f>I19/$I$20</f>
        <v>2.9925608967279117E-2</v>
      </c>
      <c r="L19" s="93"/>
      <c r="M19" s="93"/>
      <c r="N19" s="77"/>
      <c r="O19" s="77"/>
      <c r="P19" s="77"/>
      <c r="Q19" s="77"/>
      <c r="R19" s="77"/>
      <c r="S19" s="77"/>
      <c r="T19" s="77"/>
      <c r="U19" s="103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43"/>
      <c r="B20" s="443"/>
      <c r="C20" s="318" t="s">
        <v>0</v>
      </c>
      <c r="D20" s="321">
        <v>102937</v>
      </c>
      <c r="E20" s="319">
        <v>13095.125610000001</v>
      </c>
      <c r="F20" s="319">
        <v>143054.44702999998</v>
      </c>
      <c r="G20" s="320">
        <f>SUM(G15:G19)</f>
        <v>1</v>
      </c>
      <c r="H20" s="320">
        <f t="shared" si="1"/>
        <v>1.65357346396609E-2</v>
      </c>
      <c r="I20" s="321">
        <v>12882.110449999998</v>
      </c>
      <c r="J20" s="319">
        <v>137797.62778000001</v>
      </c>
      <c r="K20" s="320">
        <f>SUM(K15:K19)</f>
        <v>1.0000000000000002</v>
      </c>
      <c r="L20" s="93"/>
      <c r="M20" s="93"/>
      <c r="N20" s="77"/>
      <c r="O20" s="77"/>
      <c r="P20" s="77"/>
      <c r="Q20" s="77"/>
      <c r="R20" s="77"/>
      <c r="S20" s="77"/>
      <c r="T20" s="77"/>
      <c r="U20" s="103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41" t="str">
        <f>'3.1'!F5</f>
        <v>Červen</v>
      </c>
      <c r="B21" s="441"/>
      <c r="C21" s="164" t="s">
        <v>4</v>
      </c>
      <c r="D21" s="312">
        <v>81</v>
      </c>
      <c r="E21" s="308">
        <v>6341.3139300000003</v>
      </c>
      <c r="F21" s="308">
        <v>69528.702510000003</v>
      </c>
      <c r="G21" s="309">
        <f>E21/$E$26</f>
        <v>0.62766302612056413</v>
      </c>
      <c r="H21" s="309">
        <f>(E21-I21)/I21</f>
        <v>-6.9520168174648914E-2</v>
      </c>
      <c r="I21" s="312">
        <v>6815.1008899999997</v>
      </c>
      <c r="J21" s="308">
        <v>73385.687919999997</v>
      </c>
      <c r="K21" s="309">
        <f>I21/$I$26</f>
        <v>0.67493803177663214</v>
      </c>
      <c r="L21" s="88"/>
      <c r="M21" s="88"/>
      <c r="N21" s="77"/>
      <c r="O21" s="77"/>
      <c r="P21" s="77"/>
      <c r="Q21" s="77"/>
      <c r="R21" s="77"/>
      <c r="S21" s="77"/>
      <c r="T21" s="77"/>
      <c r="U21" s="103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42"/>
      <c r="B22" s="442"/>
      <c r="C22" s="154" t="s">
        <v>5</v>
      </c>
      <c r="D22" s="313">
        <v>276</v>
      </c>
      <c r="E22" s="129">
        <v>1684.0305499999999</v>
      </c>
      <c r="F22" s="129">
        <v>18464.043650000003</v>
      </c>
      <c r="G22" s="307">
        <f>E22/$E$26</f>
        <v>0.16668528364317675</v>
      </c>
      <c r="H22" s="307">
        <f t="shared" ref="H22:H26" si="2">(E22-I22)/I22</f>
        <v>0.24511256896229189</v>
      </c>
      <c r="I22" s="313">
        <v>1352.51269</v>
      </c>
      <c r="J22" s="129">
        <v>14566.42203</v>
      </c>
      <c r="K22" s="307">
        <f>I22/$I$26</f>
        <v>0.13394699031983345</v>
      </c>
      <c r="L22" s="88"/>
      <c r="M22" s="88"/>
      <c r="N22" s="77"/>
      <c r="O22" s="77"/>
      <c r="P22" s="77"/>
      <c r="Q22" s="77"/>
      <c r="R22" s="77"/>
      <c r="S22" s="77"/>
      <c r="T22" s="77"/>
      <c r="U22" s="10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42"/>
      <c r="B23" s="442"/>
      <c r="C23" s="154" t="s">
        <v>6</v>
      </c>
      <c r="D23" s="313">
        <v>9579</v>
      </c>
      <c r="E23" s="129">
        <v>674.95700999999997</v>
      </c>
      <c r="F23" s="129">
        <v>7399.8584999999994</v>
      </c>
      <c r="G23" s="307">
        <f>E23/$E$26</f>
        <v>6.6807220723401062E-2</v>
      </c>
      <c r="H23" s="307">
        <f t="shared" si="2"/>
        <v>0.11904070384351112</v>
      </c>
      <c r="I23" s="313">
        <v>603.15680000000009</v>
      </c>
      <c r="J23" s="129">
        <v>6495.1861699999999</v>
      </c>
      <c r="K23" s="307">
        <f>I23/$I$26</f>
        <v>5.9734033290986518E-2</v>
      </c>
      <c r="L23" s="88"/>
      <c r="M23" s="88"/>
      <c r="N23" s="77"/>
      <c r="O23" s="77"/>
      <c r="P23" s="77"/>
      <c r="Q23" s="77"/>
      <c r="R23" s="77"/>
      <c r="S23" s="77"/>
      <c r="T23" s="77"/>
      <c r="U23" s="103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42"/>
      <c r="B24" s="442"/>
      <c r="C24" s="154" t="s">
        <v>7</v>
      </c>
      <c r="D24" s="313">
        <v>92860</v>
      </c>
      <c r="E24" s="129">
        <v>1072.65228</v>
      </c>
      <c r="F24" s="129">
        <v>11760.684230000001</v>
      </c>
      <c r="G24" s="307">
        <f>E24/$E$26</f>
        <v>0.10617108433234793</v>
      </c>
      <c r="H24" s="307">
        <f t="shared" si="2"/>
        <v>0.12265491450995504</v>
      </c>
      <c r="I24" s="313">
        <v>955.46037000000001</v>
      </c>
      <c r="J24" s="129">
        <v>10290.219710000001</v>
      </c>
      <c r="K24" s="307">
        <f>I24/$I$26</f>
        <v>9.4624650753830988E-2</v>
      </c>
      <c r="L24" s="88"/>
      <c r="M24" s="88"/>
      <c r="N24" s="77"/>
      <c r="O24" s="77"/>
      <c r="P24" s="77"/>
      <c r="Q24" s="77"/>
      <c r="R24" s="77"/>
      <c r="S24" s="77"/>
      <c r="T24" s="77"/>
      <c r="U24" s="103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42"/>
      <c r="B25" s="442"/>
      <c r="C25" s="154" t="s">
        <v>93</v>
      </c>
      <c r="D25" s="313">
        <v>15</v>
      </c>
      <c r="E25" s="129">
        <v>330.101</v>
      </c>
      <c r="F25" s="129">
        <v>3619.6060000000002</v>
      </c>
      <c r="G25" s="307">
        <f>E25/$E$26</f>
        <v>3.2673385180510113E-2</v>
      </c>
      <c r="H25" s="307">
        <f t="shared" si="2"/>
        <v>-0.11058031696762963</v>
      </c>
      <c r="I25" s="313">
        <v>371.142</v>
      </c>
      <c r="J25" s="129">
        <v>3995.7629999999999</v>
      </c>
      <c r="K25" s="307">
        <f>I25/$I$26</f>
        <v>3.6756293858716864E-2</v>
      </c>
      <c r="L25" s="88"/>
      <c r="M25" s="88"/>
      <c r="N25" s="77"/>
      <c r="O25" s="77"/>
      <c r="P25" s="77"/>
      <c r="Q25" s="77"/>
      <c r="R25" s="77"/>
      <c r="S25" s="77"/>
      <c r="T25" s="77"/>
      <c r="U25" s="103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43"/>
      <c r="B26" s="443"/>
      <c r="C26" s="318" t="s">
        <v>0</v>
      </c>
      <c r="D26" s="321">
        <v>102811</v>
      </c>
      <c r="E26" s="319">
        <v>10103.054770000001</v>
      </c>
      <c r="F26" s="319">
        <v>110772.89489000001</v>
      </c>
      <c r="G26" s="320">
        <f>SUM(G21:G25)</f>
        <v>1</v>
      </c>
      <c r="H26" s="320">
        <f t="shared" si="2"/>
        <v>5.6272261514760786E-4</v>
      </c>
      <c r="I26" s="321">
        <v>10097.37275</v>
      </c>
      <c r="J26" s="319">
        <v>108733.27883000001</v>
      </c>
      <c r="K26" s="320">
        <f>SUM(K21:K25)</f>
        <v>0.99999999999999989</v>
      </c>
      <c r="N26" s="77"/>
      <c r="O26" s="77"/>
      <c r="P26" s="77"/>
      <c r="Q26" s="77"/>
      <c r="R26" s="77"/>
      <c r="S26" s="77"/>
      <c r="T26" s="77"/>
      <c r="U26" s="103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10" t="str">
        <f>'3.1'!G5</f>
        <v>II. čtvrtletí</v>
      </c>
      <c r="B27" s="441"/>
      <c r="C27" s="164" t="s">
        <v>4</v>
      </c>
      <c r="D27" s="312">
        <f>D21</f>
        <v>81</v>
      </c>
      <c r="E27" s="308">
        <f>E9+E15+E21</f>
        <v>19858.189170000001</v>
      </c>
      <c r="F27" s="308">
        <f>F9+F15+F21</f>
        <v>217028.87</v>
      </c>
      <c r="G27" s="309">
        <f>E27/$E$32</f>
        <v>0.4394420343057891</v>
      </c>
      <c r="H27" s="309">
        <f>(E27-I27)/I27</f>
        <v>-0.13271436227135763</v>
      </c>
      <c r="I27" s="312">
        <f>I9+I15+I21</f>
        <v>22896.94226</v>
      </c>
      <c r="J27" s="308">
        <f>J9+J15+J21</f>
        <v>245292.34947000002</v>
      </c>
      <c r="K27" s="309">
        <f>I27/$I$32</f>
        <v>0.48154943199248418</v>
      </c>
      <c r="N27" s="77"/>
      <c r="O27" s="77"/>
      <c r="P27" s="77"/>
      <c r="Q27" s="77"/>
      <c r="R27" s="77"/>
      <c r="S27" s="77"/>
      <c r="T27" s="77"/>
      <c r="U27" s="103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42"/>
      <c r="B28" s="442"/>
      <c r="C28" s="154" t="s">
        <v>5</v>
      </c>
      <c r="D28" s="313">
        <f>D22</f>
        <v>276</v>
      </c>
      <c r="E28" s="129">
        <f t="shared" ref="E28:F28" si="3">E10+E16+E22</f>
        <v>6269.4034499999998</v>
      </c>
      <c r="F28" s="129">
        <f t="shared" si="3"/>
        <v>68496.314639999997</v>
      </c>
      <c r="G28" s="307">
        <f>E28/$E$32</f>
        <v>0.13873568140411324</v>
      </c>
      <c r="H28" s="307">
        <f t="shared" ref="H28:H31" si="4">(E28-I28)/I28</f>
        <v>2.0394091527913012E-2</v>
      </c>
      <c r="I28" s="313">
        <f t="shared" ref="I28:J28" si="5">I10+I16+I22</f>
        <v>6144.1001099999994</v>
      </c>
      <c r="J28" s="129">
        <f t="shared" si="5"/>
        <v>65791.211249999993</v>
      </c>
      <c r="K28" s="307">
        <f>I28/$I$32</f>
        <v>0.12921759964622714</v>
      </c>
      <c r="N28" s="77"/>
      <c r="O28" s="77"/>
      <c r="P28" s="77"/>
      <c r="Q28" s="77"/>
      <c r="R28" s="77"/>
      <c r="S28" s="77"/>
      <c r="T28" s="77"/>
      <c r="U28" s="103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42"/>
      <c r="B29" s="442"/>
      <c r="C29" s="154" t="s">
        <v>6</v>
      </c>
      <c r="D29" s="313">
        <f>D23</f>
        <v>9579</v>
      </c>
      <c r="E29" s="129">
        <f t="shared" ref="E29:F29" si="6">E11+E17+E23</f>
        <v>6992.5556300000007</v>
      </c>
      <c r="F29" s="129">
        <f t="shared" si="6"/>
        <v>76315.744810000004</v>
      </c>
      <c r="G29" s="307">
        <f>E29/$E$32</f>
        <v>0.15473832204628951</v>
      </c>
      <c r="H29" s="307">
        <f t="shared" si="4"/>
        <v>4.0788373543440164E-2</v>
      </c>
      <c r="I29" s="313">
        <f t="shared" ref="I29:J29" si="7">I11+I17+I23</f>
        <v>6718.5181999999995</v>
      </c>
      <c r="J29" s="129">
        <f t="shared" si="7"/>
        <v>71850.792749999993</v>
      </c>
      <c r="K29" s="307">
        <f>I29/$I$32</f>
        <v>0.14129828281451792</v>
      </c>
      <c r="N29" s="77"/>
      <c r="O29" s="77"/>
      <c r="P29" s="77"/>
      <c r="Q29" s="77"/>
      <c r="R29" s="77"/>
      <c r="S29" s="77"/>
      <c r="T29" s="77"/>
      <c r="U29" s="103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42"/>
      <c r="B30" s="442"/>
      <c r="C30" s="154" t="s">
        <v>7</v>
      </c>
      <c r="D30" s="313">
        <f>D24</f>
        <v>92860</v>
      </c>
      <c r="E30" s="129">
        <f t="shared" ref="E30:F31" si="8">E12+E18+E24</f>
        <v>11113.76491</v>
      </c>
      <c r="F30" s="129">
        <f t="shared" si="8"/>
        <v>121295.07291999999</v>
      </c>
      <c r="G30" s="307">
        <f>E30/$E$32</f>
        <v>0.24593659668751633</v>
      </c>
      <c r="H30" s="307">
        <f t="shared" si="4"/>
        <v>4.1508284601463115E-2</v>
      </c>
      <c r="I30" s="313">
        <f t="shared" ref="I30:J30" si="9">I12+I18+I24</f>
        <v>10670.83678</v>
      </c>
      <c r="J30" s="129">
        <f t="shared" si="9"/>
        <v>114119.84596000001</v>
      </c>
      <c r="K30" s="307">
        <f>I30/$I$32</f>
        <v>0.22442015758891593</v>
      </c>
      <c r="N30" s="77"/>
      <c r="O30" s="77"/>
      <c r="P30" s="77"/>
      <c r="Q30" s="77"/>
      <c r="R30" s="77"/>
      <c r="S30" s="77"/>
      <c r="T30" s="77"/>
      <c r="U30" s="103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42"/>
      <c r="B31" s="442"/>
      <c r="C31" s="154" t="s">
        <v>93</v>
      </c>
      <c r="D31" s="313">
        <f>D25</f>
        <v>15</v>
      </c>
      <c r="E31" s="129">
        <f>E13+E19+E25</f>
        <v>955.64</v>
      </c>
      <c r="F31" s="129">
        <f t="shared" si="8"/>
        <v>10446.790000000001</v>
      </c>
      <c r="G31" s="307">
        <f>E31/$E$32</f>
        <v>2.1147365556291771E-2</v>
      </c>
      <c r="H31" s="307">
        <f t="shared" si="4"/>
        <v>-0.14528477389811101</v>
      </c>
      <c r="I31" s="313">
        <f>I13+I19+I25</f>
        <v>1118.08</v>
      </c>
      <c r="J31" s="129">
        <f t="shared" ref="J31" si="10">J13+J19+J25</f>
        <v>11980.386999999999</v>
      </c>
      <c r="K31" s="307">
        <f>I31/$I$32</f>
        <v>2.3514527957854782E-2</v>
      </c>
      <c r="N31" s="77"/>
      <c r="O31" s="77"/>
      <c r="P31" s="77"/>
      <c r="Q31" s="77"/>
      <c r="R31" s="77"/>
      <c r="S31" s="77"/>
      <c r="T31" s="77"/>
      <c r="U31" s="103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43"/>
      <c r="B32" s="443"/>
      <c r="C32" s="318" t="s">
        <v>0</v>
      </c>
      <c r="D32" s="321">
        <f>SUM(D27:D31)</f>
        <v>102811</v>
      </c>
      <c r="E32" s="319">
        <f>SUM(E27:E31)</f>
        <v>45189.553160000003</v>
      </c>
      <c r="F32" s="319">
        <f>SUM(F27:F31)</f>
        <v>493582.79236999998</v>
      </c>
      <c r="G32" s="320">
        <f>SUM(G27:G31)</f>
        <v>1</v>
      </c>
      <c r="H32" s="320">
        <f>(E32-I32)/I32</f>
        <v>-4.9610930180501306E-2</v>
      </c>
      <c r="I32" s="321">
        <f>SUM(I27:I31)</f>
        <v>47548.477350000001</v>
      </c>
      <c r="J32" s="319">
        <f>SUM(J27:J31)</f>
        <v>509034.58642999997</v>
      </c>
      <c r="K32" s="320">
        <f>SUM(K27:K31)</f>
        <v>1</v>
      </c>
      <c r="N32" s="77"/>
      <c r="O32" s="77"/>
      <c r="P32" s="77"/>
      <c r="Q32" s="77"/>
      <c r="R32" s="77"/>
      <c r="S32" s="77"/>
      <c r="T32" s="77"/>
      <c r="U32" s="103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36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189</v>
      </c>
      <c r="E39" s="308">
        <v>27306.643</v>
      </c>
      <c r="F39" s="308">
        <v>297778.45413999999</v>
      </c>
      <c r="G39" s="309">
        <f>E39/$E$44</f>
        <v>0.35222425164105597</v>
      </c>
      <c r="H39" s="309">
        <f>(E39-I39)/I39</f>
        <v>-0.15505276819681874</v>
      </c>
      <c r="I39" s="312">
        <v>32317.572</v>
      </c>
      <c r="J39" s="308">
        <v>348256.30985999998</v>
      </c>
      <c r="K39" s="309">
        <f>I39/$I$44</f>
        <v>0.36181381757929271</v>
      </c>
    </row>
    <row r="40" spans="1:11" ht="11.1" customHeight="1">
      <c r="A40" s="442"/>
      <c r="B40" s="442"/>
      <c r="C40" s="154" t="s">
        <v>5</v>
      </c>
      <c r="D40" s="313">
        <v>806</v>
      </c>
      <c r="E40" s="129">
        <v>7780.509</v>
      </c>
      <c r="F40" s="129">
        <v>84846.709379999942</v>
      </c>
      <c r="G40" s="307">
        <f t="shared" ref="G40:G41" si="11">E40/$E$44</f>
        <v>0.10035960699788329</v>
      </c>
      <c r="H40" s="307">
        <f>(E40-I40)/I40</f>
        <v>-0.10480494998971401</v>
      </c>
      <c r="I40" s="313">
        <v>8691.4120000000003</v>
      </c>
      <c r="J40" s="129">
        <v>93659.656619999907</v>
      </c>
      <c r="K40" s="307">
        <f t="shared" ref="K40:K43" si="12">I40/$I$44</f>
        <v>9.7305359321995966E-2</v>
      </c>
    </row>
    <row r="41" spans="1:11" ht="11.1" customHeight="1">
      <c r="A41" s="442"/>
      <c r="B41" s="442"/>
      <c r="C41" s="154" t="s">
        <v>6</v>
      </c>
      <c r="D41" s="313">
        <v>23852</v>
      </c>
      <c r="E41" s="129">
        <v>11650.505000000001</v>
      </c>
      <c r="F41" s="129">
        <v>127048.99190000001</v>
      </c>
      <c r="G41" s="307">
        <f t="shared" si="11"/>
        <v>0.15027809917408674</v>
      </c>
      <c r="H41" s="307">
        <f t="shared" ref="H41:H43" si="13">(E41-I41)/I41</f>
        <v>-0.12568443183883626</v>
      </c>
      <c r="I41" s="313">
        <v>13325.286</v>
      </c>
      <c r="J41" s="129">
        <v>143594.80877999999</v>
      </c>
      <c r="K41" s="307">
        <f t="shared" si="12"/>
        <v>0.14918424558614438</v>
      </c>
    </row>
    <row r="42" spans="1:11" ht="11.1" customHeight="1">
      <c r="A42" s="442"/>
      <c r="B42" s="442"/>
      <c r="C42" s="154" t="s">
        <v>7</v>
      </c>
      <c r="D42" s="313">
        <v>351213</v>
      </c>
      <c r="E42" s="129">
        <v>29783.3</v>
      </c>
      <c r="F42" s="129">
        <v>324786.40000000002</v>
      </c>
      <c r="G42" s="307">
        <f>E42/$E$44</f>
        <v>0.38417027511954005</v>
      </c>
      <c r="H42" s="307">
        <f t="shared" si="13"/>
        <v>-0.12289841414751228</v>
      </c>
      <c r="I42" s="313">
        <v>33956.5</v>
      </c>
      <c r="J42" s="129">
        <v>365917.7</v>
      </c>
      <c r="K42" s="307">
        <f t="shared" si="12"/>
        <v>0.38016255975638436</v>
      </c>
    </row>
    <row r="43" spans="1:11" ht="11.1" customHeight="1">
      <c r="A43" s="442"/>
      <c r="B43" s="442"/>
      <c r="C43" s="154" t="s">
        <v>93</v>
      </c>
      <c r="D43" s="313">
        <v>28</v>
      </c>
      <c r="E43" s="129">
        <v>1005.343</v>
      </c>
      <c r="F43" s="129">
        <v>10963.25368</v>
      </c>
      <c r="G43" s="307">
        <f>E43/$E$44</f>
        <v>1.296776706743389E-2</v>
      </c>
      <c r="H43" s="307">
        <f t="shared" si="13"/>
        <v>-2.415674169845574E-2</v>
      </c>
      <c r="I43" s="313">
        <v>1030.23</v>
      </c>
      <c r="J43" s="129">
        <v>11101.856380000001</v>
      </c>
      <c r="K43" s="307">
        <f t="shared" si="12"/>
        <v>1.1534017756182759E-2</v>
      </c>
    </row>
    <row r="44" spans="1:11" ht="11.1" customHeight="1">
      <c r="A44" s="443"/>
      <c r="B44" s="443"/>
      <c r="C44" s="318" t="s">
        <v>0</v>
      </c>
      <c r="D44" s="321">
        <v>376088</v>
      </c>
      <c r="E44" s="319">
        <v>77526.3</v>
      </c>
      <c r="F44" s="319">
        <v>845423.80909999995</v>
      </c>
      <c r="G44" s="320">
        <f>SUM(G39:G43)</f>
        <v>0.99999999999999989</v>
      </c>
      <c r="H44" s="320">
        <f>(E44-I44)/I44</f>
        <v>-0.13204845445080088</v>
      </c>
      <c r="I44" s="321">
        <v>89320.999999999985</v>
      </c>
      <c r="J44" s="319">
        <v>962530.33163999999</v>
      </c>
      <c r="K44" s="320">
        <f>SUM(K39:K43)</f>
        <v>1.0000000000000002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189</v>
      </c>
      <c r="E45" s="308">
        <v>18496.254999999997</v>
      </c>
      <c r="F45" s="308">
        <v>202482.48953999998</v>
      </c>
      <c r="G45" s="309">
        <f>E45/$E$50</f>
        <v>0.4590575501714988</v>
      </c>
      <c r="H45" s="309">
        <f>(E45-I45)/I45</f>
        <v>-2.6995300224835945E-2</v>
      </c>
      <c r="I45" s="312">
        <v>19009.419999999998</v>
      </c>
      <c r="J45" s="308">
        <v>204254.06030999997</v>
      </c>
      <c r="K45" s="309">
        <f>I45/$I$50</f>
        <v>0.50897003384312201</v>
      </c>
    </row>
    <row r="46" spans="1:11" ht="11.1" customHeight="1">
      <c r="A46" s="442"/>
      <c r="B46" s="442"/>
      <c r="C46" s="154" t="s">
        <v>5</v>
      </c>
      <c r="D46" s="313">
        <v>806</v>
      </c>
      <c r="E46" s="129">
        <v>4657.0919999999996</v>
      </c>
      <c r="F46" s="129">
        <v>50982.764950000055</v>
      </c>
      <c r="G46" s="307">
        <f t="shared" ref="G46:G48" si="14">E46/$E$50</f>
        <v>0.11558411388917843</v>
      </c>
      <c r="H46" s="307">
        <f>(E46-I46)/I46</f>
        <v>8.098575039633793E-2</v>
      </c>
      <c r="I46" s="313">
        <v>4308.1900000000005</v>
      </c>
      <c r="J46" s="129">
        <v>46290.666109999918</v>
      </c>
      <c r="K46" s="307">
        <f t="shared" ref="K46:K49" si="15">I46/$I$50</f>
        <v>0.1153501585057619</v>
      </c>
    </row>
    <row r="47" spans="1:11" ht="11.1" customHeight="1">
      <c r="A47" s="442"/>
      <c r="B47" s="442"/>
      <c r="C47" s="154" t="s">
        <v>6</v>
      </c>
      <c r="D47" s="313">
        <v>23832</v>
      </c>
      <c r="E47" s="129">
        <v>4530.8389999999999</v>
      </c>
      <c r="F47" s="129">
        <v>49599.784110000001</v>
      </c>
      <c r="G47" s="307">
        <f t="shared" si="14"/>
        <v>0.11245064752629566</v>
      </c>
      <c r="H47" s="307">
        <f t="shared" ref="H47:H49" si="16">(E47-I47)/I47</f>
        <v>0.10215364241761413</v>
      </c>
      <c r="I47" s="313">
        <v>4110.8959999999997</v>
      </c>
      <c r="J47" s="129">
        <v>44170.89314</v>
      </c>
      <c r="K47" s="307">
        <f t="shared" si="15"/>
        <v>0.11006768624427021</v>
      </c>
    </row>
    <row r="48" spans="1:11" ht="11.1" customHeight="1">
      <c r="A48" s="442"/>
      <c r="B48" s="442"/>
      <c r="C48" s="154" t="s">
        <v>7</v>
      </c>
      <c r="D48" s="313">
        <v>350844</v>
      </c>
      <c r="E48" s="129">
        <v>11541.5</v>
      </c>
      <c r="F48" s="129">
        <v>126346.9</v>
      </c>
      <c r="G48" s="307">
        <f t="shared" si="14"/>
        <v>0.28644786284057794</v>
      </c>
      <c r="H48" s="307">
        <f t="shared" si="16"/>
        <v>0.31381834325588798</v>
      </c>
      <c r="I48" s="313">
        <v>8784.7000000000007</v>
      </c>
      <c r="J48" s="129">
        <v>94390.5</v>
      </c>
      <c r="K48" s="307">
        <f t="shared" si="15"/>
        <v>0.23520702137685817</v>
      </c>
    </row>
    <row r="49" spans="1:11" ht="11.1" customHeight="1">
      <c r="A49" s="442"/>
      <c r="B49" s="442"/>
      <c r="C49" s="154" t="s">
        <v>93</v>
      </c>
      <c r="D49" s="313">
        <v>28</v>
      </c>
      <c r="E49" s="129">
        <v>1066.114</v>
      </c>
      <c r="F49" s="129">
        <v>11670.99352</v>
      </c>
      <c r="G49" s="307">
        <f>E49/$E$50</f>
        <v>2.6459825572448983E-2</v>
      </c>
      <c r="H49" s="307">
        <f t="shared" si="16"/>
        <v>-6.1183838590200386E-2</v>
      </c>
      <c r="I49" s="313">
        <v>1135.5940000000001</v>
      </c>
      <c r="J49" s="129">
        <v>12201.834720000001</v>
      </c>
      <c r="K49" s="307">
        <f t="shared" si="15"/>
        <v>3.0405100029987576E-2</v>
      </c>
    </row>
    <row r="50" spans="1:11" ht="11.1" customHeight="1">
      <c r="A50" s="443"/>
      <c r="B50" s="443"/>
      <c r="C50" s="318" t="s">
        <v>0</v>
      </c>
      <c r="D50" s="321">
        <v>375699</v>
      </c>
      <c r="E50" s="319">
        <v>40291.800000000003</v>
      </c>
      <c r="F50" s="319">
        <v>441082.93212000001</v>
      </c>
      <c r="G50" s="320">
        <f>SUM(G45:G49)</f>
        <v>0.99999999999999967</v>
      </c>
      <c r="H50" s="320">
        <f t="shared" ref="H50" si="17">(E50-I50)/I50</f>
        <v>7.8797712376301246E-2</v>
      </c>
      <c r="I50" s="321">
        <v>37348.800000000003</v>
      </c>
      <c r="J50" s="319">
        <v>401307.95427999989</v>
      </c>
      <c r="K50" s="320">
        <f>SUM(K45:K49)</f>
        <v>0.99999999999999989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189</v>
      </c>
      <c r="E51" s="308">
        <v>14916.17</v>
      </c>
      <c r="F51" s="308">
        <v>163329.84344000008</v>
      </c>
      <c r="G51" s="309">
        <f>E51/$E$56</f>
        <v>0.56973915899880445</v>
      </c>
      <c r="H51" s="309">
        <f>(E51-I51)/I51</f>
        <v>-0.12945335184361936</v>
      </c>
      <c r="I51" s="312">
        <v>17134.256999999998</v>
      </c>
      <c r="J51" s="308">
        <v>185593.52324999997</v>
      </c>
      <c r="K51" s="309">
        <f>I51/$I$56</f>
        <v>0.58783242189912244</v>
      </c>
    </row>
    <row r="52" spans="1:11" ht="11.1" customHeight="1">
      <c r="A52" s="442"/>
      <c r="B52" s="442"/>
      <c r="C52" s="154" t="s">
        <v>5</v>
      </c>
      <c r="D52" s="313">
        <v>807</v>
      </c>
      <c r="E52" s="129">
        <v>2992.5619999999999</v>
      </c>
      <c r="F52" s="129">
        <v>32767.679450000003</v>
      </c>
      <c r="G52" s="307">
        <f t="shared" ref="G52:G55" si="18">E52/$E$56</f>
        <v>0.11430412479421863</v>
      </c>
      <c r="H52" s="307">
        <f t="shared" ref="H52:H55" si="19">(E52-I52)/I52</f>
        <v>-6.4233087282026383E-2</v>
      </c>
      <c r="I52" s="313">
        <v>3197.9780000000001</v>
      </c>
      <c r="J52" s="129">
        <v>34640.189190000019</v>
      </c>
      <c r="K52" s="307">
        <f t="shared" ref="K52:K55" si="20">I52/$I$56</f>
        <v>0.10971442490445381</v>
      </c>
    </row>
    <row r="53" spans="1:11" ht="11.1" customHeight="1">
      <c r="A53" s="442"/>
      <c r="B53" s="442"/>
      <c r="C53" s="154" t="s">
        <v>6</v>
      </c>
      <c r="D53" s="313">
        <v>23805</v>
      </c>
      <c r="E53" s="129">
        <v>2010.069</v>
      </c>
      <c r="F53" s="129">
        <v>22009.55169</v>
      </c>
      <c r="G53" s="307">
        <f t="shared" si="18"/>
        <v>7.6776747756935451E-2</v>
      </c>
      <c r="H53" s="307">
        <f t="shared" si="19"/>
        <v>-0.20887345873373722</v>
      </c>
      <c r="I53" s="313">
        <v>2540.768</v>
      </c>
      <c r="J53" s="129">
        <v>27520.718089999998</v>
      </c>
      <c r="K53" s="307">
        <f t="shared" si="20"/>
        <v>8.7167235026519657E-2</v>
      </c>
    </row>
    <row r="54" spans="1:11" ht="11.1" customHeight="1">
      <c r="A54" s="442"/>
      <c r="B54" s="442"/>
      <c r="C54" s="154" t="s">
        <v>7</v>
      </c>
      <c r="D54" s="313">
        <v>350452</v>
      </c>
      <c r="E54" s="129">
        <v>5163.7</v>
      </c>
      <c r="F54" s="129">
        <v>56541.2</v>
      </c>
      <c r="G54" s="307">
        <f t="shared" si="18"/>
        <v>0.19723307627374362</v>
      </c>
      <c r="H54" s="307">
        <f t="shared" si="19"/>
        <v>1.9209127245914928E-3</v>
      </c>
      <c r="I54" s="313">
        <v>5153.8</v>
      </c>
      <c r="J54" s="129">
        <v>55824.5</v>
      </c>
      <c r="K54" s="307">
        <f t="shared" si="20"/>
        <v>0.17681366259323048</v>
      </c>
    </row>
    <row r="55" spans="1:11" ht="11.1" customHeight="1">
      <c r="A55" s="442"/>
      <c r="B55" s="442"/>
      <c r="C55" s="154" t="s">
        <v>93</v>
      </c>
      <c r="D55" s="313">
        <v>29</v>
      </c>
      <c r="E55" s="129">
        <v>1098.1990000000001</v>
      </c>
      <c r="F55" s="129">
        <v>12025.095710000001</v>
      </c>
      <c r="G55" s="307">
        <f t="shared" si="18"/>
        <v>4.1946892176297809E-2</v>
      </c>
      <c r="H55" s="307">
        <f t="shared" si="19"/>
        <v>-2.0686697039496153E-2</v>
      </c>
      <c r="I55" s="313">
        <v>1121.3969999999999</v>
      </c>
      <c r="J55" s="129">
        <v>12146.670820000001</v>
      </c>
      <c r="K55" s="307">
        <f t="shared" si="20"/>
        <v>3.8472255576673692E-2</v>
      </c>
    </row>
    <row r="56" spans="1:11" ht="11.1" customHeight="1">
      <c r="A56" s="443"/>
      <c r="B56" s="443"/>
      <c r="C56" s="318" t="s">
        <v>0</v>
      </c>
      <c r="D56" s="321">
        <v>375282</v>
      </c>
      <c r="E56" s="319">
        <v>26180.7</v>
      </c>
      <c r="F56" s="319">
        <v>286673.37029000011</v>
      </c>
      <c r="G56" s="320">
        <f>SUM(G51:G55)</f>
        <v>0.99999999999999989</v>
      </c>
      <c r="H56" s="320">
        <f t="shared" ref="H56" si="21">(E56-I56)/I56</f>
        <v>-0.10180731571760852</v>
      </c>
      <c r="I56" s="321">
        <v>29148.199999999997</v>
      </c>
      <c r="J56" s="319">
        <v>315725.60135000001</v>
      </c>
      <c r="K56" s="320">
        <f>SUM(K51:K55)</f>
        <v>1.0000000000000002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189</v>
      </c>
      <c r="E57" s="308">
        <f>E39+E45+E51</f>
        <v>60719.067999999999</v>
      </c>
      <c r="F57" s="308">
        <f>F39+F45+F51</f>
        <v>663590.78711999999</v>
      </c>
      <c r="G57" s="309">
        <f>E57/$E$62</f>
        <v>0.42166370830868038</v>
      </c>
      <c r="H57" s="309">
        <f>(E57-I57)/I57</f>
        <v>-0.11308851522705929</v>
      </c>
      <c r="I57" s="312">
        <f>I39+I45+I51</f>
        <v>68461.248999999996</v>
      </c>
      <c r="J57" s="308">
        <f>J39+J45+J51</f>
        <v>738103.89341999998</v>
      </c>
      <c r="K57" s="309">
        <f>I57/$I$62</f>
        <v>0.43936675480368126</v>
      </c>
    </row>
    <row r="58" spans="1:11" ht="11.1" customHeight="1">
      <c r="A58" s="442"/>
      <c r="B58" s="442"/>
      <c r="C58" s="154" t="s">
        <v>5</v>
      </c>
      <c r="D58" s="313">
        <f>D52</f>
        <v>807</v>
      </c>
      <c r="E58" s="129">
        <f t="shared" ref="E58:F58" si="22">E40+E46+E52</f>
        <v>15430.162999999999</v>
      </c>
      <c r="F58" s="129">
        <f t="shared" si="22"/>
        <v>168597.15377999999</v>
      </c>
      <c r="G58" s="307">
        <f t="shared" ref="G58:G61" si="23">E58/$E$62</f>
        <v>0.10715480267891121</v>
      </c>
      <c r="H58" s="307">
        <f t="shared" ref="H58:H61" si="24">(E58-I58)/I58</f>
        <v>-4.7378497281692883E-2</v>
      </c>
      <c r="I58" s="313">
        <f t="shared" ref="I58:J59" si="25">I40+I46+I52</f>
        <v>16197.580000000002</v>
      </c>
      <c r="J58" s="129">
        <f t="shared" si="25"/>
        <v>174590.51191999984</v>
      </c>
      <c r="K58" s="307">
        <f t="shared" ref="K58:K61" si="26">I58/$I$62</f>
        <v>0.10395191826361527</v>
      </c>
    </row>
    <row r="59" spans="1:11" ht="11.1" customHeight="1">
      <c r="A59" s="442"/>
      <c r="B59" s="442"/>
      <c r="C59" s="154" t="s">
        <v>6</v>
      </c>
      <c r="D59" s="313">
        <f>D53</f>
        <v>23805</v>
      </c>
      <c r="E59" s="129">
        <f>E41+E47+E53</f>
        <v>18191.413</v>
      </c>
      <c r="F59" s="129">
        <f t="shared" ref="F59" si="27">F41+F47+F53</f>
        <v>198658.32769999999</v>
      </c>
      <c r="G59" s="307">
        <f t="shared" si="23"/>
        <v>0.12633030969702527</v>
      </c>
      <c r="H59" s="307">
        <f t="shared" si="24"/>
        <v>-8.9379860288983065E-2</v>
      </c>
      <c r="I59" s="313">
        <f>I41+I47+I53</f>
        <v>19976.95</v>
      </c>
      <c r="J59" s="129">
        <f t="shared" si="25"/>
        <v>215286.42001</v>
      </c>
      <c r="K59" s="307">
        <f t="shared" si="26"/>
        <v>0.12820694656586534</v>
      </c>
    </row>
    <row r="60" spans="1:11" ht="11.1" customHeight="1">
      <c r="A60" s="442"/>
      <c r="B60" s="442"/>
      <c r="C60" s="154" t="s">
        <v>7</v>
      </c>
      <c r="D60" s="313">
        <f>D54</f>
        <v>350452</v>
      </c>
      <c r="E60" s="129">
        <f t="shared" ref="E60:F60" si="28">E42+E48+E54</f>
        <v>46488.5</v>
      </c>
      <c r="F60" s="129">
        <f t="shared" si="28"/>
        <v>507674.50000000006</v>
      </c>
      <c r="G60" s="307">
        <f t="shared" si="23"/>
        <v>0.32283949588468797</v>
      </c>
      <c r="H60" s="307">
        <f t="shared" si="24"/>
        <v>-2.9366322163065037E-2</v>
      </c>
      <c r="I60" s="313">
        <f t="shared" ref="I60:J61" si="29">I42+I48+I54</f>
        <v>47895</v>
      </c>
      <c r="J60" s="129">
        <f t="shared" si="29"/>
        <v>516132.7</v>
      </c>
      <c r="K60" s="307">
        <f t="shared" si="26"/>
        <v>0.3073778382471859</v>
      </c>
    </row>
    <row r="61" spans="1:11" ht="11.1" customHeight="1">
      <c r="A61" s="442"/>
      <c r="B61" s="442"/>
      <c r="C61" s="154" t="s">
        <v>93</v>
      </c>
      <c r="D61" s="313">
        <f>D55</f>
        <v>29</v>
      </c>
      <c r="E61" s="129">
        <f>E43+E49+E55</f>
        <v>3169.6559999999999</v>
      </c>
      <c r="F61" s="129">
        <f t="shared" ref="F61" si="30">F43+F49+F55</f>
        <v>34659.342909999999</v>
      </c>
      <c r="G61" s="307">
        <f t="shared" si="23"/>
        <v>2.2011683430695258E-2</v>
      </c>
      <c r="H61" s="307">
        <f t="shared" si="24"/>
        <v>-3.5764251931951048E-2</v>
      </c>
      <c r="I61" s="313">
        <f>I43+I49+I55</f>
        <v>3287.221</v>
      </c>
      <c r="J61" s="129">
        <f t="shared" si="29"/>
        <v>35450.361920000003</v>
      </c>
      <c r="K61" s="307">
        <f t="shared" si="26"/>
        <v>2.1096542119652419E-2</v>
      </c>
    </row>
    <row r="62" spans="1:11" ht="11.1" customHeight="1">
      <c r="A62" s="443"/>
      <c r="B62" s="443"/>
      <c r="C62" s="318" t="s">
        <v>0</v>
      </c>
      <c r="D62" s="321">
        <f>SUM(D57:D61)</f>
        <v>375282</v>
      </c>
      <c r="E62" s="319">
        <f>SUM(E57:E61)</f>
        <v>143998.79999999999</v>
      </c>
      <c r="F62" s="319">
        <f>SUM(F57:F61)</f>
        <v>1573180.11151</v>
      </c>
      <c r="G62" s="320">
        <f>SUM(G57:G61)</f>
        <v>1</v>
      </c>
      <c r="H62" s="320">
        <f>(E62-I62)/I62</f>
        <v>-7.5852597260906859E-2</v>
      </c>
      <c r="I62" s="321">
        <f>SUM(I57:I61)</f>
        <v>155817.99999999997</v>
      </c>
      <c r="J62" s="319">
        <f>SUM(J57:J61)</f>
        <v>1679563.8872699998</v>
      </c>
      <c r="K62" s="320">
        <f>SUM(K57:K61)</f>
        <v>1.0000000000000002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304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37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55</v>
      </c>
      <c r="E9" s="308">
        <v>7551.2929999999997</v>
      </c>
      <c r="F9" s="308">
        <v>82346.639729999995</v>
      </c>
      <c r="G9" s="309">
        <f>E9/$E$14</f>
        <v>0.47126952625239493</v>
      </c>
      <c r="H9" s="309">
        <f>(E9-I9)/I9</f>
        <v>-2.0086983208724062E-2</v>
      </c>
      <c r="I9" s="312">
        <v>7706.085</v>
      </c>
      <c r="J9" s="308">
        <v>83041.83762000002</v>
      </c>
      <c r="K9" s="309">
        <f>I9/$I$14</f>
        <v>0.4423852141864818</v>
      </c>
    </row>
    <row r="10" spans="1:16" ht="11.1" customHeight="1">
      <c r="A10" s="442"/>
      <c r="B10" s="442"/>
      <c r="C10" s="154" t="s">
        <v>5</v>
      </c>
      <c r="D10" s="313">
        <v>159</v>
      </c>
      <c r="E10" s="129">
        <v>1464.433</v>
      </c>
      <c r="F10" s="129">
        <v>15969.809899999995</v>
      </c>
      <c r="G10" s="307">
        <f>E10/$E$14</f>
        <v>9.1393970031142149E-2</v>
      </c>
      <c r="H10" s="307">
        <f>(E10-I10)/I10</f>
        <v>-0.16303335846157982</v>
      </c>
      <c r="I10" s="313">
        <v>1749.691</v>
      </c>
      <c r="J10" s="129">
        <v>18854.321089999998</v>
      </c>
      <c r="K10" s="307">
        <f>I10/$I$14</f>
        <v>0.10044496366120534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5829</v>
      </c>
      <c r="E11" s="129">
        <v>2899.5729999999999</v>
      </c>
      <c r="F11" s="129">
        <v>31619.496669999997</v>
      </c>
      <c r="G11" s="307">
        <f>E11/$E$14</f>
        <v>0.18095978980609487</v>
      </c>
      <c r="H11" s="307">
        <f t="shared" ref="H11:H13" si="0">(E11-I11)/I11</f>
        <v>-0.12655571286562037</v>
      </c>
      <c r="I11" s="313">
        <v>3319.7</v>
      </c>
      <c r="J11" s="129">
        <v>35773.300000000003</v>
      </c>
      <c r="K11" s="307">
        <f>I11/$I$14</f>
        <v>0.19057487628735778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76637</v>
      </c>
      <c r="E12" s="129">
        <v>3940.6</v>
      </c>
      <c r="F12" s="129">
        <v>42972.5</v>
      </c>
      <c r="G12" s="307">
        <f>E12/$E$14</f>
        <v>0.24592936536169205</v>
      </c>
      <c r="H12" s="307">
        <f t="shared" si="0"/>
        <v>-0.12290776353276359</v>
      </c>
      <c r="I12" s="313">
        <v>4492.8</v>
      </c>
      <c r="J12" s="129">
        <v>48414.6</v>
      </c>
      <c r="K12" s="307">
        <f>I12/$I$14</f>
        <v>0.25791933132025219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8</v>
      </c>
      <c r="E13" s="129">
        <v>167.40100000000001</v>
      </c>
      <c r="F13" s="129">
        <v>1825.5058100000001</v>
      </c>
      <c r="G13" s="307">
        <f>E13/$E$14</f>
        <v>1.0447348548675992E-2</v>
      </c>
      <c r="H13" s="307">
        <f t="shared" si="0"/>
        <v>0.1077062544665309</v>
      </c>
      <c r="I13" s="313">
        <v>151.124</v>
      </c>
      <c r="J13" s="129">
        <v>1628.5251700000001</v>
      </c>
      <c r="K13" s="307">
        <f>I13/$I$14</f>
        <v>8.6756145447030326E-3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82688</v>
      </c>
      <c r="E14" s="319">
        <v>16023.3</v>
      </c>
      <c r="F14" s="319">
        <v>174733.95210999998</v>
      </c>
      <c r="G14" s="320">
        <f>SUM(G9:G13)</f>
        <v>1</v>
      </c>
      <c r="H14" s="320">
        <f>(E14-I14)/I14</f>
        <v>-8.0146273694845907E-2</v>
      </c>
      <c r="I14" s="321">
        <v>17419.399999999998</v>
      </c>
      <c r="J14" s="319">
        <v>187712.58388000005</v>
      </c>
      <c r="K14" s="320">
        <f>SUM(K9:K13)</f>
        <v>1.0000000000000002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55</v>
      </c>
      <c r="E15" s="308">
        <v>6917.6239999999998</v>
      </c>
      <c r="F15" s="308">
        <v>75728.810599999983</v>
      </c>
      <c r="G15" s="309">
        <f>E15/$E$20</f>
        <v>0.64943239640248596</v>
      </c>
      <c r="H15" s="309">
        <f>(E15-I15)/I15</f>
        <v>-2.1187757349598707E-4</v>
      </c>
      <c r="I15" s="312">
        <v>6919.09</v>
      </c>
      <c r="J15" s="308">
        <v>74345.231879999992</v>
      </c>
      <c r="K15" s="309">
        <f>I15/$I$20</f>
        <v>0.68325894179685198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159</v>
      </c>
      <c r="E16" s="129">
        <v>895.80199999999991</v>
      </c>
      <c r="F16" s="129">
        <v>9807.0435399999969</v>
      </c>
      <c r="G16" s="307">
        <f>E16/$E$20</f>
        <v>8.4098649993428337E-2</v>
      </c>
      <c r="H16" s="307">
        <f>(E16-I16)/I16</f>
        <v>3.1286192216212649E-2</v>
      </c>
      <c r="I16" s="313">
        <v>868.62599999999998</v>
      </c>
      <c r="J16" s="129">
        <v>9333.3237300000001</v>
      </c>
      <c r="K16" s="307">
        <f>I16/$I$20</f>
        <v>8.5776667390832076E-2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5824</v>
      </c>
      <c r="E17" s="129">
        <v>1126.47</v>
      </c>
      <c r="F17" s="129">
        <v>12331.356979999999</v>
      </c>
      <c r="G17" s="307">
        <f>E17/$E$20</f>
        <v>0.10575395707767703</v>
      </c>
      <c r="H17" s="307">
        <f t="shared" ref="H17:H20" si="1">(E17-I17)/I17</f>
        <v>9.9746168114810185E-2</v>
      </c>
      <c r="I17" s="313">
        <v>1024.3</v>
      </c>
      <c r="J17" s="129">
        <v>11006.2</v>
      </c>
      <c r="K17" s="307">
        <f>I17/$I$20</f>
        <v>0.10114944798846603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76555</v>
      </c>
      <c r="E18" s="129">
        <v>1527.1</v>
      </c>
      <c r="F18" s="129">
        <v>16717</v>
      </c>
      <c r="G18" s="307">
        <f>E18/$E$20</f>
        <v>0.14336544058281231</v>
      </c>
      <c r="H18" s="307">
        <f t="shared" si="1"/>
        <v>0.31386044910952421</v>
      </c>
      <c r="I18" s="313">
        <v>1162.3</v>
      </c>
      <c r="J18" s="129">
        <v>12488.8</v>
      </c>
      <c r="K18" s="307">
        <f>I18/$I$20</f>
        <v>0.11477692414038276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8</v>
      </c>
      <c r="E19" s="129">
        <v>184.804</v>
      </c>
      <c r="F19" s="129">
        <v>2023.0901299999998</v>
      </c>
      <c r="G19" s="307">
        <f>E19/$E$20</f>
        <v>1.7349555943596388E-2</v>
      </c>
      <c r="H19" s="307">
        <f t="shared" si="1"/>
        <v>0.21354837015050834</v>
      </c>
      <c r="I19" s="313">
        <v>152.28399999999999</v>
      </c>
      <c r="J19" s="129">
        <v>1636.2799499999999</v>
      </c>
      <c r="K19" s="307">
        <f>I19/$I$20</f>
        <v>1.5038018683467306E-2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82601</v>
      </c>
      <c r="E20" s="319">
        <v>10651.8</v>
      </c>
      <c r="F20" s="319">
        <v>116607.30124999997</v>
      </c>
      <c r="G20" s="320">
        <f>SUM(G15:G19)</f>
        <v>1</v>
      </c>
      <c r="H20" s="320">
        <f t="shared" si="1"/>
        <v>5.186340923903391E-2</v>
      </c>
      <c r="I20" s="321">
        <v>10126.599999999999</v>
      </c>
      <c r="J20" s="319">
        <v>108809.83555999999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55</v>
      </c>
      <c r="E21" s="308">
        <v>7341.6909999999998</v>
      </c>
      <c r="F21" s="308">
        <v>80390.487430000023</v>
      </c>
      <c r="G21" s="309">
        <f>E21/$E$26</f>
        <v>0.77001321516597598</v>
      </c>
      <c r="H21" s="309">
        <f>(E21-I21)/I21</f>
        <v>4.4535329387492592E-2</v>
      </c>
      <c r="I21" s="312">
        <v>7028.6670000000004</v>
      </c>
      <c r="J21" s="308">
        <v>76133.163310000004</v>
      </c>
      <c r="K21" s="309">
        <f>I21/$I$26</f>
        <v>0.7713807370662219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160</v>
      </c>
      <c r="E22" s="129">
        <v>829.70699999999999</v>
      </c>
      <c r="F22" s="129">
        <v>9084.9851500000022</v>
      </c>
      <c r="G22" s="307">
        <f>E22/$E$26</f>
        <v>8.7021553306413535E-2</v>
      </c>
      <c r="H22" s="307">
        <f t="shared" ref="H22:H26" si="2">(E22-I22)/I22</f>
        <v>0.36422783744500059</v>
      </c>
      <c r="I22" s="313">
        <v>608.18799999999999</v>
      </c>
      <c r="J22" s="129">
        <v>6587.4803700000029</v>
      </c>
      <c r="K22" s="307">
        <f>I22/$I$26</f>
        <v>6.6747294716740929E-2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5817</v>
      </c>
      <c r="E23" s="129">
        <v>499.86400000000003</v>
      </c>
      <c r="F23" s="129">
        <v>5473.1606999999995</v>
      </c>
      <c r="G23" s="307">
        <f>E23/$E$26</f>
        <v>5.2426870837484915E-2</v>
      </c>
      <c r="H23" s="307">
        <f t="shared" si="2"/>
        <v>-0.2121922773837667</v>
      </c>
      <c r="I23" s="313">
        <v>634.5</v>
      </c>
      <c r="J23" s="129">
        <v>6872.6</v>
      </c>
      <c r="K23" s="307">
        <f>I23/$I$26</f>
        <v>6.9634978818674698E-2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76468</v>
      </c>
      <c r="E24" s="129">
        <v>683.2</v>
      </c>
      <c r="F24" s="129">
        <v>7481</v>
      </c>
      <c r="G24" s="307">
        <f>E24/$E$26</f>
        <v>7.1655566626461789E-2</v>
      </c>
      <c r="H24" s="307">
        <f t="shared" si="2"/>
        <v>1.9064378941194724E-3</v>
      </c>
      <c r="I24" s="313">
        <v>681.9</v>
      </c>
      <c r="J24" s="129">
        <v>7386.1</v>
      </c>
      <c r="K24" s="307">
        <f>I24/$I$26</f>
        <v>7.4837024517658418E-2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8</v>
      </c>
      <c r="E25" s="129">
        <v>180.03800000000001</v>
      </c>
      <c r="F25" s="129">
        <v>1971.3911900000003</v>
      </c>
      <c r="G25" s="307">
        <f>E25/$E$26</f>
        <v>1.8882794063663534E-2</v>
      </c>
      <c r="H25" s="307">
        <f t="shared" si="2"/>
        <v>0.13556403544734949</v>
      </c>
      <c r="I25" s="313">
        <v>158.54499999999999</v>
      </c>
      <c r="J25" s="129">
        <v>1717.3151200000002</v>
      </c>
      <c r="K25" s="307">
        <f>I25/$I$26</f>
        <v>1.7399964880704142E-2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82508</v>
      </c>
      <c r="E26" s="319">
        <v>9534.5000000000018</v>
      </c>
      <c r="F26" s="319">
        <v>104401.02447000002</v>
      </c>
      <c r="G26" s="320">
        <f>SUM(G21:G25)</f>
        <v>0.99999999999999978</v>
      </c>
      <c r="H26" s="320">
        <f t="shared" si="2"/>
        <v>4.6390394872583091E-2</v>
      </c>
      <c r="I26" s="321">
        <v>9111.7999999999993</v>
      </c>
      <c r="J26" s="319">
        <v>98696.658800000019</v>
      </c>
      <c r="K26" s="320">
        <f>SUM(K21:K25)</f>
        <v>1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55</v>
      </c>
      <c r="E27" s="308">
        <f>E9+E15+E21</f>
        <v>21810.608</v>
      </c>
      <c r="F27" s="308">
        <f>F9+F15+F21</f>
        <v>238465.93776</v>
      </c>
      <c r="G27" s="309">
        <f>E27/$E$32</f>
        <v>0.60234324599001376</v>
      </c>
      <c r="H27" s="309">
        <f>(E27-I27)/I27</f>
        <v>7.2396390441936175E-3</v>
      </c>
      <c r="I27" s="312">
        <f>I9+I15+I21</f>
        <v>21653.842000000001</v>
      </c>
      <c r="J27" s="308">
        <f>J9+J15+J21</f>
        <v>233520.23281000002</v>
      </c>
      <c r="K27" s="309">
        <f>I27/$I$32</f>
        <v>0.59070216979742374</v>
      </c>
    </row>
    <row r="28" spans="1:20" ht="11.1" customHeight="1">
      <c r="A28" s="442"/>
      <c r="B28" s="442"/>
      <c r="C28" s="154" t="s">
        <v>5</v>
      </c>
      <c r="D28" s="313">
        <f>D22</f>
        <v>160</v>
      </c>
      <c r="E28" s="129">
        <f t="shared" ref="E28:F31" si="3">E10+E16+E22</f>
        <v>3189.9419999999996</v>
      </c>
      <c r="F28" s="129">
        <f t="shared" si="3"/>
        <v>34861.838589999992</v>
      </c>
      <c r="G28" s="307">
        <f>E28/$E$32</f>
        <v>8.809658212186823E-2</v>
      </c>
      <c r="H28" s="307">
        <f t="shared" ref="H28:H31" si="4">(E28-I28)/I28</f>
        <v>-1.1332076038933941E-2</v>
      </c>
      <c r="I28" s="313">
        <f t="shared" ref="I28:J28" si="5">I10+I16+I22</f>
        <v>3226.5050000000001</v>
      </c>
      <c r="J28" s="129">
        <f t="shared" si="5"/>
        <v>34775.125189999999</v>
      </c>
      <c r="K28" s="307">
        <f>I28/$I$32</f>
        <v>8.8016874989770247E-2</v>
      </c>
    </row>
    <row r="29" spans="1:20" ht="11.1" customHeight="1">
      <c r="A29" s="442"/>
      <c r="B29" s="442"/>
      <c r="C29" s="154" t="s">
        <v>6</v>
      </c>
      <c r="D29" s="313">
        <f>D23</f>
        <v>5817</v>
      </c>
      <c r="E29" s="129">
        <f t="shared" si="3"/>
        <v>4525.9069999999992</v>
      </c>
      <c r="F29" s="129">
        <f t="shared" si="3"/>
        <v>49424.014349999998</v>
      </c>
      <c r="G29" s="307">
        <f>E29/$E$32</f>
        <v>0.1249919082232336</v>
      </c>
      <c r="H29" s="307">
        <f t="shared" si="4"/>
        <v>-9.090951089685663E-2</v>
      </c>
      <c r="I29" s="313">
        <f t="shared" ref="I29:J29" si="6">I11+I17+I23</f>
        <v>4978.5</v>
      </c>
      <c r="J29" s="129">
        <f t="shared" si="6"/>
        <v>53652.1</v>
      </c>
      <c r="K29" s="307">
        <f>I29/$I$32</f>
        <v>0.13581011408213259</v>
      </c>
    </row>
    <row r="30" spans="1:20" ht="11.1" customHeight="1">
      <c r="A30" s="442"/>
      <c r="B30" s="442"/>
      <c r="C30" s="154" t="s">
        <v>7</v>
      </c>
      <c r="D30" s="313">
        <f>D24</f>
        <v>76468</v>
      </c>
      <c r="E30" s="129">
        <f t="shared" si="3"/>
        <v>6150.9</v>
      </c>
      <c r="F30" s="129">
        <f t="shared" si="3"/>
        <v>67170.5</v>
      </c>
      <c r="G30" s="307">
        <f>E30/$E$32</f>
        <v>0.16986931642437364</v>
      </c>
      <c r="H30" s="307">
        <f t="shared" si="4"/>
        <v>-2.9367208458261063E-2</v>
      </c>
      <c r="I30" s="313">
        <f t="shared" ref="I30:J30" si="7">I12+I18+I24</f>
        <v>6337</v>
      </c>
      <c r="J30" s="129">
        <f t="shared" si="7"/>
        <v>68289.5</v>
      </c>
      <c r="K30" s="307">
        <f>I30/$I$32</f>
        <v>0.17286907561282999</v>
      </c>
    </row>
    <row r="31" spans="1:20" ht="11.1" customHeight="1">
      <c r="A31" s="442"/>
      <c r="B31" s="442"/>
      <c r="C31" s="154" t="s">
        <v>93</v>
      </c>
      <c r="D31" s="313">
        <f>D25</f>
        <v>8</v>
      </c>
      <c r="E31" s="129">
        <f>E13+E19+E25</f>
        <v>532.24300000000005</v>
      </c>
      <c r="F31" s="129">
        <f t="shared" si="3"/>
        <v>5819.9871300000004</v>
      </c>
      <c r="G31" s="307">
        <f>E31/$E$32</f>
        <v>1.4698947240510806E-2</v>
      </c>
      <c r="H31" s="307">
        <f t="shared" si="4"/>
        <v>0.15215833645414162</v>
      </c>
      <c r="I31" s="313">
        <f>I13+I19+I25</f>
        <v>461.95299999999997</v>
      </c>
      <c r="J31" s="129">
        <f t="shared" ref="J31" si="8">J13+J19+J25</f>
        <v>4982.1202400000002</v>
      </c>
      <c r="K31" s="307">
        <f>I31/$I$32</f>
        <v>1.2601765517843404E-2</v>
      </c>
    </row>
    <row r="32" spans="1:20" ht="11.1" customHeight="1">
      <c r="A32" s="443"/>
      <c r="B32" s="443"/>
      <c r="C32" s="318" t="s">
        <v>0</v>
      </c>
      <c r="D32" s="321">
        <f>SUM(D27:D31)</f>
        <v>82508</v>
      </c>
      <c r="E32" s="319">
        <f>SUM(E27:E31)</f>
        <v>36209.599999999999</v>
      </c>
      <c r="F32" s="319">
        <f>SUM(F27:F31)</f>
        <v>395742.27783000004</v>
      </c>
      <c r="G32" s="320">
        <f>SUM(G27:G31)</f>
        <v>1</v>
      </c>
      <c r="H32" s="320">
        <f>(E32-I32)/I32</f>
        <v>-1.2226592976119798E-2</v>
      </c>
      <c r="I32" s="321">
        <f>SUM(I27:I31)</f>
        <v>36657.800000000003</v>
      </c>
      <c r="J32" s="319">
        <f>SUM(J27:J31)</f>
        <v>395219.07824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38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77</v>
      </c>
      <c r="E39" s="308">
        <v>9582.3429999999989</v>
      </c>
      <c r="F39" s="308">
        <v>104495.61303000001</v>
      </c>
      <c r="G39" s="309">
        <f>E39/$E$44</f>
        <v>0.38535769581880547</v>
      </c>
      <c r="H39" s="309">
        <f>(E39-I39)/I39</f>
        <v>-0.1059355654722474</v>
      </c>
      <c r="I39" s="312">
        <v>10717.732</v>
      </c>
      <c r="J39" s="308">
        <v>115495.24583000004</v>
      </c>
      <c r="K39" s="309">
        <f>I39/$I$44</f>
        <v>0.37814254615761861</v>
      </c>
    </row>
    <row r="40" spans="1:11" ht="11.1" customHeight="1">
      <c r="A40" s="442"/>
      <c r="B40" s="442"/>
      <c r="C40" s="154" t="s">
        <v>5</v>
      </c>
      <c r="D40" s="313">
        <v>243</v>
      </c>
      <c r="E40" s="129">
        <v>2307.9960000000001</v>
      </c>
      <c r="F40" s="129">
        <v>25168.748599999981</v>
      </c>
      <c r="G40" s="307">
        <f t="shared" ref="G40" si="9">E40/$E$44</f>
        <v>9.2816967678888126E-2</v>
      </c>
      <c r="H40" s="307">
        <f>(E40-I40)/I40</f>
        <v>-0.18268160223013571</v>
      </c>
      <c r="I40" s="313">
        <v>2823.864</v>
      </c>
      <c r="J40" s="129">
        <v>30429.667170000019</v>
      </c>
      <c r="K40" s="307">
        <f t="shared" ref="K40:K43" si="10">I40/$I$44</f>
        <v>9.9631444690242071E-2</v>
      </c>
    </row>
    <row r="41" spans="1:11" ht="11.1" customHeight="1">
      <c r="A41" s="442"/>
      <c r="B41" s="442"/>
      <c r="C41" s="154" t="s">
        <v>6</v>
      </c>
      <c r="D41" s="313">
        <v>9834</v>
      </c>
      <c r="E41" s="129">
        <v>4597.1850000000004</v>
      </c>
      <c r="F41" s="129">
        <v>50132.187460000001</v>
      </c>
      <c r="G41" s="307">
        <f>E41/$E$44</f>
        <v>0.18487760444943116</v>
      </c>
      <c r="H41" s="307">
        <f t="shared" ref="H41:H43" si="11">(E41-I41)/I41</f>
        <v>-0.12137932352561731</v>
      </c>
      <c r="I41" s="313">
        <v>5232.2749999999996</v>
      </c>
      <c r="J41" s="129">
        <v>56383.062170000005</v>
      </c>
      <c r="K41" s="307">
        <f t="shared" si="10"/>
        <v>0.18460489501854066</v>
      </c>
    </row>
    <row r="42" spans="1:11" ht="11.1" customHeight="1">
      <c r="A42" s="442"/>
      <c r="B42" s="442"/>
      <c r="C42" s="154" t="s">
        <v>7</v>
      </c>
      <c r="D42" s="313">
        <v>105805</v>
      </c>
      <c r="E42" s="129">
        <v>8244.7999999999993</v>
      </c>
      <c r="F42" s="129">
        <v>89909.1</v>
      </c>
      <c r="G42" s="307">
        <f>E42/$E$44</f>
        <v>0.33156787755216938</v>
      </c>
      <c r="H42" s="307">
        <f t="shared" si="11"/>
        <v>-0.12289361702127667</v>
      </c>
      <c r="I42" s="313">
        <v>9400</v>
      </c>
      <c r="J42" s="129">
        <v>101295.3</v>
      </c>
      <c r="K42" s="307">
        <f t="shared" si="10"/>
        <v>0.33165038404408836</v>
      </c>
    </row>
    <row r="43" spans="1:11" ht="11.1" customHeight="1">
      <c r="A43" s="442"/>
      <c r="B43" s="442"/>
      <c r="C43" s="154" t="s">
        <v>93</v>
      </c>
      <c r="D43" s="313">
        <v>16</v>
      </c>
      <c r="E43" s="129">
        <v>133.77600000000001</v>
      </c>
      <c r="F43" s="129">
        <v>1458.8330600000002</v>
      </c>
      <c r="G43" s="307">
        <f>E43/$E$44</f>
        <v>5.3798545007057797E-3</v>
      </c>
      <c r="H43" s="307">
        <f t="shared" si="11"/>
        <v>-0.20949719019789753</v>
      </c>
      <c r="I43" s="313">
        <v>169.22900000000001</v>
      </c>
      <c r="J43" s="129">
        <v>1823.6300800000001</v>
      </c>
      <c r="K43" s="307">
        <f t="shared" si="10"/>
        <v>5.9707300895103224E-3</v>
      </c>
    </row>
    <row r="44" spans="1:11" ht="11.1" customHeight="1">
      <c r="A44" s="443"/>
      <c r="B44" s="443"/>
      <c r="C44" s="318" t="s">
        <v>0</v>
      </c>
      <c r="D44" s="321">
        <v>115975</v>
      </c>
      <c r="E44" s="319">
        <v>24866.100000000002</v>
      </c>
      <c r="F44" s="319">
        <v>271164.48214999994</v>
      </c>
      <c r="G44" s="320">
        <f>SUM(G39:G43)</f>
        <v>1</v>
      </c>
      <c r="H44" s="320">
        <f>(E44-I44)/I44</f>
        <v>-0.12267536014056318</v>
      </c>
      <c r="I44" s="321">
        <v>28343.1</v>
      </c>
      <c r="J44" s="319">
        <v>305426.90525000001</v>
      </c>
      <c r="K44" s="320">
        <f>SUM(K39:K43)</f>
        <v>0.99999999999999989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77</v>
      </c>
      <c r="E45" s="308">
        <v>8007.0689999999995</v>
      </c>
      <c r="F45" s="308">
        <v>87654.757319999931</v>
      </c>
      <c r="G45" s="309">
        <f>E45/$E$50</f>
        <v>0.54634876770654228</v>
      </c>
      <c r="H45" s="309">
        <f>(E45-I45)/I45</f>
        <v>-6.165012214732743E-2</v>
      </c>
      <c r="I45" s="312">
        <v>8533.1380000000008</v>
      </c>
      <c r="J45" s="308">
        <v>91687.93316000003</v>
      </c>
      <c r="K45" s="309">
        <f>I45/$I$50</f>
        <v>0.59272309241829613</v>
      </c>
    </row>
    <row r="46" spans="1:11" ht="11.1" customHeight="1">
      <c r="A46" s="442"/>
      <c r="B46" s="442"/>
      <c r="C46" s="154" t="s">
        <v>5</v>
      </c>
      <c r="D46" s="313">
        <v>242</v>
      </c>
      <c r="E46" s="129">
        <v>1531.7749999999999</v>
      </c>
      <c r="F46" s="129">
        <v>16769.031929999986</v>
      </c>
      <c r="G46" s="307">
        <f t="shared" ref="G46:G49" si="12">E46/$E$50</f>
        <v>0.10451806817871667</v>
      </c>
      <c r="H46" s="307">
        <f>(E46-I46)/I46</f>
        <v>-8.3947164932269877E-2</v>
      </c>
      <c r="I46" s="313">
        <v>1672.1470000000002</v>
      </c>
      <c r="J46" s="129">
        <v>17966.76482</v>
      </c>
      <c r="K46" s="307">
        <f t="shared" ref="K46:K49" si="13">I46/$I$50</f>
        <v>0.11614955023790505</v>
      </c>
    </row>
    <row r="47" spans="1:11" ht="11.1" customHeight="1">
      <c r="A47" s="442"/>
      <c r="B47" s="442"/>
      <c r="C47" s="154" t="s">
        <v>6</v>
      </c>
      <c r="D47" s="313">
        <v>9825</v>
      </c>
      <c r="E47" s="129">
        <v>1776.759</v>
      </c>
      <c r="F47" s="129">
        <v>19450.500650000002</v>
      </c>
      <c r="G47" s="307">
        <f t="shared" si="12"/>
        <v>0.12123413575698028</v>
      </c>
      <c r="H47" s="307">
        <f t="shared" ref="H47:H49" si="14">(E47-I47)/I47</f>
        <v>7.7467504824094813E-2</v>
      </c>
      <c r="I47" s="313">
        <v>1649.0140000000001</v>
      </c>
      <c r="J47" s="129">
        <v>17718.634989999999</v>
      </c>
      <c r="K47" s="307">
        <f t="shared" si="13"/>
        <v>0.11454270135102282</v>
      </c>
    </row>
    <row r="48" spans="1:11" ht="11.1" customHeight="1">
      <c r="A48" s="442"/>
      <c r="B48" s="442"/>
      <c r="C48" s="154" t="s">
        <v>7</v>
      </c>
      <c r="D48" s="313">
        <v>105692</v>
      </c>
      <c r="E48" s="129">
        <v>3195</v>
      </c>
      <c r="F48" s="129">
        <v>34976</v>
      </c>
      <c r="G48" s="307">
        <f t="shared" si="12"/>
        <v>0.21800540407762223</v>
      </c>
      <c r="H48" s="307">
        <f t="shared" si="14"/>
        <v>0.31384159881569196</v>
      </c>
      <c r="I48" s="313">
        <v>2431.8000000000002</v>
      </c>
      <c r="J48" s="129">
        <v>26129.7</v>
      </c>
      <c r="K48" s="307">
        <f t="shared" si="13"/>
        <v>0.16891605598582987</v>
      </c>
    </row>
    <row r="49" spans="1:11" ht="11.1" customHeight="1">
      <c r="A49" s="442"/>
      <c r="B49" s="442"/>
      <c r="C49" s="154" t="s">
        <v>93</v>
      </c>
      <c r="D49" s="313">
        <v>16</v>
      </c>
      <c r="E49" s="129">
        <v>144.99700000000001</v>
      </c>
      <c r="F49" s="129">
        <v>1587.3265200000001</v>
      </c>
      <c r="G49" s="307">
        <f t="shared" si="12"/>
        <v>9.893624280138652E-3</v>
      </c>
      <c r="H49" s="307">
        <f t="shared" si="14"/>
        <v>0.31336672675066368</v>
      </c>
      <c r="I49" s="313">
        <v>110.401</v>
      </c>
      <c r="J49" s="129">
        <v>1186.2427900000002</v>
      </c>
      <c r="K49" s="307">
        <f t="shared" si="13"/>
        <v>7.6686000069461314E-3</v>
      </c>
    </row>
    <row r="50" spans="1:11" ht="11.1" customHeight="1">
      <c r="A50" s="443"/>
      <c r="B50" s="443"/>
      <c r="C50" s="318" t="s">
        <v>0</v>
      </c>
      <c r="D50" s="321">
        <v>115852</v>
      </c>
      <c r="E50" s="319">
        <v>14655.599999999999</v>
      </c>
      <c r="F50" s="319">
        <v>160437.61641999992</v>
      </c>
      <c r="G50" s="320">
        <f>SUM(G45:G49)</f>
        <v>1.0000000000000002</v>
      </c>
      <c r="H50" s="320">
        <f t="shared" ref="H50" si="15">(E50-I50)/I50</f>
        <v>1.7997429930885749E-2</v>
      </c>
      <c r="I50" s="321">
        <v>14396.500000000002</v>
      </c>
      <c r="J50" s="319">
        <v>154689.27576000002</v>
      </c>
      <c r="K50" s="320">
        <f>SUM(K45:K49)</f>
        <v>1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77</v>
      </c>
      <c r="E51" s="308">
        <v>6731.433</v>
      </c>
      <c r="F51" s="308">
        <v>73707.968980000005</v>
      </c>
      <c r="G51" s="309">
        <f>E51/$E$56</f>
        <v>0.66307777931007306</v>
      </c>
      <c r="H51" s="309">
        <f>(E51-I51)/I51</f>
        <v>-0.13683198863374071</v>
      </c>
      <c r="I51" s="312">
        <v>7798.5199999999995</v>
      </c>
      <c r="J51" s="308">
        <v>84471.200100000002</v>
      </c>
      <c r="K51" s="309">
        <f>I51/$I$56</f>
        <v>0.66781301112376568</v>
      </c>
    </row>
    <row r="52" spans="1:11" ht="11.1" customHeight="1">
      <c r="A52" s="442"/>
      <c r="B52" s="442"/>
      <c r="C52" s="154" t="s">
        <v>5</v>
      </c>
      <c r="D52" s="313">
        <v>241</v>
      </c>
      <c r="E52" s="129">
        <v>1060.7649999999999</v>
      </c>
      <c r="F52" s="129">
        <v>11614.886979999996</v>
      </c>
      <c r="G52" s="307">
        <f t="shared" ref="G52:G55" si="16">E52/$E$56</f>
        <v>0.10449033668906005</v>
      </c>
      <c r="H52" s="307">
        <f t="shared" ref="H52:H55" si="17">(E52-I52)/I52</f>
        <v>-0.18609674167079732</v>
      </c>
      <c r="I52" s="313">
        <v>1303.306</v>
      </c>
      <c r="J52" s="129">
        <v>14116.624739999996</v>
      </c>
      <c r="K52" s="307">
        <f t="shared" ref="K52:K55" si="18">I52/$I$56</f>
        <v>0.11160639509492451</v>
      </c>
    </row>
    <row r="53" spans="1:11" ht="11.1" customHeight="1">
      <c r="A53" s="442"/>
      <c r="B53" s="442"/>
      <c r="C53" s="154" t="s">
        <v>6</v>
      </c>
      <c r="D53" s="313">
        <v>9814</v>
      </c>
      <c r="E53" s="129">
        <v>793.04</v>
      </c>
      <c r="F53" s="129">
        <v>8683.7614600000015</v>
      </c>
      <c r="G53" s="307">
        <f t="shared" si="16"/>
        <v>7.8118166236529465E-2</v>
      </c>
      <c r="H53" s="307">
        <f t="shared" si="17"/>
        <v>-0.2106549242993547</v>
      </c>
      <c r="I53" s="313">
        <v>1004.6809999999999</v>
      </c>
      <c r="J53" s="129">
        <v>10882.63601</v>
      </c>
      <c r="K53" s="307">
        <f t="shared" si="18"/>
        <v>8.6034150560469938E-2</v>
      </c>
    </row>
    <row r="54" spans="1:11" ht="11.1" customHeight="1">
      <c r="A54" s="442"/>
      <c r="B54" s="442"/>
      <c r="C54" s="154" t="s">
        <v>7</v>
      </c>
      <c r="D54" s="313">
        <v>105573</v>
      </c>
      <c r="E54" s="129">
        <v>1429.4</v>
      </c>
      <c r="F54" s="129">
        <v>15652.1</v>
      </c>
      <c r="G54" s="307">
        <f t="shared" si="16"/>
        <v>0.14080261628479679</v>
      </c>
      <c r="H54" s="307">
        <f t="shared" si="17"/>
        <v>1.8924791476834972E-3</v>
      </c>
      <c r="I54" s="313">
        <v>1426.7</v>
      </c>
      <c r="J54" s="129">
        <v>15453.6</v>
      </c>
      <c r="K54" s="307">
        <f t="shared" si="18"/>
        <v>0.12217303064815845</v>
      </c>
    </row>
    <row r="55" spans="1:11" ht="11.1" customHeight="1">
      <c r="A55" s="442"/>
      <c r="B55" s="442"/>
      <c r="C55" s="154" t="s">
        <v>93</v>
      </c>
      <c r="D55" s="313">
        <v>15</v>
      </c>
      <c r="E55" s="129">
        <v>137.16200000000001</v>
      </c>
      <c r="F55" s="129">
        <v>1501.9065699999999</v>
      </c>
      <c r="G55" s="307">
        <f t="shared" si="16"/>
        <v>1.3511101479540573E-2</v>
      </c>
      <c r="H55" s="307">
        <f t="shared" si="17"/>
        <v>-5.0736021814205459E-2</v>
      </c>
      <c r="I55" s="313">
        <v>144.49299999999999</v>
      </c>
      <c r="J55" s="129">
        <v>1565.1036000000004</v>
      </c>
      <c r="K55" s="307">
        <f t="shared" si="18"/>
        <v>1.2373412572681264E-2</v>
      </c>
    </row>
    <row r="56" spans="1:11" ht="11.1" customHeight="1">
      <c r="A56" s="443"/>
      <c r="B56" s="443"/>
      <c r="C56" s="318" t="s">
        <v>0</v>
      </c>
      <c r="D56" s="321">
        <v>115720</v>
      </c>
      <c r="E56" s="319">
        <v>10151.800000000001</v>
      </c>
      <c r="F56" s="319">
        <v>111160.62399000001</v>
      </c>
      <c r="G56" s="320">
        <f>SUM(G51:G55)</f>
        <v>1</v>
      </c>
      <c r="H56" s="320">
        <f t="shared" ref="H56" si="19">(E56-I56)/I56</f>
        <v>-0.13066785411510826</v>
      </c>
      <c r="I56" s="321">
        <v>11677.7</v>
      </c>
      <c r="J56" s="319">
        <v>126489.16445000001</v>
      </c>
      <c r="K56" s="320">
        <f>SUM(K51:K55)</f>
        <v>0.99999999999999978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77</v>
      </c>
      <c r="E57" s="308">
        <f>E39+E45+E51</f>
        <v>24320.844999999998</v>
      </c>
      <c r="F57" s="308">
        <f>F39+F45+F51</f>
        <v>265858.33932999993</v>
      </c>
      <c r="G57" s="309">
        <f>E57/$E$62</f>
        <v>0.48961407994202144</v>
      </c>
      <c r="H57" s="309">
        <f>(E57-I57)/I57</f>
        <v>-0.10087269990192035</v>
      </c>
      <c r="I57" s="312">
        <f>I39+I45+I51</f>
        <v>27049.390000000003</v>
      </c>
      <c r="J57" s="308">
        <f>J39+J45+J51</f>
        <v>291654.37909000006</v>
      </c>
      <c r="K57" s="309">
        <f>I57/$I$62</f>
        <v>0.49707335718604195</v>
      </c>
    </row>
    <row r="58" spans="1:11" ht="11.1" customHeight="1">
      <c r="A58" s="442"/>
      <c r="B58" s="442"/>
      <c r="C58" s="154" t="s">
        <v>5</v>
      </c>
      <c r="D58" s="313">
        <f>D52</f>
        <v>241</v>
      </c>
      <c r="E58" s="129">
        <f t="shared" ref="E58:F59" si="20">E40+E46+E52</f>
        <v>4900.5360000000001</v>
      </c>
      <c r="F58" s="129">
        <f t="shared" si="20"/>
        <v>53552.667509999963</v>
      </c>
      <c r="G58" s="307">
        <f t="shared" ref="G58:G61" si="21">E58/$E$62</f>
        <v>9.8654936736891921E-2</v>
      </c>
      <c r="H58" s="307">
        <f t="shared" ref="H58:H61" si="22">(E58-I58)/I58</f>
        <v>-0.15498049166824313</v>
      </c>
      <c r="I58" s="313">
        <f t="shared" ref="I58:J58" si="23">I40+I46+I52</f>
        <v>5799.3170000000009</v>
      </c>
      <c r="J58" s="129">
        <f t="shared" si="23"/>
        <v>62513.056730000011</v>
      </c>
      <c r="K58" s="307">
        <f t="shared" ref="K58:K61" si="24">I58/$I$62</f>
        <v>0.10657120070271771</v>
      </c>
    </row>
    <row r="59" spans="1:11" ht="11.1" customHeight="1">
      <c r="A59" s="442"/>
      <c r="B59" s="442"/>
      <c r="C59" s="154" t="s">
        <v>6</v>
      </c>
      <c r="D59" s="313">
        <f>D53</f>
        <v>9814</v>
      </c>
      <c r="E59" s="129">
        <f>E41+E47+E53</f>
        <v>7166.9840000000004</v>
      </c>
      <c r="F59" s="129">
        <f t="shared" si="20"/>
        <v>78266.449569999997</v>
      </c>
      <c r="G59" s="307">
        <f t="shared" si="21"/>
        <v>0.1442818404179291</v>
      </c>
      <c r="H59" s="307">
        <f t="shared" si="22"/>
        <v>-9.1172804360148338E-2</v>
      </c>
      <c r="I59" s="313">
        <f>I41+I47+I53</f>
        <v>7885.9699999999993</v>
      </c>
      <c r="J59" s="129">
        <f t="shared" ref="J59" si="25">J41+J47+J53</f>
        <v>84984.333170000013</v>
      </c>
      <c r="K59" s="307">
        <f t="shared" si="24"/>
        <v>0.14491659821417083</v>
      </c>
    </row>
    <row r="60" spans="1:11" ht="11.1" customHeight="1">
      <c r="A60" s="442"/>
      <c r="B60" s="442"/>
      <c r="C60" s="154" t="s">
        <v>7</v>
      </c>
      <c r="D60" s="313">
        <f>D54</f>
        <v>105573</v>
      </c>
      <c r="E60" s="129">
        <f t="shared" ref="E60:F61" si="26">E42+E48+E54</f>
        <v>12869.199999999999</v>
      </c>
      <c r="F60" s="129">
        <f t="shared" si="26"/>
        <v>140537.20000000001</v>
      </c>
      <c r="G60" s="307">
        <f t="shared" si="21"/>
        <v>0.25907576474377686</v>
      </c>
      <c r="H60" s="307">
        <f t="shared" si="22"/>
        <v>-2.9362295885658338E-2</v>
      </c>
      <c r="I60" s="313">
        <f t="shared" ref="I60:J60" si="27">I42+I48+I54</f>
        <v>13258.5</v>
      </c>
      <c r="J60" s="129">
        <f t="shared" si="27"/>
        <v>142878.6</v>
      </c>
      <c r="K60" s="307">
        <f t="shared" si="24"/>
        <v>0.24364494379544738</v>
      </c>
    </row>
    <row r="61" spans="1:11" ht="11.1" customHeight="1">
      <c r="A61" s="442"/>
      <c r="B61" s="442"/>
      <c r="C61" s="154" t="s">
        <v>93</v>
      </c>
      <c r="D61" s="313">
        <f>D55</f>
        <v>15</v>
      </c>
      <c r="E61" s="129">
        <f>E43+E49+E55</f>
        <v>415.93500000000006</v>
      </c>
      <c r="F61" s="129">
        <f t="shared" si="26"/>
        <v>4548.0661500000006</v>
      </c>
      <c r="G61" s="307">
        <f t="shared" si="21"/>
        <v>8.3733781593807594E-3</v>
      </c>
      <c r="H61" s="307">
        <f t="shared" si="22"/>
        <v>-1.9305720274542838E-2</v>
      </c>
      <c r="I61" s="313">
        <f>I43+I49+I55</f>
        <v>424.12299999999999</v>
      </c>
      <c r="J61" s="129">
        <f t="shared" ref="J61" si="28">J43+J49+J55</f>
        <v>4574.9764700000005</v>
      </c>
      <c r="K61" s="307">
        <f t="shared" si="24"/>
        <v>7.7939001016220939E-3</v>
      </c>
    </row>
    <row r="62" spans="1:11" ht="11.1" customHeight="1">
      <c r="A62" s="443"/>
      <c r="B62" s="443"/>
      <c r="C62" s="318" t="s">
        <v>0</v>
      </c>
      <c r="D62" s="321">
        <f>SUM(D57:D61)</f>
        <v>115720</v>
      </c>
      <c r="E62" s="319">
        <f>SUM(E57:E61)</f>
        <v>49673.499999999993</v>
      </c>
      <c r="F62" s="319">
        <f>SUM(F57:F61)</f>
        <v>542762.72255999979</v>
      </c>
      <c r="G62" s="320">
        <f>SUM(G57:G61)</f>
        <v>1</v>
      </c>
      <c r="H62" s="320">
        <f>(E62-I62)/I62</f>
        <v>-8.7174483114744947E-2</v>
      </c>
      <c r="I62" s="321">
        <f>SUM(I57:I61)</f>
        <v>54417.3</v>
      </c>
      <c r="J62" s="319">
        <f>SUM(J57:J61)</f>
        <v>586605.3454600001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305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39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88</v>
      </c>
      <c r="E9" s="308">
        <v>9304.7540000000008</v>
      </c>
      <c r="F9" s="308">
        <v>101468.46335000002</v>
      </c>
      <c r="G9" s="309">
        <f>E9/$E$14</f>
        <v>0.39088378619078834</v>
      </c>
      <c r="H9" s="309">
        <f>(E9-I9)/I9</f>
        <v>-0.12260489792716171</v>
      </c>
      <c r="I9" s="312">
        <v>10604.976000000001</v>
      </c>
      <c r="J9" s="308">
        <v>114279.63474999998</v>
      </c>
      <c r="K9" s="309">
        <f>I9/$I$14</f>
        <v>0.39097550544896853</v>
      </c>
    </row>
    <row r="10" spans="1:16" ht="11.1" customHeight="1">
      <c r="A10" s="442"/>
      <c r="B10" s="442"/>
      <c r="C10" s="154" t="s">
        <v>5</v>
      </c>
      <c r="D10" s="313">
        <v>281</v>
      </c>
      <c r="E10" s="129">
        <v>2847.9270000000001</v>
      </c>
      <c r="F10" s="129">
        <v>31056.694310000014</v>
      </c>
      <c r="G10" s="307">
        <f>E10/$E$14</f>
        <v>0.11963868024398852</v>
      </c>
      <c r="H10" s="307">
        <f>(E10-I10)/I10</f>
        <v>-0.11547480467269866</v>
      </c>
      <c r="I10" s="313">
        <v>3219.7240000000002</v>
      </c>
      <c r="J10" s="129">
        <v>34695.478769999987</v>
      </c>
      <c r="K10" s="307">
        <f>I10/$I$14</f>
        <v>0.11870212797333768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8769</v>
      </c>
      <c r="E11" s="129">
        <v>4999.9790000000003</v>
      </c>
      <c r="F11" s="129">
        <v>54524.241419999998</v>
      </c>
      <c r="G11" s="307">
        <f>E11/$E$14</f>
        <v>0.21004431953756453</v>
      </c>
      <c r="H11" s="307">
        <f t="shared" ref="H11:H13" si="0">(E11-I11)/I11</f>
        <v>-0.12583179639348144</v>
      </c>
      <c r="I11" s="313">
        <v>5719.6989999999996</v>
      </c>
      <c r="J11" s="129">
        <v>61635.988850000002</v>
      </c>
      <c r="K11" s="307">
        <f>I11/$I$14</f>
        <v>0.21086914364926046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82435</v>
      </c>
      <c r="E12" s="129">
        <v>6444.8</v>
      </c>
      <c r="F12" s="129">
        <v>70280.899999999994</v>
      </c>
      <c r="G12" s="307">
        <f>E12/$E$14</f>
        <v>0.27073986321856469</v>
      </c>
      <c r="H12" s="307">
        <f t="shared" si="0"/>
        <v>-0.12290586426053696</v>
      </c>
      <c r="I12" s="313">
        <v>7347.9</v>
      </c>
      <c r="J12" s="129">
        <v>79181.3</v>
      </c>
      <c r="K12" s="307">
        <f>I12/$I$14</f>
        <v>0.27089631475719278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9</v>
      </c>
      <c r="E13" s="129">
        <v>206.94</v>
      </c>
      <c r="F13" s="129">
        <v>2256.6759200000001</v>
      </c>
      <c r="G13" s="307">
        <f>E13/$E$14</f>
        <v>8.6933508090941171E-3</v>
      </c>
      <c r="H13" s="307">
        <f t="shared" si="0"/>
        <v>-0.10840539247999793</v>
      </c>
      <c r="I13" s="313">
        <v>232.101</v>
      </c>
      <c r="J13" s="129">
        <v>2501.1510599999997</v>
      </c>
      <c r="K13" s="307">
        <f>I13/$I$14</f>
        <v>8.5569081712406556E-3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91582</v>
      </c>
      <c r="E14" s="319">
        <v>23804.399999999998</v>
      </c>
      <c r="F14" s="319">
        <v>259586.97500000003</v>
      </c>
      <c r="G14" s="320">
        <f>SUM(G9:G13)</f>
        <v>1.0000000000000002</v>
      </c>
      <c r="H14" s="320">
        <f>(E14-I14)/I14</f>
        <v>-0.12239902080783355</v>
      </c>
      <c r="I14" s="321">
        <v>27124.399999999998</v>
      </c>
      <c r="J14" s="319">
        <v>292293.55342999997</v>
      </c>
      <c r="K14" s="320">
        <f>SUM(K9:K13)</f>
        <v>1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88</v>
      </c>
      <c r="E15" s="308">
        <v>8084.0660000000007</v>
      </c>
      <c r="F15" s="308">
        <v>88498.00860999999</v>
      </c>
      <c r="G15" s="309">
        <f>E15/$E$20</f>
        <v>0.5574372164223359</v>
      </c>
      <c r="H15" s="309">
        <f>(E15-I15)/I15</f>
        <v>7.0923318065338053E-2</v>
      </c>
      <c r="I15" s="312">
        <v>7548.6880000000001</v>
      </c>
      <c r="J15" s="308">
        <v>81109.485949999973</v>
      </c>
      <c r="K15" s="309">
        <f>I15/$I$20</f>
        <v>0.57872290837722429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283</v>
      </c>
      <c r="E16" s="129">
        <v>1771.663</v>
      </c>
      <c r="F16" s="129">
        <v>19395.02351000001</v>
      </c>
      <c r="G16" s="307">
        <f>E16/$E$20</f>
        <v>0.12216511977493069</v>
      </c>
      <c r="H16" s="307">
        <f>(E16-I16)/I16</f>
        <v>0.12123969918226343</v>
      </c>
      <c r="I16" s="313">
        <v>1580.0929999999998</v>
      </c>
      <c r="J16" s="129">
        <v>16977.724040000005</v>
      </c>
      <c r="K16" s="307">
        <f>I16/$I$20</f>
        <v>0.12113840398046566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8761</v>
      </c>
      <c r="E17" s="129">
        <v>1944.0170000000001</v>
      </c>
      <c r="F17" s="129">
        <v>21281.602650000001</v>
      </c>
      <c r="G17" s="307">
        <f>E17/$E$20</f>
        <v>0.13404979934078967</v>
      </c>
      <c r="H17" s="307">
        <f t="shared" ref="H17:H20" si="1">(E17-I17)/I17</f>
        <v>0.10132684930932565</v>
      </c>
      <c r="I17" s="313">
        <v>1765.1590000000001</v>
      </c>
      <c r="J17" s="129">
        <v>18966.612240000002</v>
      </c>
      <c r="K17" s="307">
        <f>I17/$I$20</f>
        <v>0.13532655611521271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82347</v>
      </c>
      <c r="E18" s="129">
        <v>2497.5</v>
      </c>
      <c r="F18" s="129">
        <v>27340.3</v>
      </c>
      <c r="G18" s="307">
        <f>E18/$E$20</f>
        <v>0.17221525009998481</v>
      </c>
      <c r="H18" s="307">
        <f t="shared" si="1"/>
        <v>0.31385133357883099</v>
      </c>
      <c r="I18" s="313">
        <v>1900.9</v>
      </c>
      <c r="J18" s="129">
        <v>20425.3</v>
      </c>
      <c r="K18" s="307">
        <f>I18/$I$20</f>
        <v>0.14573318920245024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9</v>
      </c>
      <c r="E19" s="129">
        <v>204.95400000000001</v>
      </c>
      <c r="F19" s="129">
        <v>2243.6831499999998</v>
      </c>
      <c r="G19" s="307">
        <f>E19/$E$20</f>
        <v>1.4132614361958874E-2</v>
      </c>
      <c r="H19" s="307">
        <f t="shared" si="1"/>
        <v>-0.17642851402394921</v>
      </c>
      <c r="I19" s="313">
        <v>248.86</v>
      </c>
      <c r="J19" s="129">
        <v>2673.9708500000002</v>
      </c>
      <c r="K19" s="307">
        <f>I19/$I$20</f>
        <v>1.9078942324647151E-2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91488</v>
      </c>
      <c r="E20" s="319">
        <v>14502.2</v>
      </c>
      <c r="F20" s="319">
        <v>158758.61791999999</v>
      </c>
      <c r="G20" s="320">
        <f>SUM(G15:G19)</f>
        <v>1</v>
      </c>
      <c r="H20" s="320">
        <f t="shared" si="1"/>
        <v>0.11181643245398176</v>
      </c>
      <c r="I20" s="321">
        <v>13043.699999999999</v>
      </c>
      <c r="J20" s="319">
        <v>140153.09307999999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88</v>
      </c>
      <c r="E21" s="308">
        <v>6646.7870000000003</v>
      </c>
      <c r="F21" s="308">
        <v>72780.868700000021</v>
      </c>
      <c r="G21" s="309">
        <f>E21/$E$26</f>
        <v>0.65998619813128656</v>
      </c>
      <c r="H21" s="309">
        <f>(E21-I21)/I21</f>
        <v>-0.15320121727881586</v>
      </c>
      <c r="I21" s="312">
        <v>7849.3109999999997</v>
      </c>
      <c r="J21" s="308">
        <v>85021.233140000011</v>
      </c>
      <c r="K21" s="309">
        <f>I21/$I$26</f>
        <v>0.68377958586324938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282</v>
      </c>
      <c r="E22" s="129">
        <v>1247.633</v>
      </c>
      <c r="F22" s="129">
        <v>13661.855209999992</v>
      </c>
      <c r="G22" s="307">
        <f>E22/$E$26</f>
        <v>0.12388249545729861</v>
      </c>
      <c r="H22" s="307">
        <f t="shared" ref="H22:H26" si="2">(E22-I22)/I22</f>
        <v>6.0419175774533457E-2</v>
      </c>
      <c r="I22" s="313">
        <v>1176.547</v>
      </c>
      <c r="J22" s="129">
        <v>12743.880160000006</v>
      </c>
      <c r="K22" s="307">
        <f>I22/$I$26</f>
        <v>0.1024929220422848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8750</v>
      </c>
      <c r="E23" s="129">
        <v>863.34800000000007</v>
      </c>
      <c r="F23" s="129">
        <v>9453.5423599999995</v>
      </c>
      <c r="G23" s="307">
        <f>E23/$E$26</f>
        <v>8.5725293165592645E-2</v>
      </c>
      <c r="H23" s="307">
        <f t="shared" si="2"/>
        <v>-0.21034786481994858</v>
      </c>
      <c r="I23" s="313">
        <v>1093.327</v>
      </c>
      <c r="J23" s="129">
        <v>11843.125260000001</v>
      </c>
      <c r="K23" s="307">
        <f>I23/$I$26</f>
        <v>9.5243351075413998E-2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82254</v>
      </c>
      <c r="E24" s="129">
        <v>1117.4000000000001</v>
      </c>
      <c r="F24" s="129">
        <v>12235</v>
      </c>
      <c r="G24" s="307">
        <f>E24/$E$26</f>
        <v>0.11095113741299362</v>
      </c>
      <c r="H24" s="307">
        <f t="shared" si="2"/>
        <v>1.9727403156384912E-3</v>
      </c>
      <c r="I24" s="313">
        <v>1115.2</v>
      </c>
      <c r="J24" s="129">
        <v>12079.9</v>
      </c>
      <c r="K24" s="307">
        <f>I24/$I$26</f>
        <v>9.7148780849006466E-2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9</v>
      </c>
      <c r="E25" s="129">
        <v>195.93199999999999</v>
      </c>
      <c r="F25" s="129">
        <v>2145.4246399999997</v>
      </c>
      <c r="G25" s="307">
        <f>E25/$E$26</f>
        <v>1.9454875832828587E-2</v>
      </c>
      <c r="H25" s="307">
        <f t="shared" si="2"/>
        <v>-0.2</v>
      </c>
      <c r="I25" s="313">
        <v>244.91499999999999</v>
      </c>
      <c r="J25" s="129">
        <v>2652.85356</v>
      </c>
      <c r="K25" s="307">
        <f>I25/$I$26</f>
        <v>2.1335360170045208E-2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91383</v>
      </c>
      <c r="E26" s="319">
        <v>10071.1</v>
      </c>
      <c r="F26" s="319">
        <v>110276.69091000002</v>
      </c>
      <c r="G26" s="320">
        <f>SUM(G21:G25)</f>
        <v>1</v>
      </c>
      <c r="H26" s="320">
        <f t="shared" si="2"/>
        <v>-0.12267298528655933</v>
      </c>
      <c r="I26" s="321">
        <v>11479.300000000001</v>
      </c>
      <c r="J26" s="319">
        <v>124340.99212000001</v>
      </c>
      <c r="K26" s="320">
        <f>SUM(K21:K25)</f>
        <v>0.99999999999999989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88</v>
      </c>
      <c r="E27" s="308">
        <f>E9+E15+E21</f>
        <v>24035.607</v>
      </c>
      <c r="F27" s="308">
        <f>F9+F15+F21</f>
        <v>262747.34065999999</v>
      </c>
      <c r="G27" s="309">
        <f>E27/$E$32</f>
        <v>0.49683236284486448</v>
      </c>
      <c r="H27" s="309">
        <f>(E27-I27)/I27</f>
        <v>-7.5659342825195916E-2</v>
      </c>
      <c r="I27" s="312">
        <f>I9+I15+I21</f>
        <v>26002.974999999999</v>
      </c>
      <c r="J27" s="308">
        <f>J9+J15+J21</f>
        <v>280410.35384</v>
      </c>
      <c r="K27" s="309">
        <f>I27/$I$32</f>
        <v>0.50347113310641001</v>
      </c>
    </row>
    <row r="28" spans="1:20" ht="11.1" customHeight="1">
      <c r="A28" s="442"/>
      <c r="B28" s="442"/>
      <c r="C28" s="154" t="s">
        <v>5</v>
      </c>
      <c r="D28" s="313">
        <f>D22</f>
        <v>282</v>
      </c>
      <c r="E28" s="129">
        <f t="shared" ref="E28:F31" si="3">E10+E16+E22</f>
        <v>5867.223</v>
      </c>
      <c r="F28" s="129">
        <f t="shared" si="3"/>
        <v>64113.573030000014</v>
      </c>
      <c r="G28" s="307">
        <f>E28/$E$32</f>
        <v>0.1212794944778276</v>
      </c>
      <c r="H28" s="307">
        <f t="shared" ref="H28:H31" si="4">(E28-I28)/I28</f>
        <v>-1.8262107194273916E-2</v>
      </c>
      <c r="I28" s="313">
        <f t="shared" ref="I28:J28" si="5">I10+I16+I22</f>
        <v>5976.3639999999996</v>
      </c>
      <c r="J28" s="129">
        <f t="shared" si="5"/>
        <v>64417.082969999996</v>
      </c>
      <c r="K28" s="307">
        <f>I28/$I$32</f>
        <v>0.11571471167958117</v>
      </c>
    </row>
    <row r="29" spans="1:20" ht="11.1" customHeight="1">
      <c r="A29" s="442"/>
      <c r="B29" s="442"/>
      <c r="C29" s="154" t="s">
        <v>6</v>
      </c>
      <c r="D29" s="313">
        <f>D23</f>
        <v>8750</v>
      </c>
      <c r="E29" s="129">
        <f t="shared" si="3"/>
        <v>7807.3440000000001</v>
      </c>
      <c r="F29" s="129">
        <f t="shared" si="3"/>
        <v>85259.386429999984</v>
      </c>
      <c r="G29" s="307">
        <f>E29/$E$32</f>
        <v>0.16138311660124396</v>
      </c>
      <c r="H29" s="307">
        <f t="shared" si="4"/>
        <v>-8.9860617368359333E-2</v>
      </c>
      <c r="I29" s="313">
        <f t="shared" ref="I29:J29" si="6">I11+I17+I23</f>
        <v>8578.1849999999995</v>
      </c>
      <c r="J29" s="129">
        <f t="shared" si="6"/>
        <v>92445.726350000012</v>
      </c>
      <c r="K29" s="307">
        <f>I29/$I$32</f>
        <v>0.16609132308693178</v>
      </c>
    </row>
    <row r="30" spans="1:20" ht="11.1" customHeight="1">
      <c r="A30" s="442"/>
      <c r="B30" s="442"/>
      <c r="C30" s="154" t="s">
        <v>7</v>
      </c>
      <c r="D30" s="313">
        <f>D24</f>
        <v>82254</v>
      </c>
      <c r="E30" s="129">
        <f t="shared" si="3"/>
        <v>10059.699999999999</v>
      </c>
      <c r="F30" s="129">
        <f t="shared" si="3"/>
        <v>109856.2</v>
      </c>
      <c r="G30" s="307">
        <f>E30/$E$32</f>
        <v>0.20794084877949964</v>
      </c>
      <c r="H30" s="307">
        <f t="shared" si="4"/>
        <v>-2.936125048243932E-2</v>
      </c>
      <c r="I30" s="313">
        <f t="shared" ref="I30:J30" si="7">I12+I18+I24</f>
        <v>10364</v>
      </c>
      <c r="J30" s="129">
        <f t="shared" si="7"/>
        <v>111686.5</v>
      </c>
      <c r="K30" s="307">
        <f>I30/$I$32</f>
        <v>0.20066837827267203</v>
      </c>
    </row>
    <row r="31" spans="1:20" ht="11.1" customHeight="1">
      <c r="A31" s="442"/>
      <c r="B31" s="442"/>
      <c r="C31" s="154" t="s">
        <v>93</v>
      </c>
      <c r="D31" s="313">
        <f>D25</f>
        <v>9</v>
      </c>
      <c r="E31" s="129">
        <f>E13+E19+E25</f>
        <v>607.82600000000002</v>
      </c>
      <c r="F31" s="129">
        <f t="shared" si="3"/>
        <v>6645.7837099999997</v>
      </c>
      <c r="G31" s="307">
        <f>E31/$E$32</f>
        <v>1.2564177296564328E-2</v>
      </c>
      <c r="H31" s="307">
        <f t="shared" si="4"/>
        <v>-0.16263108299489162</v>
      </c>
      <c r="I31" s="313">
        <f>I13+I19+I25</f>
        <v>725.87599999999998</v>
      </c>
      <c r="J31" s="129">
        <f t="shared" ref="J31" si="8">J13+J19+J25</f>
        <v>7827.9754699999994</v>
      </c>
      <c r="K31" s="307">
        <f>I31/$I$32</f>
        <v>1.4054453854405064E-2</v>
      </c>
    </row>
    <row r="32" spans="1:20" ht="11.1" customHeight="1">
      <c r="A32" s="443"/>
      <c r="B32" s="443"/>
      <c r="C32" s="318" t="s">
        <v>0</v>
      </c>
      <c r="D32" s="321">
        <f>SUM(D27:D31)</f>
        <v>91383</v>
      </c>
      <c r="E32" s="319">
        <f>SUM(E27:E31)</f>
        <v>48377.7</v>
      </c>
      <c r="F32" s="319">
        <f>SUM(F27:F31)</f>
        <v>528622.28383000009</v>
      </c>
      <c r="G32" s="320">
        <f>SUM(G27:G31)</f>
        <v>1</v>
      </c>
      <c r="H32" s="320">
        <f>(E32-I32)/I32</f>
        <v>-6.3308123932666452E-2</v>
      </c>
      <c r="I32" s="321">
        <f>SUM(I27:I31)</f>
        <v>51647.399999999994</v>
      </c>
      <c r="J32" s="319">
        <f>SUM(J27:J31)</f>
        <v>556787.63862999994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40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178</v>
      </c>
      <c r="E39" s="308">
        <v>34324.620999999992</v>
      </c>
      <c r="F39" s="308">
        <v>374045.45693000004</v>
      </c>
      <c r="G39" s="309">
        <f>E39/$E$44</f>
        <v>0.52053126895050439</v>
      </c>
      <c r="H39" s="309">
        <f>(E39-I39)/I39</f>
        <v>-9.9644121392867588E-2</v>
      </c>
      <c r="I39" s="312">
        <v>38123.392999999989</v>
      </c>
      <c r="J39" s="308">
        <v>410612.76757999981</v>
      </c>
      <c r="K39" s="309">
        <f>I39/$I$44</f>
        <v>0.51314778401534544</v>
      </c>
    </row>
    <row r="40" spans="1:11" ht="11.1" customHeight="1">
      <c r="A40" s="442"/>
      <c r="B40" s="442"/>
      <c r="C40" s="154" t="s">
        <v>5</v>
      </c>
      <c r="D40" s="313">
        <v>440</v>
      </c>
      <c r="E40" s="129">
        <v>3773.4560000000001</v>
      </c>
      <c r="F40" s="129">
        <v>41131.849019999994</v>
      </c>
      <c r="G40" s="307">
        <f t="shared" ref="G40" si="9">E40/$E$44</f>
        <v>5.7224283408952865E-2</v>
      </c>
      <c r="H40" s="307">
        <f>(E40-I40)/I40</f>
        <v>-0.18118262607026864</v>
      </c>
      <c r="I40" s="313">
        <v>4608.4219999999996</v>
      </c>
      <c r="J40" s="129">
        <v>49645.473309999972</v>
      </c>
      <c r="K40" s="307">
        <f t="shared" ref="K40:K43" si="10">I40/$I$44</f>
        <v>6.2030195924784731E-2</v>
      </c>
    </row>
    <row r="41" spans="1:11" ht="11.1" customHeight="1">
      <c r="A41" s="442"/>
      <c r="B41" s="442"/>
      <c r="C41" s="154" t="s">
        <v>6</v>
      </c>
      <c r="D41" s="313">
        <v>18157</v>
      </c>
      <c r="E41" s="129">
        <v>8049.3379999999997</v>
      </c>
      <c r="F41" s="129">
        <v>87772.783729999996</v>
      </c>
      <c r="G41" s="307">
        <f>E41/$E$44</f>
        <v>0.12206783356330478</v>
      </c>
      <c r="H41" s="307">
        <f t="shared" ref="H41:H43" si="11">(E41-I41)/I41</f>
        <v>-0.12554397267735704</v>
      </c>
      <c r="I41" s="313">
        <v>9204.9660000000003</v>
      </c>
      <c r="J41" s="129">
        <v>99193.285759999999</v>
      </c>
      <c r="K41" s="307">
        <f t="shared" si="10"/>
        <v>0.12390051181532032</v>
      </c>
    </row>
    <row r="42" spans="1:11" ht="11.1" customHeight="1">
      <c r="A42" s="442"/>
      <c r="B42" s="442"/>
      <c r="C42" s="154" t="s">
        <v>7</v>
      </c>
      <c r="D42" s="313">
        <v>352510</v>
      </c>
      <c r="E42" s="129">
        <v>17932.3</v>
      </c>
      <c r="F42" s="129">
        <v>195551.7</v>
      </c>
      <c r="G42" s="307">
        <f>E42/$E$44</f>
        <v>0.27194248915963654</v>
      </c>
      <c r="H42" s="307">
        <f t="shared" si="11"/>
        <v>-0.12290046466128642</v>
      </c>
      <c r="I42" s="313">
        <v>20445</v>
      </c>
      <c r="J42" s="129">
        <v>220316.6</v>
      </c>
      <c r="K42" s="307">
        <f t="shared" si="10"/>
        <v>0.27519340800001041</v>
      </c>
    </row>
    <row r="43" spans="1:11" ht="11.1" customHeight="1">
      <c r="A43" s="442"/>
      <c r="B43" s="442"/>
      <c r="C43" s="154" t="s">
        <v>93</v>
      </c>
      <c r="D43" s="313">
        <v>33</v>
      </c>
      <c r="E43" s="129">
        <v>1861.8009999999999</v>
      </c>
      <c r="F43" s="129">
        <v>20299.853029999995</v>
      </c>
      <c r="G43" s="307">
        <f>E43/$E$44</f>
        <v>2.8234124917601224E-2</v>
      </c>
      <c r="H43" s="307">
        <f t="shared" si="11"/>
        <v>-2.596076326380925E-2</v>
      </c>
      <c r="I43" s="313">
        <v>1911.423</v>
      </c>
      <c r="J43" s="129">
        <v>20586.679849999997</v>
      </c>
      <c r="K43" s="307">
        <f t="shared" si="10"/>
        <v>2.5728100244539198E-2</v>
      </c>
    </row>
    <row r="44" spans="1:11" ht="11.1" customHeight="1">
      <c r="A44" s="443"/>
      <c r="B44" s="443"/>
      <c r="C44" s="318" t="s">
        <v>0</v>
      </c>
      <c r="D44" s="321">
        <v>371318</v>
      </c>
      <c r="E44" s="319">
        <v>65941.516000000003</v>
      </c>
      <c r="F44" s="319">
        <v>718801.64271000016</v>
      </c>
      <c r="G44" s="320">
        <f>SUM(G39:G43)</f>
        <v>0.99999999999999978</v>
      </c>
      <c r="H44" s="320">
        <f>(E44-I44)/I44</f>
        <v>-0.11241523518086502</v>
      </c>
      <c r="I44" s="321">
        <v>74293.203999999983</v>
      </c>
      <c r="J44" s="319">
        <v>800354.80649999972</v>
      </c>
      <c r="K44" s="320">
        <f>SUM(K39:K43)</f>
        <v>1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178</v>
      </c>
      <c r="E45" s="308">
        <v>33358.757999999994</v>
      </c>
      <c r="F45" s="308">
        <v>364892.59957000014</v>
      </c>
      <c r="G45" s="309">
        <f>E45/$E$50</f>
        <v>0.69709002559101052</v>
      </c>
      <c r="H45" s="309">
        <f>(E45-I45)/I45</f>
        <v>4.0704593549574291E-3</v>
      </c>
      <c r="I45" s="312">
        <v>33223.523000000001</v>
      </c>
      <c r="J45" s="308">
        <v>356811.88991999993</v>
      </c>
      <c r="K45" s="309">
        <f>I45/$I$50</f>
        <v>0.72303533914247964</v>
      </c>
    </row>
    <row r="46" spans="1:11" ht="11.1" customHeight="1">
      <c r="A46" s="442"/>
      <c r="B46" s="442"/>
      <c r="C46" s="154" t="s">
        <v>5</v>
      </c>
      <c r="D46" s="313">
        <v>439</v>
      </c>
      <c r="E46" s="129">
        <v>2457.431</v>
      </c>
      <c r="F46" s="129">
        <v>26889.860739999996</v>
      </c>
      <c r="G46" s="307">
        <f t="shared" ref="G46:G49" si="12">E46/$E$50</f>
        <v>5.1352350668395476E-2</v>
      </c>
      <c r="H46" s="307">
        <f>(E46-I46)/I46</f>
        <v>-2.9618494115156865E-2</v>
      </c>
      <c r="I46" s="313">
        <v>2532.4379999999996</v>
      </c>
      <c r="J46" s="129">
        <v>27206.189119999988</v>
      </c>
      <c r="K46" s="307">
        <f t="shared" ref="K46:K49" si="13">I46/$I$50</f>
        <v>5.5112823772099744E-2</v>
      </c>
    </row>
    <row r="47" spans="1:11" ht="11.1" customHeight="1">
      <c r="A47" s="442"/>
      <c r="B47" s="442"/>
      <c r="C47" s="154" t="s">
        <v>6</v>
      </c>
      <c r="D47" s="313">
        <v>18139</v>
      </c>
      <c r="E47" s="129">
        <v>3127.4460000000004</v>
      </c>
      <c r="F47" s="129">
        <v>34237.410839999997</v>
      </c>
      <c r="G47" s="307">
        <f t="shared" si="12"/>
        <v>6.5353494640732854E-2</v>
      </c>
      <c r="H47" s="307">
        <f t="shared" ref="H47:H49" si="14">(E47-I47)/I47</f>
        <v>0.10124711566868434</v>
      </c>
      <c r="I47" s="313">
        <v>2839.913</v>
      </c>
      <c r="J47" s="129">
        <v>30512.74353</v>
      </c>
      <c r="K47" s="307">
        <f t="shared" si="13"/>
        <v>6.1804326383151385E-2</v>
      </c>
    </row>
    <row r="48" spans="1:11" ht="11.1" customHeight="1">
      <c r="A48" s="442"/>
      <c r="B48" s="442"/>
      <c r="C48" s="154" t="s">
        <v>7</v>
      </c>
      <c r="D48" s="313">
        <v>352132</v>
      </c>
      <c r="E48" s="129">
        <v>6949</v>
      </c>
      <c r="F48" s="129">
        <v>76072.600000000006</v>
      </c>
      <c r="G48" s="307">
        <f t="shared" si="12"/>
        <v>0.14521159893998251</v>
      </c>
      <c r="H48" s="307">
        <f t="shared" si="14"/>
        <v>0.31380927172351208</v>
      </c>
      <c r="I48" s="313">
        <v>5289.2</v>
      </c>
      <c r="J48" s="129">
        <v>56831.9</v>
      </c>
      <c r="K48" s="307">
        <f t="shared" si="13"/>
        <v>0.11510755544474928</v>
      </c>
    </row>
    <row r="49" spans="1:11" ht="11.1" customHeight="1">
      <c r="A49" s="442"/>
      <c r="B49" s="442"/>
      <c r="C49" s="154" t="s">
        <v>93</v>
      </c>
      <c r="D49" s="313">
        <v>33</v>
      </c>
      <c r="E49" s="129">
        <v>1961.6690000000001</v>
      </c>
      <c r="F49" s="129">
        <v>21471.48256</v>
      </c>
      <c r="G49" s="307">
        <f t="shared" si="12"/>
        <v>4.0992530159878623E-2</v>
      </c>
      <c r="H49" s="307">
        <f t="shared" si="14"/>
        <v>-5.0036464996992748E-2</v>
      </c>
      <c r="I49" s="313">
        <v>2064.9940000000001</v>
      </c>
      <c r="J49" s="129">
        <v>22172.909249999997</v>
      </c>
      <c r="K49" s="307">
        <f t="shared" si="13"/>
        <v>4.4939955257519974E-2</v>
      </c>
    </row>
    <row r="50" spans="1:11" ht="11.1" customHeight="1">
      <c r="A50" s="443"/>
      <c r="B50" s="443"/>
      <c r="C50" s="318" t="s">
        <v>0</v>
      </c>
      <c r="D50" s="321">
        <v>370921</v>
      </c>
      <c r="E50" s="319">
        <v>47854.303999999996</v>
      </c>
      <c r="F50" s="319">
        <v>523563.95371000009</v>
      </c>
      <c r="G50" s="320">
        <f>SUM(G45:G49)</f>
        <v>0.99999999999999989</v>
      </c>
      <c r="H50" s="320">
        <f t="shared" ref="H50" si="15">(E50-I50)/I50</f>
        <v>4.1441418541535067E-2</v>
      </c>
      <c r="I50" s="321">
        <v>45950.067999999999</v>
      </c>
      <c r="J50" s="319">
        <v>493535.63181999989</v>
      </c>
      <c r="K50" s="320">
        <f>SUM(K45:K49)</f>
        <v>0.99999999999999989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177</v>
      </c>
      <c r="E51" s="308">
        <v>29236.607</v>
      </c>
      <c r="F51" s="308">
        <v>319885.98691000004</v>
      </c>
      <c r="G51" s="309">
        <f>E51/$E$56</f>
        <v>0.78062014812571223</v>
      </c>
      <c r="H51" s="309">
        <f>(E51-I51)/I51</f>
        <v>-1.8402192990893983E-2</v>
      </c>
      <c r="I51" s="312">
        <v>29784.711000000003</v>
      </c>
      <c r="J51" s="308">
        <v>322433.93557999999</v>
      </c>
      <c r="K51" s="309">
        <f>I51/$I$56</f>
        <v>0.76470909167185852</v>
      </c>
    </row>
    <row r="52" spans="1:11" ht="11.1" customHeight="1">
      <c r="A52" s="442"/>
      <c r="B52" s="442"/>
      <c r="C52" s="154" t="s">
        <v>5</v>
      </c>
      <c r="D52" s="313">
        <v>437</v>
      </c>
      <c r="E52" s="129">
        <v>1760.8010000000002</v>
      </c>
      <c r="F52" s="129">
        <v>19272.854789999987</v>
      </c>
      <c r="G52" s="307">
        <f t="shared" ref="G52:G55" si="16">E52/$E$56</f>
        <v>4.7013551792788481E-2</v>
      </c>
      <c r="H52" s="307">
        <f t="shared" ref="H52:H55" si="17">(E52-I52)/I52</f>
        <v>-0.22717110021840034</v>
      </c>
      <c r="I52" s="313">
        <v>2278.384</v>
      </c>
      <c r="J52" s="129">
        <v>24674.266410000033</v>
      </c>
      <c r="K52" s="307">
        <f t="shared" ref="K52:K55" si="18">I52/$I$56</f>
        <v>5.8496486976814907E-2</v>
      </c>
    </row>
    <row r="53" spans="1:11" ht="11.1" customHeight="1">
      <c r="A53" s="442"/>
      <c r="B53" s="442"/>
      <c r="C53" s="154" t="s">
        <v>6</v>
      </c>
      <c r="D53" s="313">
        <v>18119</v>
      </c>
      <c r="E53" s="129">
        <v>1390.2080000000001</v>
      </c>
      <c r="F53" s="129">
        <v>15225.274110000002</v>
      </c>
      <c r="G53" s="307">
        <f t="shared" si="16"/>
        <v>3.7118683945970551E-2</v>
      </c>
      <c r="H53" s="307">
        <f t="shared" si="17"/>
        <v>-0.2094263227332695</v>
      </c>
      <c r="I53" s="313">
        <v>1758.4799999999998</v>
      </c>
      <c r="J53" s="129">
        <v>19048.430200000003</v>
      </c>
      <c r="K53" s="307">
        <f t="shared" si="18"/>
        <v>4.5148185037723866E-2</v>
      </c>
    </row>
    <row r="54" spans="1:11" ht="11.1" customHeight="1">
      <c r="A54" s="442"/>
      <c r="B54" s="442"/>
      <c r="C54" s="154" t="s">
        <v>7</v>
      </c>
      <c r="D54" s="313">
        <v>351739</v>
      </c>
      <c r="E54" s="129">
        <v>3109</v>
      </c>
      <c r="F54" s="129">
        <v>34043.1</v>
      </c>
      <c r="G54" s="307">
        <f t="shared" si="16"/>
        <v>8.3010591499993125E-2</v>
      </c>
      <c r="H54" s="307">
        <f t="shared" si="17"/>
        <v>1.9013244819696725E-3</v>
      </c>
      <c r="I54" s="313">
        <v>3103.1</v>
      </c>
      <c r="J54" s="129">
        <v>33611.5</v>
      </c>
      <c r="K54" s="307">
        <f t="shared" si="18"/>
        <v>7.9670700258496513E-2</v>
      </c>
    </row>
    <row r="55" spans="1:11" ht="11.1" customHeight="1">
      <c r="A55" s="442"/>
      <c r="B55" s="442"/>
      <c r="C55" s="154" t="s">
        <v>93</v>
      </c>
      <c r="D55" s="313">
        <v>33</v>
      </c>
      <c r="E55" s="129">
        <v>1956.4359999999999</v>
      </c>
      <c r="F55" s="129">
        <v>21418.595079999999</v>
      </c>
      <c r="G55" s="307">
        <f t="shared" si="16"/>
        <v>5.2237024635535714E-2</v>
      </c>
      <c r="H55" s="307">
        <f t="shared" si="17"/>
        <v>-3.3571939128600618E-2</v>
      </c>
      <c r="I55" s="313">
        <v>2024.3989999999999</v>
      </c>
      <c r="J55" s="129">
        <v>21908.775630000004</v>
      </c>
      <c r="K55" s="307">
        <f t="shared" si="18"/>
        <v>5.1975536055106207E-2</v>
      </c>
    </row>
    <row r="56" spans="1:11" ht="11.1" customHeight="1">
      <c r="A56" s="443"/>
      <c r="B56" s="443"/>
      <c r="C56" s="318" t="s">
        <v>0</v>
      </c>
      <c r="D56" s="321">
        <v>370505</v>
      </c>
      <c r="E56" s="319">
        <v>37453.051999999996</v>
      </c>
      <c r="F56" s="319">
        <v>409845.81089000002</v>
      </c>
      <c r="G56" s="320">
        <f>SUM(G51:G55)</f>
        <v>1</v>
      </c>
      <c r="H56" s="320">
        <f t="shared" ref="H56" si="19">(E56-I56)/I56</f>
        <v>-3.8409693642524195E-2</v>
      </c>
      <c r="I56" s="321">
        <v>38949.074000000001</v>
      </c>
      <c r="J56" s="319">
        <v>421676.90782000002</v>
      </c>
      <c r="K56" s="320">
        <f>SUM(K51:K55)</f>
        <v>1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177</v>
      </c>
      <c r="E57" s="308">
        <f>E39+E45+E51</f>
        <v>96919.98599999999</v>
      </c>
      <c r="F57" s="308">
        <f>F39+F45+F51</f>
        <v>1058824.0434100002</v>
      </c>
      <c r="G57" s="309">
        <f>E57/$E$62</f>
        <v>0.64079807484448548</v>
      </c>
      <c r="H57" s="309">
        <f>(E57-I57)/I57</f>
        <v>-4.1645142325259114E-2</v>
      </c>
      <c r="I57" s="312">
        <f>I39+I45+I51</f>
        <v>101131.62700000001</v>
      </c>
      <c r="J57" s="308">
        <f>J39+J45+J51</f>
        <v>1089858.5930799998</v>
      </c>
      <c r="K57" s="309">
        <f>I57/$I$62</f>
        <v>0.63527945621204684</v>
      </c>
    </row>
    <row r="58" spans="1:11" ht="11.1" customHeight="1">
      <c r="A58" s="442"/>
      <c r="B58" s="442"/>
      <c r="C58" s="154" t="s">
        <v>5</v>
      </c>
      <c r="D58" s="313">
        <f>D52</f>
        <v>437</v>
      </c>
      <c r="E58" s="129">
        <f t="shared" ref="E58:F59" si="20">E40+E46+E52</f>
        <v>7991.688000000001</v>
      </c>
      <c r="F58" s="129">
        <f t="shared" si="20"/>
        <v>87294.564549999981</v>
      </c>
      <c r="G58" s="307">
        <f t="shared" ref="G58:G61" si="21">E58/$E$62</f>
        <v>5.2838000669519061E-2</v>
      </c>
      <c r="H58" s="307">
        <f t="shared" ref="H58:H61" si="22">(E58-I58)/I58</f>
        <v>-0.15155738613417361</v>
      </c>
      <c r="I58" s="313">
        <f t="shared" ref="I58:J58" si="23">I40+I46+I52</f>
        <v>9419.2439999999988</v>
      </c>
      <c r="J58" s="129">
        <f t="shared" si="23"/>
        <v>101525.92884000001</v>
      </c>
      <c r="K58" s="307">
        <f t="shared" ref="K58:K61" si="24">I58/$I$62</f>
        <v>5.9168950245886816E-2</v>
      </c>
    </row>
    <row r="59" spans="1:11" ht="11.1" customHeight="1">
      <c r="A59" s="442"/>
      <c r="B59" s="442"/>
      <c r="C59" s="154" t="s">
        <v>6</v>
      </c>
      <c r="D59" s="313">
        <f>D53</f>
        <v>18119</v>
      </c>
      <c r="E59" s="129">
        <f>E41+E47+E53</f>
        <v>12566.992</v>
      </c>
      <c r="F59" s="129">
        <f t="shared" si="20"/>
        <v>137235.46867999999</v>
      </c>
      <c r="G59" s="307">
        <f t="shared" si="21"/>
        <v>8.3088170072435338E-2</v>
      </c>
      <c r="H59" s="307">
        <f t="shared" si="22"/>
        <v>-8.9570009734587078E-2</v>
      </c>
      <c r="I59" s="313">
        <f>I41+I47+I53</f>
        <v>13803.359</v>
      </c>
      <c r="J59" s="129">
        <f t="shared" ref="J59" si="25">J41+J47+J53</f>
        <v>148754.45949000001</v>
      </c>
      <c r="K59" s="307">
        <f t="shared" si="24"/>
        <v>8.6708685102234756E-2</v>
      </c>
    </row>
    <row r="60" spans="1:11" ht="11.1" customHeight="1">
      <c r="A60" s="442"/>
      <c r="B60" s="442"/>
      <c r="C60" s="154" t="s">
        <v>7</v>
      </c>
      <c r="D60" s="313">
        <f>D54</f>
        <v>351739</v>
      </c>
      <c r="E60" s="129">
        <f t="shared" ref="E60:F61" si="26">E42+E48+E54</f>
        <v>27990.3</v>
      </c>
      <c r="F60" s="129">
        <f t="shared" si="26"/>
        <v>305667.40000000002</v>
      </c>
      <c r="G60" s="307">
        <f t="shared" si="21"/>
        <v>0.18506121486975455</v>
      </c>
      <c r="H60" s="307">
        <f t="shared" si="22"/>
        <v>-2.9371681814871712E-2</v>
      </c>
      <c r="I60" s="313">
        <f t="shared" ref="I60:J60" si="27">I42+I48+I54</f>
        <v>28837.3</v>
      </c>
      <c r="J60" s="129">
        <f t="shared" si="27"/>
        <v>310760</v>
      </c>
      <c r="K60" s="307">
        <f t="shared" si="24"/>
        <v>0.18114752828631597</v>
      </c>
    </row>
    <row r="61" spans="1:11" ht="11.1" customHeight="1">
      <c r="A61" s="442"/>
      <c r="B61" s="442"/>
      <c r="C61" s="154" t="s">
        <v>93</v>
      </c>
      <c r="D61" s="313">
        <f>D55</f>
        <v>33</v>
      </c>
      <c r="E61" s="129">
        <f>E43+E49+E55</f>
        <v>5779.9059999999999</v>
      </c>
      <c r="F61" s="129">
        <f t="shared" si="26"/>
        <v>63189.930669999994</v>
      </c>
      <c r="G61" s="307">
        <f t="shared" si="21"/>
        <v>3.8214539543805659E-2</v>
      </c>
      <c r="H61" s="307">
        <f t="shared" si="22"/>
        <v>-3.6813326720899417E-2</v>
      </c>
      <c r="I61" s="313">
        <f>I43+I49+I55</f>
        <v>6000.8160000000007</v>
      </c>
      <c r="J61" s="129">
        <f t="shared" ref="J61" si="28">J43+J49+J55</f>
        <v>64668.364730000001</v>
      </c>
      <c r="K61" s="307">
        <f t="shared" si="24"/>
        <v>3.769538015351568E-2</v>
      </c>
    </row>
    <row r="62" spans="1:11" ht="11.1" customHeight="1">
      <c r="A62" s="443"/>
      <c r="B62" s="443"/>
      <c r="C62" s="318" t="s">
        <v>0</v>
      </c>
      <c r="D62" s="321">
        <f>SUM(D57:D61)</f>
        <v>370505</v>
      </c>
      <c r="E62" s="319">
        <f>SUM(E57:E61)</f>
        <v>151248.87199999997</v>
      </c>
      <c r="F62" s="319">
        <f>SUM(F57:F61)</f>
        <v>1652211.4073099999</v>
      </c>
      <c r="G62" s="320">
        <f>SUM(G57:G61)</f>
        <v>1</v>
      </c>
      <c r="H62" s="320">
        <f>(E62-I62)/I62</f>
        <v>-4.9898592486349924E-2</v>
      </c>
      <c r="I62" s="321">
        <f>SUM(I57:I61)</f>
        <v>159192.34599999999</v>
      </c>
      <c r="J62" s="319">
        <f>SUM(J57:J61)</f>
        <v>1715567.3461399998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306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41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117</v>
      </c>
      <c r="E9" s="308">
        <v>14927.369999999999</v>
      </c>
      <c r="F9" s="308">
        <v>162782.41400999995</v>
      </c>
      <c r="G9" s="309">
        <f>E9/$E$14</f>
        <v>0.41033720652147027</v>
      </c>
      <c r="H9" s="309">
        <f>(E9-I9)/I9</f>
        <v>-0.16859993348741564</v>
      </c>
      <c r="I9" s="312">
        <v>17954.497000000003</v>
      </c>
      <c r="J9" s="308">
        <v>193478.86727000005</v>
      </c>
      <c r="K9" s="309">
        <f>I9/$I$14</f>
        <v>0.4226566557046712</v>
      </c>
    </row>
    <row r="10" spans="1:16" ht="11.1" customHeight="1">
      <c r="A10" s="442"/>
      <c r="B10" s="442"/>
      <c r="C10" s="154" t="s">
        <v>5</v>
      </c>
      <c r="D10" s="313">
        <v>345</v>
      </c>
      <c r="E10" s="129">
        <v>3237.9809999999998</v>
      </c>
      <c r="F10" s="129">
        <v>35310.245609999991</v>
      </c>
      <c r="G10" s="307">
        <f>E10/$E$14</f>
        <v>8.9008584788184172E-2</v>
      </c>
      <c r="H10" s="307">
        <f>(E10-I10)/I10</f>
        <v>-0.13181524340820555</v>
      </c>
      <c r="I10" s="313">
        <v>3729.5989999999997</v>
      </c>
      <c r="J10" s="129">
        <v>40190.975600000027</v>
      </c>
      <c r="K10" s="307">
        <f>I10/$I$14</f>
        <v>8.7796379952024592E-2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13094</v>
      </c>
      <c r="E11" s="129">
        <v>5986.8</v>
      </c>
      <c r="F11" s="129">
        <v>65285.599999999999</v>
      </c>
      <c r="G11" s="307">
        <f>E11/$E$14</f>
        <v>0.16457063689067386</v>
      </c>
      <c r="H11" s="307">
        <f t="shared" ref="H11:H13" si="0">(E11-I11)/I11</f>
        <v>-0.12561889322174991</v>
      </c>
      <c r="I11" s="313">
        <v>6846.9</v>
      </c>
      <c r="J11" s="129">
        <v>73782.600000000006</v>
      </c>
      <c r="K11" s="307">
        <f>I11/$I$14</f>
        <v>0.16117899910781755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170288</v>
      </c>
      <c r="E12" s="129">
        <v>11884.5</v>
      </c>
      <c r="F12" s="129">
        <v>129600.2</v>
      </c>
      <c r="G12" s="307">
        <f>E12/$E$14</f>
        <v>0.32669201144638427</v>
      </c>
      <c r="H12" s="307">
        <f t="shared" si="0"/>
        <v>-0.12289570986811521</v>
      </c>
      <c r="I12" s="313">
        <v>13549.7</v>
      </c>
      <c r="J12" s="129">
        <v>146012.9</v>
      </c>
      <c r="K12" s="307">
        <f>I12/$I$14</f>
        <v>0.31896582164354609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15</v>
      </c>
      <c r="E13" s="129">
        <v>341.649</v>
      </c>
      <c r="F13" s="129">
        <v>3725.6849200000006</v>
      </c>
      <c r="G13" s="307">
        <f>E13/$E$14</f>
        <v>9.3915603532875383E-3</v>
      </c>
      <c r="H13" s="307">
        <f t="shared" si="0"/>
        <v>-0.14460295840802795</v>
      </c>
      <c r="I13" s="313">
        <v>399.404</v>
      </c>
      <c r="J13" s="129">
        <v>4304.0062500000004</v>
      </c>
      <c r="K13" s="307">
        <f>I13/$I$14</f>
        <v>9.4021435919406978E-3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183859</v>
      </c>
      <c r="E14" s="319">
        <v>36378.299999999996</v>
      </c>
      <c r="F14" s="319">
        <v>396704.14453999995</v>
      </c>
      <c r="G14" s="320">
        <f>SUM(G9:G13)</f>
        <v>1</v>
      </c>
      <c r="H14" s="320">
        <f>(E14-I14)/I14</f>
        <v>-0.14363902156539188</v>
      </c>
      <c r="I14" s="321">
        <v>42480.1</v>
      </c>
      <c r="J14" s="319">
        <v>457769.34912000003</v>
      </c>
      <c r="K14" s="320">
        <f>SUM(K9:K13)</f>
        <v>1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117</v>
      </c>
      <c r="E15" s="308">
        <v>12623.736999999999</v>
      </c>
      <c r="F15" s="308">
        <v>138195.04452999996</v>
      </c>
      <c r="G15" s="309">
        <f>E15/$E$20</f>
        <v>0.57710094905460252</v>
      </c>
      <c r="H15" s="309">
        <f>(E15-I15)/I15</f>
        <v>-0.11883298500777285</v>
      </c>
      <c r="I15" s="312">
        <v>14326.156999999999</v>
      </c>
      <c r="J15" s="308">
        <v>153932.80334999997</v>
      </c>
      <c r="K15" s="309">
        <f>I15/$I$20</f>
        <v>0.6461781368118138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344</v>
      </c>
      <c r="E16" s="129">
        <v>1936.8649999999998</v>
      </c>
      <c r="F16" s="129">
        <v>21202.831819999996</v>
      </c>
      <c r="G16" s="307">
        <f>E16/$E$20</f>
        <v>8.8544828658157465E-2</v>
      </c>
      <c r="H16" s="307">
        <f>(E16-I16)/I16</f>
        <v>8.6307754433588582E-2</v>
      </c>
      <c r="I16" s="313">
        <v>1782.98</v>
      </c>
      <c r="J16" s="129">
        <v>19158.190679999989</v>
      </c>
      <c r="K16" s="307">
        <f>I16/$I$20</f>
        <v>8.042091779203088E-2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13084</v>
      </c>
      <c r="E17" s="129">
        <v>2326.9</v>
      </c>
      <c r="F17" s="129">
        <v>25472.6</v>
      </c>
      <c r="G17" s="307">
        <f>E17/$E$20</f>
        <v>0.106375489156274</v>
      </c>
      <c r="H17" s="307">
        <f t="shared" ref="H17:H20" si="1">(E17-I17)/I17</f>
        <v>0.10138685094902272</v>
      </c>
      <c r="I17" s="313">
        <v>2112.6999999999998</v>
      </c>
      <c r="J17" s="129">
        <v>22700.400000000001</v>
      </c>
      <c r="K17" s="307">
        <f>I17/$I$20</f>
        <v>9.5292865326152637E-2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170105</v>
      </c>
      <c r="E18" s="129">
        <v>4605.3999999999996</v>
      </c>
      <c r="F18" s="129">
        <v>50416.5</v>
      </c>
      <c r="G18" s="307">
        <f>E18/$E$20</f>
        <v>0.21053834619463846</v>
      </c>
      <c r="H18" s="307">
        <f t="shared" si="1"/>
        <v>0.31380156330233339</v>
      </c>
      <c r="I18" s="313">
        <v>3505.4</v>
      </c>
      <c r="J18" s="129">
        <v>37664.800000000003</v>
      </c>
      <c r="K18" s="307">
        <f>I18/$I$20</f>
        <v>0.15811029020414422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15</v>
      </c>
      <c r="E19" s="129">
        <v>381.49799999999999</v>
      </c>
      <c r="F19" s="129">
        <v>4176.3432599999996</v>
      </c>
      <c r="G19" s="307">
        <f>E19/$E$20</f>
        <v>1.7440386936327396E-2</v>
      </c>
      <c r="H19" s="307">
        <f t="shared" si="1"/>
        <v>-0.13953577542555426</v>
      </c>
      <c r="I19" s="313">
        <v>443.363</v>
      </c>
      <c r="J19" s="129">
        <v>4763.8885</v>
      </c>
      <c r="K19" s="307">
        <f>I19/$I$20</f>
        <v>1.9997789865858387E-2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183665</v>
      </c>
      <c r="E20" s="319">
        <v>21874.400000000001</v>
      </c>
      <c r="F20" s="319">
        <v>239463.31960999995</v>
      </c>
      <c r="G20" s="320">
        <f>SUM(G15:G19)</f>
        <v>0.99999999999999989</v>
      </c>
      <c r="H20" s="320">
        <f t="shared" si="1"/>
        <v>-1.3360035362146297E-2</v>
      </c>
      <c r="I20" s="321">
        <v>22170.600000000002</v>
      </c>
      <c r="J20" s="319">
        <v>238220.08252999996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117</v>
      </c>
      <c r="E21" s="308">
        <v>11010.896999999999</v>
      </c>
      <c r="F21" s="308">
        <v>120567.57556000001</v>
      </c>
      <c r="G21" s="309">
        <f>E21/$E$26</f>
        <v>0.69924220005207371</v>
      </c>
      <c r="H21" s="309">
        <f>(E21-I21)/I21</f>
        <v>-0.13625478737478383</v>
      </c>
      <c r="I21" s="312">
        <v>12747.852999999999</v>
      </c>
      <c r="J21" s="308">
        <v>138081.35122000004</v>
      </c>
      <c r="K21" s="309">
        <f>I21/$I$26</f>
        <v>0.70886778918335791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343</v>
      </c>
      <c r="E22" s="129">
        <v>1273.5829999999999</v>
      </c>
      <c r="F22" s="129">
        <v>13945.391319999995</v>
      </c>
      <c r="G22" s="307">
        <f>E22/$E$26</f>
        <v>8.0878331608126033E-2</v>
      </c>
      <c r="H22" s="307">
        <f t="shared" ref="H22:H26" si="2">(E22-I22)/I22</f>
        <v>-0.11873745830969153</v>
      </c>
      <c r="I22" s="313">
        <v>1445.1799999999998</v>
      </c>
      <c r="J22" s="129">
        <v>15653.772960000002</v>
      </c>
      <c r="K22" s="307">
        <f>I22/$I$26</f>
        <v>8.0361889297908051E-2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13069</v>
      </c>
      <c r="E23" s="129">
        <v>1033.5</v>
      </c>
      <c r="F23" s="129">
        <v>11316.3</v>
      </c>
      <c r="G23" s="307">
        <f>E23/$E$26</f>
        <v>6.5631965656732433E-2</v>
      </c>
      <c r="H23" s="307">
        <f t="shared" si="2"/>
        <v>-0.21022466758367717</v>
      </c>
      <c r="I23" s="313">
        <v>1308.5999999999999</v>
      </c>
      <c r="J23" s="129">
        <v>14174.8</v>
      </c>
      <c r="K23" s="307">
        <f>I23/$I$26</f>
        <v>7.2767107443531251E-2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169915</v>
      </c>
      <c r="E24" s="129">
        <v>2060.5</v>
      </c>
      <c r="F24" s="129">
        <v>22561.8</v>
      </c>
      <c r="G24" s="307">
        <f>E24/$E$26</f>
        <v>0.13085115165524644</v>
      </c>
      <c r="H24" s="307">
        <f t="shared" si="2"/>
        <v>1.9450522732798443E-3</v>
      </c>
      <c r="I24" s="313">
        <v>2056.5</v>
      </c>
      <c r="J24" s="129">
        <v>22275.8</v>
      </c>
      <c r="K24" s="307">
        <f>I24/$I$26</f>
        <v>0.11435546114750268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15</v>
      </c>
      <c r="E25" s="129">
        <v>368.42</v>
      </c>
      <c r="F25" s="129">
        <v>4034.1339300000004</v>
      </c>
      <c r="G25" s="307">
        <f>E25/$E$26</f>
        <v>2.3396351027821352E-2</v>
      </c>
      <c r="H25" s="307">
        <f t="shared" si="2"/>
        <v>-0.13367366854235099</v>
      </c>
      <c r="I25" s="313">
        <v>425.267</v>
      </c>
      <c r="J25" s="129">
        <v>4606.3775999999998</v>
      </c>
      <c r="K25" s="307">
        <f>I25/$I$26</f>
        <v>2.3647752927699987E-2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183459</v>
      </c>
      <c r="E26" s="319">
        <v>15746.9</v>
      </c>
      <c r="F26" s="319">
        <v>172425.20081000001</v>
      </c>
      <c r="G26" s="320">
        <f>SUM(G21:G25)</f>
        <v>1</v>
      </c>
      <c r="H26" s="320">
        <f t="shared" si="2"/>
        <v>-0.12436469188251396</v>
      </c>
      <c r="I26" s="321">
        <v>17983.400000000001</v>
      </c>
      <c r="J26" s="319">
        <v>194792.10178000003</v>
      </c>
      <c r="K26" s="320">
        <f>SUM(K21:K25)</f>
        <v>0.99999999999999989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117</v>
      </c>
      <c r="E27" s="308">
        <f>E9+E15+E21</f>
        <v>38562.003999999994</v>
      </c>
      <c r="F27" s="308">
        <f>F9+F15+F21</f>
        <v>421545.03409999993</v>
      </c>
      <c r="G27" s="309">
        <f>E27/$E$32</f>
        <v>0.52111097897826475</v>
      </c>
      <c r="H27" s="309">
        <f>(E27-I27)/I27</f>
        <v>-0.14360909190260304</v>
      </c>
      <c r="I27" s="312">
        <f>I9+I15+I21</f>
        <v>45028.506999999998</v>
      </c>
      <c r="J27" s="308">
        <f>J9+J15+J21</f>
        <v>485493.02184000006</v>
      </c>
      <c r="K27" s="309">
        <f>I27/$I$32</f>
        <v>0.54491435133921717</v>
      </c>
    </row>
    <row r="28" spans="1:20" ht="11.1" customHeight="1">
      <c r="A28" s="442"/>
      <c r="B28" s="442"/>
      <c r="C28" s="154" t="s">
        <v>5</v>
      </c>
      <c r="D28" s="313">
        <f>D22</f>
        <v>343</v>
      </c>
      <c r="E28" s="129">
        <f t="shared" ref="E28:F31" si="3">E10+E16+E22</f>
        <v>6448.4289999999992</v>
      </c>
      <c r="F28" s="129">
        <f t="shared" si="3"/>
        <v>70458.468749999985</v>
      </c>
      <c r="G28" s="307">
        <f>E28/$E$32</f>
        <v>8.7141403467045769E-2</v>
      </c>
      <c r="H28" s="307">
        <f t="shared" ref="H28:H31" si="4">(E28-I28)/I28</f>
        <v>-7.3203167859076587E-2</v>
      </c>
      <c r="I28" s="313">
        <f t="shared" ref="I28:J28" si="5">I10+I16+I22</f>
        <v>6957.759</v>
      </c>
      <c r="J28" s="129">
        <f t="shared" si="5"/>
        <v>75002.939240000022</v>
      </c>
      <c r="K28" s="307">
        <f>I28/$I$32</f>
        <v>8.4199610088329158E-2</v>
      </c>
    </row>
    <row r="29" spans="1:20" ht="11.1" customHeight="1">
      <c r="A29" s="442"/>
      <c r="B29" s="442"/>
      <c r="C29" s="154" t="s">
        <v>6</v>
      </c>
      <c r="D29" s="313">
        <f>D23</f>
        <v>13069</v>
      </c>
      <c r="E29" s="129">
        <f t="shared" si="3"/>
        <v>9347.2000000000007</v>
      </c>
      <c r="F29" s="129">
        <f t="shared" si="3"/>
        <v>102074.5</v>
      </c>
      <c r="G29" s="307">
        <f>E29/$E$32</f>
        <v>0.12631419629295296</v>
      </c>
      <c r="H29" s="307">
        <f t="shared" si="4"/>
        <v>-8.9694396291462794E-2</v>
      </c>
      <c r="I29" s="313">
        <f t="shared" ref="I29:J29" si="6">I11+I17+I23</f>
        <v>10268.199999999999</v>
      </c>
      <c r="J29" s="129">
        <f t="shared" si="6"/>
        <v>110657.8</v>
      </c>
      <c r="K29" s="307">
        <f>I29/$I$32</f>
        <v>0.12426104961511047</v>
      </c>
    </row>
    <row r="30" spans="1:20" ht="11.1" customHeight="1">
      <c r="A30" s="442"/>
      <c r="B30" s="442"/>
      <c r="C30" s="154" t="s">
        <v>7</v>
      </c>
      <c r="D30" s="313">
        <f>D24</f>
        <v>169915</v>
      </c>
      <c r="E30" s="129">
        <f t="shared" si="3"/>
        <v>18550.400000000001</v>
      </c>
      <c r="F30" s="129">
        <f t="shared" si="3"/>
        <v>202578.5</v>
      </c>
      <c r="G30" s="307">
        <f>E30/$E$32</f>
        <v>0.25068243612127639</v>
      </c>
      <c r="H30" s="307">
        <f t="shared" si="4"/>
        <v>-2.9364365097637072E-2</v>
      </c>
      <c r="I30" s="313">
        <f t="shared" ref="I30:J30" si="7">I12+I18+I24</f>
        <v>19111.600000000002</v>
      </c>
      <c r="J30" s="129">
        <f t="shared" si="7"/>
        <v>205953.5</v>
      </c>
      <c r="K30" s="307">
        <f>I30/$I$32</f>
        <v>0.23127982273661846</v>
      </c>
    </row>
    <row r="31" spans="1:20" ht="11.1" customHeight="1">
      <c r="A31" s="442"/>
      <c r="B31" s="442"/>
      <c r="C31" s="154" t="s">
        <v>93</v>
      </c>
      <c r="D31" s="313">
        <f>D25</f>
        <v>15</v>
      </c>
      <c r="E31" s="129">
        <f>E13+E19+E25</f>
        <v>1091.567</v>
      </c>
      <c r="F31" s="129">
        <f t="shared" si="3"/>
        <v>11936.162110000001</v>
      </c>
      <c r="G31" s="307">
        <f>E31/$E$32</f>
        <v>1.4750985140460221E-2</v>
      </c>
      <c r="H31" s="307">
        <f t="shared" si="4"/>
        <v>-0.13916582678382447</v>
      </c>
      <c r="I31" s="313">
        <f>I13+I19+I25</f>
        <v>1268.0340000000001</v>
      </c>
      <c r="J31" s="129">
        <f t="shared" ref="J31" si="8">J13+J19+J25</f>
        <v>13674.272349999999</v>
      </c>
      <c r="K31" s="307">
        <f>I31/$I$32</f>
        <v>1.5345166220724861E-2</v>
      </c>
    </row>
    <row r="32" spans="1:20" ht="11.1" customHeight="1">
      <c r="A32" s="443"/>
      <c r="B32" s="443"/>
      <c r="C32" s="318" t="s">
        <v>0</v>
      </c>
      <c r="D32" s="321">
        <f>SUM(D27:D31)</f>
        <v>183459</v>
      </c>
      <c r="E32" s="319">
        <f>SUM(E27:E31)</f>
        <v>73999.599999999991</v>
      </c>
      <c r="F32" s="319">
        <f>SUM(F27:F31)</f>
        <v>808592.66495999997</v>
      </c>
      <c r="G32" s="320">
        <f>SUM(G27:G31)</f>
        <v>1</v>
      </c>
      <c r="H32" s="320">
        <f>(E32-I32)/I32</f>
        <v>-0.10449076107805375</v>
      </c>
      <c r="I32" s="321">
        <f>SUM(I27:I31)</f>
        <v>82634.099999999991</v>
      </c>
      <c r="J32" s="319">
        <f>SUM(J27:J31)</f>
        <v>890781.53343000007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42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81</v>
      </c>
      <c r="E39" s="308">
        <v>10998.79</v>
      </c>
      <c r="F39" s="308">
        <v>119941.85949999996</v>
      </c>
      <c r="G39" s="309">
        <f>E39/$E$44</f>
        <v>0.38872537065507434</v>
      </c>
      <c r="H39" s="309">
        <f>(E39-I39)/I39</f>
        <v>-6.277044177681454E-2</v>
      </c>
      <c r="I39" s="312">
        <v>11735.428</v>
      </c>
      <c r="J39" s="308">
        <v>126461.65083999997</v>
      </c>
      <c r="K39" s="309">
        <f>I39/$I$44</f>
        <v>0.37178962575281882</v>
      </c>
    </row>
    <row r="40" spans="1:11" ht="11.1" customHeight="1">
      <c r="A40" s="442"/>
      <c r="B40" s="442"/>
      <c r="C40" s="154" t="s">
        <v>5</v>
      </c>
      <c r="D40" s="313">
        <v>268</v>
      </c>
      <c r="E40" s="129">
        <v>2659.768</v>
      </c>
      <c r="F40" s="129">
        <v>29004.791290000019</v>
      </c>
      <c r="G40" s="307">
        <f t="shared" ref="G40" si="9">E40/$E$44</f>
        <v>9.4003004117407973E-2</v>
      </c>
      <c r="H40" s="307">
        <f>(E40-I40)/I40</f>
        <v>-0.16116366209860464</v>
      </c>
      <c r="I40" s="313">
        <v>3170.7829999999999</v>
      </c>
      <c r="J40" s="129">
        <v>34168.498520000001</v>
      </c>
      <c r="K40" s="307">
        <f t="shared" ref="K40:K43" si="10">I40/$I$44</f>
        <v>0.1004534495813361</v>
      </c>
    </row>
    <row r="41" spans="1:11" ht="11.1" customHeight="1">
      <c r="A41" s="442"/>
      <c r="B41" s="442"/>
      <c r="C41" s="154" t="s">
        <v>6</v>
      </c>
      <c r="D41" s="313">
        <v>11212</v>
      </c>
      <c r="E41" s="129">
        <v>4899.5389999999998</v>
      </c>
      <c r="F41" s="129">
        <v>53429.778959999996</v>
      </c>
      <c r="G41" s="307">
        <f>E41/$E$44</f>
        <v>0.17316224001130961</v>
      </c>
      <c r="H41" s="307">
        <f t="shared" ref="H41:H43" si="11">(E41-I41)/I41</f>
        <v>-0.12690895262696839</v>
      </c>
      <c r="I41" s="313">
        <v>5611.7160000000003</v>
      </c>
      <c r="J41" s="129">
        <v>60472.218220000002</v>
      </c>
      <c r="K41" s="307">
        <f t="shared" si="10"/>
        <v>0.17778455046301725</v>
      </c>
    </row>
    <row r="42" spans="1:11" ht="11.1" customHeight="1">
      <c r="A42" s="442"/>
      <c r="B42" s="442"/>
      <c r="C42" s="154" t="s">
        <v>7</v>
      </c>
      <c r="D42" s="313">
        <v>122825</v>
      </c>
      <c r="E42" s="129">
        <v>9474.2999999999993</v>
      </c>
      <c r="F42" s="129">
        <v>103317.4</v>
      </c>
      <c r="G42" s="307">
        <f>E42/$E$44</f>
        <v>0.334845994804644</v>
      </c>
      <c r="H42" s="307">
        <f t="shared" si="11"/>
        <v>-0.12289618396933845</v>
      </c>
      <c r="I42" s="313">
        <v>10801.8</v>
      </c>
      <c r="J42" s="129">
        <v>116401.60000000001</v>
      </c>
      <c r="K42" s="307">
        <f t="shared" si="10"/>
        <v>0.34221139437409509</v>
      </c>
    </row>
    <row r="43" spans="1:11" ht="11.1" customHeight="1">
      <c r="A43" s="442"/>
      <c r="B43" s="442"/>
      <c r="C43" s="154" t="s">
        <v>93</v>
      </c>
      <c r="D43" s="313">
        <v>15</v>
      </c>
      <c r="E43" s="129">
        <v>262.10300000000001</v>
      </c>
      <c r="F43" s="129">
        <v>2858.2228799999998</v>
      </c>
      <c r="G43" s="307">
        <f>E43/$E$44</f>
        <v>9.2633904115640847E-3</v>
      </c>
      <c r="H43" s="307">
        <f t="shared" si="11"/>
        <v>6.9926073485649415E-2</v>
      </c>
      <c r="I43" s="313">
        <v>244.97300000000001</v>
      </c>
      <c r="J43" s="129">
        <v>2639.8425299999999</v>
      </c>
      <c r="K43" s="307">
        <f t="shared" si="10"/>
        <v>7.7609798287327303E-3</v>
      </c>
    </row>
    <row r="44" spans="1:11" ht="11.1" customHeight="1">
      <c r="A44" s="443"/>
      <c r="B44" s="443"/>
      <c r="C44" s="318" t="s">
        <v>0</v>
      </c>
      <c r="D44" s="321">
        <v>134401</v>
      </c>
      <c r="E44" s="319">
        <v>28294.5</v>
      </c>
      <c r="F44" s="319">
        <v>308552.05262999999</v>
      </c>
      <c r="G44" s="320">
        <f>SUM(G39:G43)</f>
        <v>1</v>
      </c>
      <c r="H44" s="320">
        <f>(E44-I44)/I44</f>
        <v>-0.10360307558760262</v>
      </c>
      <c r="I44" s="321">
        <v>31564.7</v>
      </c>
      <c r="J44" s="319">
        <v>340143.81011000002</v>
      </c>
      <c r="K44" s="320">
        <f>SUM(K39:K43)</f>
        <v>1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81</v>
      </c>
      <c r="E45" s="308">
        <v>9145.9009999999998</v>
      </c>
      <c r="F45" s="308">
        <v>100122.29141000001</v>
      </c>
      <c r="G45" s="309">
        <f>E45/$E$50</f>
        <v>0.54638275882669218</v>
      </c>
      <c r="H45" s="309">
        <f>(E45-I45)/I45</f>
        <v>-8.4307681155807238E-2</v>
      </c>
      <c r="I45" s="312">
        <v>9987.9629999999997</v>
      </c>
      <c r="J45" s="308">
        <v>107319.48895999996</v>
      </c>
      <c r="K45" s="309">
        <f>I45/$I$50</f>
        <v>0.60244301560398339</v>
      </c>
    </row>
    <row r="46" spans="1:11" ht="11.1" customHeight="1">
      <c r="A46" s="442"/>
      <c r="B46" s="442"/>
      <c r="C46" s="154" t="s">
        <v>5</v>
      </c>
      <c r="D46" s="313">
        <v>265</v>
      </c>
      <c r="E46" s="129">
        <v>1778.5229999999999</v>
      </c>
      <c r="F46" s="129">
        <v>19470.280429999981</v>
      </c>
      <c r="G46" s="307">
        <f t="shared" ref="G46:G49" si="12">E46/$E$50</f>
        <v>0.10625025389808232</v>
      </c>
      <c r="H46" s="307">
        <f>(E46-I46)/I46</f>
        <v>-2.750668734293223E-2</v>
      </c>
      <c r="I46" s="313">
        <v>1828.828</v>
      </c>
      <c r="J46" s="129">
        <v>19650.645910000028</v>
      </c>
      <c r="K46" s="307">
        <f t="shared" ref="K46:K49" si="13">I46/$I$50</f>
        <v>0.11030924477203227</v>
      </c>
    </row>
    <row r="47" spans="1:11" ht="11.1" customHeight="1">
      <c r="A47" s="442"/>
      <c r="B47" s="442"/>
      <c r="C47" s="154" t="s">
        <v>6</v>
      </c>
      <c r="D47" s="313">
        <v>11202</v>
      </c>
      <c r="E47" s="129">
        <v>1907.0309999999999</v>
      </c>
      <c r="F47" s="129">
        <v>20877.217510000002</v>
      </c>
      <c r="G47" s="307">
        <f t="shared" si="12"/>
        <v>0.11392741501881833</v>
      </c>
      <c r="H47" s="307">
        <f t="shared" ref="H47:H49" si="14">(E47-I47)/I47</f>
        <v>0.10975838270038749</v>
      </c>
      <c r="I47" s="313">
        <v>1718.42</v>
      </c>
      <c r="J47" s="129">
        <v>18464.730060000002</v>
      </c>
      <c r="K47" s="307">
        <f t="shared" si="13"/>
        <v>0.10364977592269786</v>
      </c>
    </row>
    <row r="48" spans="1:11" ht="11.1" customHeight="1">
      <c r="A48" s="442"/>
      <c r="B48" s="442"/>
      <c r="C48" s="154" t="s">
        <v>7</v>
      </c>
      <c r="D48" s="313">
        <v>122693</v>
      </c>
      <c r="E48" s="129">
        <v>3671.4</v>
      </c>
      <c r="F48" s="129">
        <v>40192.1</v>
      </c>
      <c r="G48" s="307">
        <f t="shared" si="12"/>
        <v>0.21933209869167813</v>
      </c>
      <c r="H48" s="307">
        <f t="shared" si="14"/>
        <v>0.31379495437466454</v>
      </c>
      <c r="I48" s="313">
        <v>2794.5</v>
      </c>
      <c r="J48" s="129">
        <v>30026.400000000001</v>
      </c>
      <c r="K48" s="307">
        <f t="shared" si="13"/>
        <v>0.16855559107551074</v>
      </c>
    </row>
    <row r="49" spans="1:11" ht="11.1" customHeight="1">
      <c r="A49" s="442"/>
      <c r="B49" s="442"/>
      <c r="C49" s="154" t="s">
        <v>93</v>
      </c>
      <c r="D49" s="313">
        <v>15</v>
      </c>
      <c r="E49" s="129">
        <v>236.14500000000001</v>
      </c>
      <c r="F49" s="129">
        <v>2585.1209800000006</v>
      </c>
      <c r="G49" s="307">
        <f t="shared" si="12"/>
        <v>1.4107473564729077E-2</v>
      </c>
      <c r="H49" s="307">
        <f t="shared" si="14"/>
        <v>-5.3105790552109351E-2</v>
      </c>
      <c r="I49" s="313">
        <v>249.38900000000001</v>
      </c>
      <c r="J49" s="129">
        <v>2679.6600700000004</v>
      </c>
      <c r="K49" s="307">
        <f t="shared" si="13"/>
        <v>1.5042372625775829E-2</v>
      </c>
    </row>
    <row r="50" spans="1:11" ht="11.1" customHeight="1">
      <c r="A50" s="443"/>
      <c r="B50" s="443"/>
      <c r="C50" s="318" t="s">
        <v>0</v>
      </c>
      <c r="D50" s="321">
        <v>134256</v>
      </c>
      <c r="E50" s="319">
        <v>16739</v>
      </c>
      <c r="F50" s="319">
        <v>183247.01032999999</v>
      </c>
      <c r="G50" s="320">
        <f>SUM(G45:G49)</f>
        <v>1</v>
      </c>
      <c r="H50" s="320">
        <f t="shared" ref="H50" si="15">(E50-I50)/I50</f>
        <v>9.644673112533338E-3</v>
      </c>
      <c r="I50" s="321">
        <v>16579.099999999999</v>
      </c>
      <c r="J50" s="319">
        <v>178140.92499999999</v>
      </c>
      <c r="K50" s="320">
        <f>SUM(K45:K49)</f>
        <v>1.0000000000000002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81</v>
      </c>
      <c r="E51" s="308">
        <v>8755.4480000000003</v>
      </c>
      <c r="F51" s="308">
        <v>95870.740479999979</v>
      </c>
      <c r="G51" s="309">
        <f>E51/$E$56</f>
        <v>0.68766723478452096</v>
      </c>
      <c r="H51" s="309">
        <f>(E51-I51)/I51</f>
        <v>-6.9309161908746517E-2</v>
      </c>
      <c r="I51" s="312">
        <v>9407.4719999999998</v>
      </c>
      <c r="J51" s="308">
        <v>101899.18634999999</v>
      </c>
      <c r="K51" s="309">
        <f>I51/$I$56</f>
        <v>0.68529619161397481</v>
      </c>
    </row>
    <row r="52" spans="1:11" ht="11.1" customHeight="1">
      <c r="A52" s="442"/>
      <c r="B52" s="442"/>
      <c r="C52" s="154" t="s">
        <v>5</v>
      </c>
      <c r="D52" s="313">
        <v>265</v>
      </c>
      <c r="E52" s="129">
        <v>1245.2089999999998</v>
      </c>
      <c r="F52" s="129">
        <v>13634.533439999988</v>
      </c>
      <c r="G52" s="307">
        <f t="shared" ref="G52:G55" si="16">E52/$E$56</f>
        <v>9.7800755570565723E-2</v>
      </c>
      <c r="H52" s="307">
        <f t="shared" ref="H52:H55" si="17">(E52-I52)/I52</f>
        <v>-9.4133882727123377E-2</v>
      </c>
      <c r="I52" s="313">
        <v>1374.606</v>
      </c>
      <c r="J52" s="129">
        <v>14888.862900000006</v>
      </c>
      <c r="K52" s="307">
        <f t="shared" ref="K52:K55" si="18">I52/$I$56</f>
        <v>0.10013447361519859</v>
      </c>
    </row>
    <row r="53" spans="1:11" ht="11.1" customHeight="1">
      <c r="A53" s="442"/>
      <c r="B53" s="442"/>
      <c r="C53" s="154" t="s">
        <v>6</v>
      </c>
      <c r="D53" s="313">
        <v>11189</v>
      </c>
      <c r="E53" s="129">
        <v>844.995</v>
      </c>
      <c r="F53" s="129">
        <v>9252.335070000001</v>
      </c>
      <c r="G53" s="307">
        <f t="shared" si="16"/>
        <v>6.6367292119917376E-2</v>
      </c>
      <c r="H53" s="307">
        <f t="shared" si="17"/>
        <v>-0.21341374867815499</v>
      </c>
      <c r="I53" s="313">
        <v>1074.2560000000001</v>
      </c>
      <c r="J53" s="129">
        <v>11636.572029999999</v>
      </c>
      <c r="K53" s="307">
        <f t="shared" si="18"/>
        <v>7.8255193915906657E-2</v>
      </c>
    </row>
    <row r="54" spans="1:11" ht="11.1" customHeight="1">
      <c r="A54" s="442"/>
      <c r="B54" s="442"/>
      <c r="C54" s="154" t="s">
        <v>7</v>
      </c>
      <c r="D54" s="313">
        <v>122555</v>
      </c>
      <c r="E54" s="129">
        <v>1642.6</v>
      </c>
      <c r="F54" s="129">
        <v>17986.3</v>
      </c>
      <c r="G54" s="307">
        <f t="shared" si="16"/>
        <v>0.12901249597474099</v>
      </c>
      <c r="H54" s="307">
        <f t="shared" si="17"/>
        <v>1.8908203720645984E-3</v>
      </c>
      <c r="I54" s="313">
        <v>1639.5</v>
      </c>
      <c r="J54" s="129">
        <v>17758.3</v>
      </c>
      <c r="K54" s="307">
        <f t="shared" si="18"/>
        <v>0.11943092747457677</v>
      </c>
    </row>
    <row r="55" spans="1:11" ht="11.1" customHeight="1">
      <c r="A55" s="442"/>
      <c r="B55" s="442"/>
      <c r="C55" s="154" t="s">
        <v>93</v>
      </c>
      <c r="D55" s="313">
        <v>15</v>
      </c>
      <c r="E55" s="129">
        <v>243.84800000000001</v>
      </c>
      <c r="F55" s="129">
        <v>2670.0909799999999</v>
      </c>
      <c r="G55" s="307">
        <f t="shared" si="16"/>
        <v>1.9152221550254867E-2</v>
      </c>
      <c r="H55" s="307">
        <f t="shared" si="17"/>
        <v>5.2130165770648079E-2</v>
      </c>
      <c r="I55" s="313">
        <v>231.76599999999999</v>
      </c>
      <c r="J55" s="129">
        <v>2510.4221200000002</v>
      </c>
      <c r="K55" s="307">
        <f t="shared" si="18"/>
        <v>1.6883213380343251E-2</v>
      </c>
    </row>
    <row r="56" spans="1:11" ht="11.1" customHeight="1">
      <c r="A56" s="443"/>
      <c r="B56" s="443"/>
      <c r="C56" s="318" t="s">
        <v>0</v>
      </c>
      <c r="D56" s="321">
        <v>134105</v>
      </c>
      <c r="E56" s="319">
        <v>12732.1</v>
      </c>
      <c r="F56" s="319">
        <v>139413.99996999998</v>
      </c>
      <c r="G56" s="320">
        <f>SUM(G51:G55)</f>
        <v>1</v>
      </c>
      <c r="H56" s="320">
        <f t="shared" ref="H56" si="19">(E56-I56)/I56</f>
        <v>-7.2518138640403157E-2</v>
      </c>
      <c r="I56" s="321">
        <v>13727.599999999999</v>
      </c>
      <c r="J56" s="319">
        <v>148693.34339999998</v>
      </c>
      <c r="K56" s="320">
        <f>SUM(K51:K55)</f>
        <v>1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81</v>
      </c>
      <c r="E57" s="308">
        <f>E39+E45+E51</f>
        <v>28900.138999999999</v>
      </c>
      <c r="F57" s="308">
        <f>F39+F45+F51</f>
        <v>315934.89138999995</v>
      </c>
      <c r="G57" s="309">
        <f>E57/$E$62</f>
        <v>0.50030016134169819</v>
      </c>
      <c r="H57" s="309">
        <f>(E57-I57)/I57</f>
        <v>-7.1656349520409973E-2</v>
      </c>
      <c r="I57" s="312">
        <f>I39+I45+I51</f>
        <v>31130.862999999998</v>
      </c>
      <c r="J57" s="308">
        <f>J39+J45+J51</f>
        <v>335680.32614999992</v>
      </c>
      <c r="K57" s="309">
        <f>I57/$I$62</f>
        <v>0.50315433301977974</v>
      </c>
    </row>
    <row r="58" spans="1:11" ht="11.1" customHeight="1">
      <c r="A58" s="442"/>
      <c r="B58" s="442"/>
      <c r="C58" s="154" t="s">
        <v>5</v>
      </c>
      <c r="D58" s="313">
        <f>D52</f>
        <v>265</v>
      </c>
      <c r="E58" s="129">
        <f t="shared" ref="E58:F59" si="20">E40+E46+E52</f>
        <v>5683.5</v>
      </c>
      <c r="F58" s="129">
        <f t="shared" si="20"/>
        <v>62109.605159999992</v>
      </c>
      <c r="G58" s="307">
        <f t="shared" ref="G58:G61" si="21">E58/$E$62</f>
        <v>9.8389006606007731E-2</v>
      </c>
      <c r="H58" s="307">
        <f t="shared" ref="H58:H61" si="22">(E58-I58)/I58</f>
        <v>-0.10836107399544127</v>
      </c>
      <c r="I58" s="313">
        <f t="shared" ref="I58:J58" si="23">I40+I46+I52</f>
        <v>6374.2169999999996</v>
      </c>
      <c r="J58" s="129">
        <f t="shared" si="23"/>
        <v>68708.007330000037</v>
      </c>
      <c r="K58" s="307">
        <f t="shared" ref="K58:K61" si="24">I58/$I$62</f>
        <v>0.10302364258768995</v>
      </c>
    </row>
    <row r="59" spans="1:11" ht="11.1" customHeight="1">
      <c r="A59" s="442"/>
      <c r="B59" s="442"/>
      <c r="C59" s="154" t="s">
        <v>6</v>
      </c>
      <c r="D59" s="313">
        <f>D53</f>
        <v>11189</v>
      </c>
      <c r="E59" s="129">
        <f>E41+E47+E53</f>
        <v>7651.5649999999996</v>
      </c>
      <c r="F59" s="129">
        <f t="shared" si="20"/>
        <v>83559.331539999999</v>
      </c>
      <c r="G59" s="307">
        <f t="shared" si="21"/>
        <v>0.1324588509424294</v>
      </c>
      <c r="H59" s="307">
        <f t="shared" si="22"/>
        <v>-8.9575426753059614E-2</v>
      </c>
      <c r="I59" s="313">
        <f>I41+I47+I53</f>
        <v>8404.3919999999998</v>
      </c>
      <c r="J59" s="129">
        <f t="shared" ref="J59" si="25">J41+J47+J53</f>
        <v>90573.520310000007</v>
      </c>
      <c r="K59" s="307">
        <f t="shared" si="24"/>
        <v>0.13583646078802161</v>
      </c>
    </row>
    <row r="60" spans="1:11" ht="11.1" customHeight="1">
      <c r="A60" s="442"/>
      <c r="B60" s="442"/>
      <c r="C60" s="154" t="s">
        <v>7</v>
      </c>
      <c r="D60" s="313">
        <f>D54</f>
        <v>122555</v>
      </c>
      <c r="E60" s="129">
        <f t="shared" ref="E60:F61" si="26">E42+E48+E54</f>
        <v>14788.3</v>
      </c>
      <c r="F60" s="129">
        <f t="shared" si="26"/>
        <v>161495.79999999999</v>
      </c>
      <c r="G60" s="307">
        <f t="shared" si="21"/>
        <v>0.25600530419488415</v>
      </c>
      <c r="H60" s="307">
        <f t="shared" si="22"/>
        <v>-2.9371611598997101E-2</v>
      </c>
      <c r="I60" s="313">
        <f t="shared" ref="I60:J60" si="27">I42+I48+I54</f>
        <v>15235.8</v>
      </c>
      <c r="J60" s="129">
        <f t="shared" si="27"/>
        <v>164186.29999999999</v>
      </c>
      <c r="K60" s="307">
        <f t="shared" si="24"/>
        <v>0.24624947875755196</v>
      </c>
    </row>
    <row r="61" spans="1:11" ht="11.1" customHeight="1">
      <c r="A61" s="442"/>
      <c r="B61" s="442"/>
      <c r="C61" s="154" t="s">
        <v>93</v>
      </c>
      <c r="D61" s="313">
        <f>D55</f>
        <v>15</v>
      </c>
      <c r="E61" s="129">
        <f>E43+E49+E55</f>
        <v>742.096</v>
      </c>
      <c r="F61" s="129">
        <f t="shared" si="26"/>
        <v>8113.4348400000008</v>
      </c>
      <c r="G61" s="307">
        <f t="shared" si="21"/>
        <v>1.2846676914980542E-2</v>
      </c>
      <c r="H61" s="307">
        <f t="shared" si="22"/>
        <v>2.1990613225216435E-2</v>
      </c>
      <c r="I61" s="313">
        <f>I43+I49+I55</f>
        <v>726.12800000000004</v>
      </c>
      <c r="J61" s="129">
        <f t="shared" ref="J61" si="28">J43+J49+J55</f>
        <v>7829.92472</v>
      </c>
      <c r="K61" s="307">
        <f t="shared" si="24"/>
        <v>1.1736084846956754E-2</v>
      </c>
    </row>
    <row r="62" spans="1:11" ht="11.1" customHeight="1">
      <c r="A62" s="443"/>
      <c r="B62" s="443"/>
      <c r="C62" s="318" t="s">
        <v>0</v>
      </c>
      <c r="D62" s="321">
        <f>SUM(D57:D61)</f>
        <v>134105</v>
      </c>
      <c r="E62" s="319">
        <f>SUM(E57:E61)</f>
        <v>57765.599999999999</v>
      </c>
      <c r="F62" s="319">
        <f>SUM(F57:F61)</f>
        <v>631213.0629299999</v>
      </c>
      <c r="G62" s="320">
        <f>SUM(G57:G61)</f>
        <v>0.99999999999999989</v>
      </c>
      <c r="H62" s="320">
        <f>(E62-I62)/I62</f>
        <v>-6.6360224594885456E-2</v>
      </c>
      <c r="I62" s="321">
        <f>SUM(I57:I61)</f>
        <v>61871.399999999994</v>
      </c>
      <c r="J62" s="319">
        <f>SUM(J57:J61)</f>
        <v>666978.0785099999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9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43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85</v>
      </c>
      <c r="E9" s="308">
        <v>11601.655000000001</v>
      </c>
      <c r="F9" s="308">
        <v>126515.46264000003</v>
      </c>
      <c r="G9" s="309">
        <f>E9/$E$14</f>
        <v>0.40106665053410312</v>
      </c>
      <c r="H9" s="309">
        <f>(E9-I9)/I9</f>
        <v>-0.11945760557904928</v>
      </c>
      <c r="I9" s="312">
        <v>13175.578</v>
      </c>
      <c r="J9" s="308">
        <v>141981.25039</v>
      </c>
      <c r="K9" s="309">
        <f>I9/$I$14</f>
        <v>0.39846180831727962</v>
      </c>
    </row>
    <row r="10" spans="1:16" ht="11.1" customHeight="1">
      <c r="A10" s="442"/>
      <c r="B10" s="442"/>
      <c r="C10" s="154" t="s">
        <v>5</v>
      </c>
      <c r="D10" s="313">
        <v>324</v>
      </c>
      <c r="E10" s="129">
        <v>3048.6820000000002</v>
      </c>
      <c r="F10" s="129">
        <v>33245.986620000003</v>
      </c>
      <c r="G10" s="307">
        <f>E10/$E$14</f>
        <v>0.10539226328343762</v>
      </c>
      <c r="H10" s="307">
        <f>(E10-I10)/I10</f>
        <v>-0.15450255630882032</v>
      </c>
      <c r="I10" s="313">
        <v>3605.7849999999999</v>
      </c>
      <c r="J10" s="129">
        <v>38856.248229999976</v>
      </c>
      <c r="K10" s="307">
        <f>I10/$I$14</f>
        <v>0.10904778610117311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11764</v>
      </c>
      <c r="E11" s="129">
        <v>5372.2889999999998</v>
      </c>
      <c r="F11" s="129">
        <v>58585.169439999998</v>
      </c>
      <c r="G11" s="307">
        <f>E11/$E$14</f>
        <v>0.18571884398658692</v>
      </c>
      <c r="H11" s="307">
        <f t="shared" ref="H11:H13" si="0">(E11-I11)/I11</f>
        <v>-0.12612514281847559</v>
      </c>
      <c r="I11" s="313">
        <v>6147.6640000000007</v>
      </c>
      <c r="J11" s="129">
        <v>66248.148359999992</v>
      </c>
      <c r="K11" s="307">
        <f>I11/$I$14</f>
        <v>0.18592044420116074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145217</v>
      </c>
      <c r="E12" s="129">
        <v>8758</v>
      </c>
      <c r="F12" s="129">
        <v>95505.7</v>
      </c>
      <c r="G12" s="307">
        <f>E12/$E$14</f>
        <v>0.30276212535001901</v>
      </c>
      <c r="H12" s="307">
        <f t="shared" si="0"/>
        <v>-0.12289311073499518</v>
      </c>
      <c r="I12" s="313">
        <v>9985.1</v>
      </c>
      <c r="J12" s="129">
        <v>107600.6</v>
      </c>
      <c r="K12" s="307">
        <f>I12/$I$14</f>
        <v>0.30197392495637526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15</v>
      </c>
      <c r="E13" s="129">
        <v>146.374</v>
      </c>
      <c r="F13" s="129">
        <v>1596.2130500000001</v>
      </c>
      <c r="G13" s="307">
        <f>E13/$E$14</f>
        <v>5.0601168458533552E-3</v>
      </c>
      <c r="H13" s="307">
        <f t="shared" si="0"/>
        <v>-3.6842070630967456E-2</v>
      </c>
      <c r="I13" s="313">
        <v>151.97300000000001</v>
      </c>
      <c r="J13" s="129">
        <v>1637.6778399999996</v>
      </c>
      <c r="K13" s="307">
        <f>I13/$I$14</f>
        <v>4.5960364240112996E-3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157405</v>
      </c>
      <c r="E14" s="319">
        <v>28927</v>
      </c>
      <c r="F14" s="319">
        <v>315448.53175000002</v>
      </c>
      <c r="G14" s="320">
        <f>SUM(G9:G13)</f>
        <v>1</v>
      </c>
      <c r="H14" s="320">
        <f>(E14-I14)/I14</f>
        <v>-0.12517654032377568</v>
      </c>
      <c r="I14" s="321">
        <v>33066.1</v>
      </c>
      <c r="J14" s="319">
        <v>356323.92481999996</v>
      </c>
      <c r="K14" s="320">
        <f>SUM(K9:K13)</f>
        <v>0.99999999999999989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85</v>
      </c>
      <c r="E15" s="308">
        <v>10426.310000000001</v>
      </c>
      <c r="F15" s="308">
        <v>114138.97005</v>
      </c>
      <c r="G15" s="309">
        <f>E15/$E$20</f>
        <v>0.58560628612189192</v>
      </c>
      <c r="H15" s="309">
        <f>(E15-I15)/I15</f>
        <v>-0.11287160691561769</v>
      </c>
      <c r="I15" s="312">
        <v>11752.875999999998</v>
      </c>
      <c r="J15" s="308">
        <v>126283.27929999998</v>
      </c>
      <c r="K15" s="309">
        <f>I15/$I$20</f>
        <v>0.65346032381460717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324</v>
      </c>
      <c r="E16" s="129">
        <v>1734.652</v>
      </c>
      <c r="F16" s="129">
        <v>18989.240449999976</v>
      </c>
      <c r="G16" s="307">
        <f>E16/$E$20</f>
        <v>9.7428823374128712E-2</v>
      </c>
      <c r="H16" s="307">
        <f>(E16-I16)/I16</f>
        <v>8.8232932331581776E-2</v>
      </c>
      <c r="I16" s="313">
        <v>1594.008</v>
      </c>
      <c r="J16" s="129">
        <v>17127.537289999978</v>
      </c>
      <c r="K16" s="307">
        <f>I16/$I$20</f>
        <v>8.862690152121698E-2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11756</v>
      </c>
      <c r="E17" s="129">
        <v>2087.2339999999999</v>
      </c>
      <c r="F17" s="129">
        <v>22849.121480000002</v>
      </c>
      <c r="G17" s="307">
        <f>E17/$E$20</f>
        <v>0.11723201698466099</v>
      </c>
      <c r="H17" s="307">
        <f t="shared" ref="H17:H20" si="1">(E17-I17)/I17</f>
        <v>0.10008200937731897</v>
      </c>
      <c r="I17" s="313">
        <v>1897.3440000000001</v>
      </c>
      <c r="J17" s="129">
        <v>20386.470949999999</v>
      </c>
      <c r="K17" s="307">
        <f>I17/$I$20</f>
        <v>0.10549239391513211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145062</v>
      </c>
      <c r="E18" s="129">
        <v>3393.8</v>
      </c>
      <c r="F18" s="129">
        <v>37153.199999999997</v>
      </c>
      <c r="G18" s="307">
        <f>E18/$E$20</f>
        <v>0.19061687345191891</v>
      </c>
      <c r="H18" s="307">
        <f t="shared" si="1"/>
        <v>0.31379684112728418</v>
      </c>
      <c r="I18" s="313">
        <v>2583.1999999999998</v>
      </c>
      <c r="J18" s="129">
        <v>27756.2</v>
      </c>
      <c r="K18" s="307">
        <f>I18/$I$20</f>
        <v>0.14362601192064764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15</v>
      </c>
      <c r="E19" s="129">
        <v>162.304</v>
      </c>
      <c r="F19" s="129">
        <v>1776.7840999999999</v>
      </c>
      <c r="G19" s="307">
        <f>E19/$E$20</f>
        <v>9.1160000673994462E-3</v>
      </c>
      <c r="H19" s="307">
        <f t="shared" si="1"/>
        <v>2.6123460536631043E-2</v>
      </c>
      <c r="I19" s="313">
        <v>158.172</v>
      </c>
      <c r="J19" s="129">
        <v>1699.54278</v>
      </c>
      <c r="K19" s="307">
        <f>I19/$I$20</f>
        <v>8.79436882839605E-3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157242</v>
      </c>
      <c r="E20" s="319">
        <v>17804.300000000003</v>
      </c>
      <c r="F20" s="319">
        <v>194907.31607999996</v>
      </c>
      <c r="G20" s="320">
        <f>SUM(G15:G19)</f>
        <v>1</v>
      </c>
      <c r="H20" s="320">
        <f t="shared" si="1"/>
        <v>-1.0080286451383086E-2</v>
      </c>
      <c r="I20" s="321">
        <v>17985.599999999999</v>
      </c>
      <c r="J20" s="319">
        <v>193253.03031999993</v>
      </c>
      <c r="K20" s="320">
        <f>SUM(K15:K19)</f>
        <v>0.99999999999999989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85</v>
      </c>
      <c r="E21" s="308">
        <v>9344.8070000000007</v>
      </c>
      <c r="F21" s="308">
        <v>102324.47613</v>
      </c>
      <c r="G21" s="309">
        <f>E21/$E$26</f>
        <v>0.71</v>
      </c>
      <c r="H21" s="309">
        <f>(E21-I21)/I21</f>
        <v>-0.14365715888076566</v>
      </c>
      <c r="I21" s="312">
        <v>10912.460000000001</v>
      </c>
      <c r="J21" s="308">
        <v>118200.76586999999</v>
      </c>
      <c r="K21" s="309">
        <f>I21/$I$26</f>
        <v>0.72742459087424594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324</v>
      </c>
      <c r="E22" s="129">
        <v>1208.1509999999998</v>
      </c>
      <c r="F22" s="129">
        <v>13229.363259999998</v>
      </c>
      <c r="G22" s="307">
        <f>E22/$E$26</f>
        <v>9.1792929484792979E-2</v>
      </c>
      <c r="H22" s="307">
        <f t="shared" ref="H22:H26" si="2">(E22-I22)/I22</f>
        <v>-2.5807237154035729E-2</v>
      </c>
      <c r="I22" s="313">
        <v>1240.1560000000002</v>
      </c>
      <c r="J22" s="129">
        <v>13432.661779999999</v>
      </c>
      <c r="K22" s="307">
        <f>I22/$I$26</f>
        <v>8.2668799786687994E-2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11743</v>
      </c>
      <c r="E23" s="129">
        <v>929.73299999999995</v>
      </c>
      <c r="F23" s="129">
        <v>10180.385910000001</v>
      </c>
      <c r="G23" s="307">
        <f>E23/$E$26</f>
        <v>7.0639279120478349E-2</v>
      </c>
      <c r="H23" s="307">
        <f t="shared" si="2"/>
        <v>-0.20688299102923263</v>
      </c>
      <c r="I23" s="313">
        <v>1172.252</v>
      </c>
      <c r="J23" s="129">
        <v>12697.221949999999</v>
      </c>
      <c r="K23" s="307">
        <f>I23/$I$26</f>
        <v>7.8142319101423177E-2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144898</v>
      </c>
      <c r="E24" s="129">
        <v>1518.4</v>
      </c>
      <c r="F24" s="129">
        <v>16626.3</v>
      </c>
      <c r="G24" s="307">
        <f>E24/$E$26</f>
        <v>0.11536503643146402</v>
      </c>
      <c r="H24" s="307">
        <f t="shared" si="2"/>
        <v>1.9135598812273778E-3</v>
      </c>
      <c r="I24" s="313">
        <v>1515.5</v>
      </c>
      <c r="J24" s="129">
        <v>16415.599999999999</v>
      </c>
      <c r="K24" s="307">
        <f>I24/$I$26</f>
        <v>0.10102323101023229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15</v>
      </c>
      <c r="E25" s="129">
        <v>160.60900000000001</v>
      </c>
      <c r="F25" s="129">
        <v>1758.64447</v>
      </c>
      <c r="G25" s="307">
        <f>E25/$E$26</f>
        <v>1.2202754963264624E-2</v>
      </c>
      <c r="H25" s="307">
        <f t="shared" si="2"/>
        <v>-3.2457860636000055E-3</v>
      </c>
      <c r="I25" s="313">
        <v>161.13200000000001</v>
      </c>
      <c r="J25" s="129">
        <v>1745.3384300000002</v>
      </c>
      <c r="K25" s="307">
        <f>I25/$I$26</f>
        <v>1.0741059227410591E-2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157065</v>
      </c>
      <c r="E26" s="319">
        <v>13161.7</v>
      </c>
      <c r="F26" s="319">
        <v>144119.16976999998</v>
      </c>
      <c r="G26" s="320">
        <f>SUM(G21:G25)</f>
        <v>1</v>
      </c>
      <c r="H26" s="320">
        <f t="shared" si="2"/>
        <v>-0.12264106922641076</v>
      </c>
      <c r="I26" s="321">
        <v>15001.500000000002</v>
      </c>
      <c r="J26" s="319">
        <v>162491.58803000001</v>
      </c>
      <c r="K26" s="320">
        <f>SUM(K21:K25)</f>
        <v>1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85</v>
      </c>
      <c r="E27" s="308">
        <f>E9+E15+E21</f>
        <v>31372.772000000004</v>
      </c>
      <c r="F27" s="308">
        <f>F9+F15+F21</f>
        <v>342978.90882000001</v>
      </c>
      <c r="G27" s="309">
        <f>E27/$E$32</f>
        <v>0.52381366770741167</v>
      </c>
      <c r="H27" s="309">
        <f>(E27-I27)/I27</f>
        <v>-0.12466596136471277</v>
      </c>
      <c r="I27" s="312">
        <f>I9+I15+I21</f>
        <v>35840.913999999997</v>
      </c>
      <c r="J27" s="308">
        <f>J9+J15+J21</f>
        <v>386465.29556</v>
      </c>
      <c r="K27" s="309">
        <f>I27/$I$32</f>
        <v>0.54260677756717313</v>
      </c>
    </row>
    <row r="28" spans="1:20" ht="11.1" customHeight="1">
      <c r="A28" s="442"/>
      <c r="B28" s="442"/>
      <c r="C28" s="154" t="s">
        <v>5</v>
      </c>
      <c r="D28" s="313">
        <f>D22</f>
        <v>324</v>
      </c>
      <c r="E28" s="129">
        <f t="shared" ref="E28:F31" si="3">E10+E16+E22</f>
        <v>5991.4850000000006</v>
      </c>
      <c r="F28" s="129">
        <f t="shared" si="3"/>
        <v>65464.590329999977</v>
      </c>
      <c r="G28" s="307">
        <f>E28/$E$32</f>
        <v>0.10003648172574425</v>
      </c>
      <c r="H28" s="307">
        <f t="shared" ref="H28:H31" si="4">(E28-I28)/I28</f>
        <v>-6.9637818560364231E-2</v>
      </c>
      <c r="I28" s="313">
        <f t="shared" ref="I28:J28" si="5">I10+I16+I22</f>
        <v>6439.9489999999996</v>
      </c>
      <c r="J28" s="129">
        <f t="shared" si="5"/>
        <v>69416.447299999956</v>
      </c>
      <c r="K28" s="307">
        <f>I28/$I$32</f>
        <v>9.7496396843756244E-2</v>
      </c>
    </row>
    <row r="29" spans="1:20" ht="11.1" customHeight="1">
      <c r="A29" s="442"/>
      <c r="B29" s="442"/>
      <c r="C29" s="154" t="s">
        <v>6</v>
      </c>
      <c r="D29" s="313">
        <f>D23</f>
        <v>11743</v>
      </c>
      <c r="E29" s="129">
        <f t="shared" si="3"/>
        <v>8389.2559999999994</v>
      </c>
      <c r="F29" s="129">
        <f t="shared" si="3"/>
        <v>91614.676829999997</v>
      </c>
      <c r="G29" s="307">
        <f>E29/$E$32</f>
        <v>0.14007072612826205</v>
      </c>
      <c r="H29" s="307">
        <f t="shared" si="4"/>
        <v>-8.9831902322382223E-2</v>
      </c>
      <c r="I29" s="313">
        <f t="shared" ref="I29:J29" si="6">I11+I17+I23</f>
        <v>9217.26</v>
      </c>
      <c r="J29" s="129">
        <f t="shared" si="6"/>
        <v>99331.841259999987</v>
      </c>
      <c r="K29" s="307">
        <f>I29/$I$32</f>
        <v>0.13954297445089717</v>
      </c>
    </row>
    <row r="30" spans="1:20" ht="11.1" customHeight="1">
      <c r="A30" s="442"/>
      <c r="B30" s="442"/>
      <c r="C30" s="154" t="s">
        <v>7</v>
      </c>
      <c r="D30" s="313">
        <f>D24</f>
        <v>144898</v>
      </c>
      <c r="E30" s="129">
        <f t="shared" si="3"/>
        <v>13670.199999999999</v>
      </c>
      <c r="F30" s="129">
        <f t="shared" si="3"/>
        <v>149285.19999999998</v>
      </c>
      <c r="G30" s="307">
        <f>E30/$E$32</f>
        <v>0.22824370126725993</v>
      </c>
      <c r="H30" s="307">
        <f t="shared" si="4"/>
        <v>-2.9367074227126228E-2</v>
      </c>
      <c r="I30" s="313">
        <f t="shared" ref="I30:J30" si="7">I12+I18+I24</f>
        <v>14083.8</v>
      </c>
      <c r="J30" s="129">
        <f t="shared" si="7"/>
        <v>151772.40000000002</v>
      </c>
      <c r="K30" s="307">
        <f>I30/$I$32</f>
        <v>0.21321904162099642</v>
      </c>
    </row>
    <row r="31" spans="1:20" ht="11.1" customHeight="1">
      <c r="A31" s="442"/>
      <c r="B31" s="442"/>
      <c r="C31" s="154" t="s">
        <v>93</v>
      </c>
      <c r="D31" s="313">
        <f>D25</f>
        <v>15</v>
      </c>
      <c r="E31" s="129">
        <f>E13+E19+E25</f>
        <v>469.28700000000003</v>
      </c>
      <c r="F31" s="129">
        <f t="shared" si="3"/>
        <v>5131.6416200000003</v>
      </c>
      <c r="G31" s="307">
        <f>E31/$E$32</f>
        <v>7.8354231713221919E-3</v>
      </c>
      <c r="H31" s="307">
        <f t="shared" si="4"/>
        <v>-4.2225697413621971E-3</v>
      </c>
      <c r="I31" s="313">
        <f>I13+I19+I25</f>
        <v>471.27699999999999</v>
      </c>
      <c r="J31" s="129">
        <f t="shared" ref="J31" si="8">J13+J19+J25</f>
        <v>5082.5590499999998</v>
      </c>
      <c r="K31" s="307">
        <f>I31/$I$32</f>
        <v>7.1348095171770631E-3</v>
      </c>
    </row>
    <row r="32" spans="1:20" ht="11.1" customHeight="1">
      <c r="A32" s="443"/>
      <c r="B32" s="443"/>
      <c r="C32" s="318" t="s">
        <v>0</v>
      </c>
      <c r="D32" s="321">
        <f>SUM(D27:D31)</f>
        <v>157065</v>
      </c>
      <c r="E32" s="319">
        <f>SUM(E27:E31)</f>
        <v>59893</v>
      </c>
      <c r="F32" s="319">
        <f>SUM(F27:F31)</f>
        <v>654475.01760000002</v>
      </c>
      <c r="G32" s="320">
        <f>SUM(G27:G31)</f>
        <v>1</v>
      </c>
      <c r="H32" s="320">
        <f>(E32-I32)/I32</f>
        <v>-9.3261189465461136E-2</v>
      </c>
      <c r="I32" s="321">
        <f>SUM(I27:I31)</f>
        <v>66053.2</v>
      </c>
      <c r="J32" s="319">
        <f>SUM(J27:J31)</f>
        <v>712068.54316999996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90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135</v>
      </c>
      <c r="E39" s="308">
        <v>13889.848778400856</v>
      </c>
      <c r="F39" s="308">
        <v>151891.20647999999</v>
      </c>
      <c r="G39" s="309">
        <f>E39/$E$44</f>
        <v>0.21315706020505049</v>
      </c>
      <c r="H39" s="309">
        <f>(E39-I39)/I39</f>
        <v>-0.10448556295887662</v>
      </c>
      <c r="I39" s="312">
        <v>15510.468847709948</v>
      </c>
      <c r="J39" s="308">
        <v>168355.70262999999</v>
      </c>
      <c r="K39" s="309">
        <f>I39/$I$44</f>
        <v>0.21237730509239994</v>
      </c>
    </row>
    <row r="40" spans="1:11" ht="11.1" customHeight="1">
      <c r="A40" s="442"/>
      <c r="B40" s="442"/>
      <c r="C40" s="154" t="s">
        <v>5</v>
      </c>
      <c r="D40" s="313">
        <v>1449</v>
      </c>
      <c r="E40" s="129">
        <v>12579.483228035755</v>
      </c>
      <c r="F40" s="129">
        <v>137562.01834000001</v>
      </c>
      <c r="G40" s="307">
        <f t="shared" ref="G40" si="9">E40/$E$44</f>
        <v>0.19304786585988676</v>
      </c>
      <c r="H40" s="307">
        <f>(E40-I40)/I40</f>
        <v>-0.12047948978799081</v>
      </c>
      <c r="I40" s="313">
        <v>14302.660463260214</v>
      </c>
      <c r="J40" s="129">
        <v>155245.98737000002</v>
      </c>
      <c r="K40" s="307">
        <f t="shared" ref="K40:K43" si="10">I40/$I$44</f>
        <v>0.19583937240474217</v>
      </c>
    </row>
    <row r="41" spans="1:11" ht="11.1" customHeight="1">
      <c r="A41" s="442"/>
      <c r="B41" s="442"/>
      <c r="C41" s="154" t="s">
        <v>6</v>
      </c>
      <c r="D41" s="313">
        <v>37527</v>
      </c>
      <c r="E41" s="129">
        <v>16083.086953887409</v>
      </c>
      <c r="F41" s="129">
        <v>175875.42050882301</v>
      </c>
      <c r="G41" s="307">
        <f>E41/$E$44</f>
        <v>0.24681503656424497</v>
      </c>
      <c r="H41" s="307">
        <f t="shared" ref="H41:H43" si="11">(E41-I41)/I41</f>
        <v>-7.5324613519755751E-2</v>
      </c>
      <c r="I41" s="313">
        <v>17393.224897125587</v>
      </c>
      <c r="J41" s="129">
        <v>188792.03485525702</v>
      </c>
      <c r="K41" s="307">
        <f t="shared" si="10"/>
        <v>0.23815696783807791</v>
      </c>
    </row>
    <row r="42" spans="1:11" ht="11.1" customHeight="1">
      <c r="A42" s="442"/>
      <c r="B42" s="442"/>
      <c r="C42" s="154" t="s">
        <v>7</v>
      </c>
      <c r="D42" s="313">
        <v>366309</v>
      </c>
      <c r="E42" s="129">
        <v>21557.969116229542</v>
      </c>
      <c r="F42" s="129">
        <v>235745.59377213655</v>
      </c>
      <c r="G42" s="307">
        <f>E42/$E$44</f>
        <v>0.33083393448836457</v>
      </c>
      <c r="H42" s="307">
        <f t="shared" si="11"/>
        <v>-0.13125056077087419</v>
      </c>
      <c r="I42" s="313">
        <v>24814.944496952703</v>
      </c>
      <c r="J42" s="129">
        <v>269349.92757865082</v>
      </c>
      <c r="K42" s="307">
        <f t="shared" si="10"/>
        <v>0.33977896413224201</v>
      </c>
    </row>
    <row r="43" spans="1:11" ht="11.1" customHeight="1">
      <c r="A43" s="442"/>
      <c r="B43" s="442"/>
      <c r="C43" s="154" t="s">
        <v>93</v>
      </c>
      <c r="D43" s="313">
        <v>39</v>
      </c>
      <c r="E43" s="129">
        <v>1052.1205686644289</v>
      </c>
      <c r="F43" s="129">
        <v>11505.387490000001</v>
      </c>
      <c r="G43" s="307">
        <f>E43/$E$44</f>
        <v>1.6146102882453092E-2</v>
      </c>
      <c r="H43" s="307">
        <f t="shared" si="11"/>
        <v>4.0353063221918069E-2</v>
      </c>
      <c r="I43" s="313">
        <v>1011.3110691538385</v>
      </c>
      <c r="J43" s="129">
        <v>10977.11757</v>
      </c>
      <c r="K43" s="307">
        <f t="shared" si="10"/>
        <v>1.3847390532538105E-2</v>
      </c>
    </row>
    <row r="44" spans="1:11" ht="11.1" customHeight="1">
      <c r="A44" s="443"/>
      <c r="B44" s="443"/>
      <c r="C44" s="318" t="s">
        <v>0</v>
      </c>
      <c r="D44" s="321">
        <v>405459</v>
      </c>
      <c r="E44" s="319">
        <v>65162.508645217997</v>
      </c>
      <c r="F44" s="319">
        <v>712579.62659095961</v>
      </c>
      <c r="G44" s="320">
        <f>SUM(G39:G43)</f>
        <v>0.99999999999999989</v>
      </c>
      <c r="H44" s="320">
        <f>(E44-I44)/I44</f>
        <v>-0.1077614664643175</v>
      </c>
      <c r="I44" s="321">
        <v>73032.609774202283</v>
      </c>
      <c r="J44" s="319">
        <v>792720.77000390785</v>
      </c>
      <c r="K44" s="320">
        <f>SUM(K39:K43)</f>
        <v>1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134</v>
      </c>
      <c r="E45" s="308">
        <v>8659.8149274472689</v>
      </c>
      <c r="F45" s="308">
        <v>95063.774160000001</v>
      </c>
      <c r="G45" s="309">
        <f>E45/$E$50</f>
        <v>0.27841617387140133</v>
      </c>
      <c r="H45" s="309">
        <f>(E45-I45)/I45</f>
        <v>6.3441308920444153E-2</v>
      </c>
      <c r="I45" s="312">
        <v>8143.1996808910008</v>
      </c>
      <c r="J45" s="308">
        <v>87860.812040000004</v>
      </c>
      <c r="K45" s="309">
        <f>I45/$I$50</f>
        <v>0.30584598287735276</v>
      </c>
    </row>
    <row r="46" spans="1:11" ht="11.1" customHeight="1">
      <c r="A46" s="442"/>
      <c r="B46" s="442"/>
      <c r="C46" s="154" t="s">
        <v>5</v>
      </c>
      <c r="D46" s="313">
        <v>1452</v>
      </c>
      <c r="E46" s="129">
        <v>5888.6295548911385</v>
      </c>
      <c r="F46" s="129">
        <v>64642.869200000001</v>
      </c>
      <c r="G46" s="307">
        <f t="shared" ref="G46:G49" si="12">E46/$E$50</f>
        <v>0.18932156446236328</v>
      </c>
      <c r="H46" s="307">
        <f>(E46-I46)/I46</f>
        <v>0.18556590258353448</v>
      </c>
      <c r="I46" s="313">
        <v>4966.9356566841952</v>
      </c>
      <c r="J46" s="129">
        <v>53590.57922</v>
      </c>
      <c r="K46" s="307">
        <f t="shared" ref="K46:K49" si="13">I46/$I$50</f>
        <v>0.1865504196553032</v>
      </c>
    </row>
    <row r="47" spans="1:11" ht="11.1" customHeight="1">
      <c r="A47" s="442"/>
      <c r="B47" s="442"/>
      <c r="C47" s="154" t="s">
        <v>6</v>
      </c>
      <c r="D47" s="313">
        <v>37549</v>
      </c>
      <c r="E47" s="129">
        <v>6629.0964045905212</v>
      </c>
      <c r="F47" s="129">
        <v>72771.399151811202</v>
      </c>
      <c r="G47" s="307">
        <f t="shared" si="12"/>
        <v>0.21312784079726449</v>
      </c>
      <c r="H47" s="307">
        <f t="shared" ref="H47:H49" si="14">(E47-I47)/I47</f>
        <v>0.29872784317852408</v>
      </c>
      <c r="I47" s="313">
        <v>5104.2999034858458</v>
      </c>
      <c r="J47" s="129">
        <v>55072.665975102798</v>
      </c>
      <c r="K47" s="307">
        <f t="shared" si="13"/>
        <v>0.19170960826931263</v>
      </c>
    </row>
    <row r="48" spans="1:11" ht="11.1" customHeight="1">
      <c r="A48" s="442"/>
      <c r="B48" s="442"/>
      <c r="C48" s="154" t="s">
        <v>7</v>
      </c>
      <c r="D48" s="313">
        <v>365673</v>
      </c>
      <c r="E48" s="129">
        <v>8778.5388606202669</v>
      </c>
      <c r="F48" s="129">
        <v>96367.063685106215</v>
      </c>
      <c r="G48" s="307">
        <f t="shared" si="12"/>
        <v>0.28223319115155399</v>
      </c>
      <c r="H48" s="307">
        <f t="shared" si="14"/>
        <v>0.19797273663920018</v>
      </c>
      <c r="I48" s="313">
        <v>7327.8285825165203</v>
      </c>
      <c r="J48" s="129">
        <v>79063.351189874389</v>
      </c>
      <c r="K48" s="307">
        <f t="shared" si="13"/>
        <v>0.27522190576214645</v>
      </c>
    </row>
    <row r="49" spans="1:11" ht="11.1" customHeight="1">
      <c r="A49" s="442"/>
      <c r="B49" s="442"/>
      <c r="C49" s="154" t="s">
        <v>93</v>
      </c>
      <c r="D49" s="313">
        <v>39</v>
      </c>
      <c r="E49" s="129">
        <v>1147.7703163022784</v>
      </c>
      <c r="F49" s="129">
        <v>12599.73407</v>
      </c>
      <c r="G49" s="307">
        <f t="shared" si="12"/>
        <v>3.6901229717416995E-2</v>
      </c>
      <c r="H49" s="307">
        <f t="shared" si="14"/>
        <v>5.9903351225710347E-2</v>
      </c>
      <c r="I49" s="313">
        <v>1082.900922027424</v>
      </c>
      <c r="J49" s="129">
        <v>11683.921769999999</v>
      </c>
      <c r="K49" s="307">
        <f t="shared" si="13"/>
        <v>4.0672083435884777E-2</v>
      </c>
    </row>
    <row r="50" spans="1:11" ht="11.1" customHeight="1">
      <c r="A50" s="443"/>
      <c r="B50" s="443"/>
      <c r="C50" s="318" t="s">
        <v>0</v>
      </c>
      <c r="D50" s="321">
        <v>404847</v>
      </c>
      <c r="E50" s="319">
        <v>31103.850063851471</v>
      </c>
      <c r="F50" s="319">
        <v>341444.84026691742</v>
      </c>
      <c r="G50" s="320">
        <f>SUM(G45:G49)</f>
        <v>1.0000000000000002</v>
      </c>
      <c r="H50" s="320">
        <f t="shared" ref="H50" si="15">(E50-I50)/I50</f>
        <v>0.1682124922432931</v>
      </c>
      <c r="I50" s="321">
        <v>26625.16474560499</v>
      </c>
      <c r="J50" s="319">
        <v>287271.33019497723</v>
      </c>
      <c r="K50" s="320">
        <f>SUM(K45:K49)</f>
        <v>0.99999999999999978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135</v>
      </c>
      <c r="E51" s="308">
        <v>5960.1159901026176</v>
      </c>
      <c r="F51" s="308">
        <v>65443.604941869024</v>
      </c>
      <c r="G51" s="309">
        <f>E51/$E$56</f>
        <v>0.32449435436309604</v>
      </c>
      <c r="H51" s="309">
        <f>(E51-I51)/I51</f>
        <v>-3.9448153353507494E-2</v>
      </c>
      <c r="I51" s="312">
        <v>6204.8873373267188</v>
      </c>
      <c r="J51" s="308">
        <v>67960.032089999993</v>
      </c>
      <c r="K51" s="309">
        <f>I51/$I$56</f>
        <v>0.33638047595535758</v>
      </c>
    </row>
    <row r="52" spans="1:11" ht="11.1" customHeight="1">
      <c r="A52" s="442"/>
      <c r="B52" s="442"/>
      <c r="C52" s="154" t="s">
        <v>5</v>
      </c>
      <c r="D52" s="313">
        <v>1445</v>
      </c>
      <c r="E52" s="129">
        <v>3222.5868107857036</v>
      </c>
      <c r="F52" s="129">
        <v>35384.87139</v>
      </c>
      <c r="G52" s="307">
        <f t="shared" ref="G52:G55" si="16">E52/$E$56</f>
        <v>0.17545148924642509</v>
      </c>
      <c r="H52" s="307">
        <f t="shared" ref="H52:H55" si="17">(E52-I52)/I52</f>
        <v>-3.8927582448047601E-2</v>
      </c>
      <c r="I52" s="313">
        <v>3353.1154904999667</v>
      </c>
      <c r="J52" s="129">
        <v>36725.525289999998</v>
      </c>
      <c r="K52" s="307">
        <f t="shared" ref="K52:K55" si="18">I52/$I$56</f>
        <v>0.18177970417648379</v>
      </c>
    </row>
    <row r="53" spans="1:11" ht="11.1" customHeight="1">
      <c r="A53" s="442"/>
      <c r="B53" s="442"/>
      <c r="C53" s="154" t="s">
        <v>6</v>
      </c>
      <c r="D53" s="313">
        <v>37405</v>
      </c>
      <c r="E53" s="129">
        <v>3384.2737150390822</v>
      </c>
      <c r="F53" s="129">
        <v>37160.237159295793</v>
      </c>
      <c r="G53" s="307">
        <f t="shared" si="16"/>
        <v>0.18425441987592855</v>
      </c>
      <c r="H53" s="307">
        <f t="shared" si="17"/>
        <v>0.10447684963488073</v>
      </c>
      <c r="I53" s="313">
        <v>3064.141829824554</v>
      </c>
      <c r="J53" s="129">
        <v>33560.4957783871</v>
      </c>
      <c r="K53" s="307">
        <f t="shared" si="18"/>
        <v>0.16611381175458581</v>
      </c>
    </row>
    <row r="54" spans="1:11" ht="11.1" customHeight="1">
      <c r="A54" s="442"/>
      <c r="B54" s="442"/>
      <c r="C54" s="154" t="s">
        <v>7</v>
      </c>
      <c r="D54" s="313">
        <v>364968</v>
      </c>
      <c r="E54" s="129">
        <v>4689.0330551994848</v>
      </c>
      <c r="F54" s="129">
        <v>51486.846233706005</v>
      </c>
      <c r="G54" s="307">
        <f t="shared" si="16"/>
        <v>0.25529113130698905</v>
      </c>
      <c r="H54" s="307">
        <f t="shared" si="17"/>
        <v>-7.7321102949377057E-3</v>
      </c>
      <c r="I54" s="313">
        <v>4725.5716967655117</v>
      </c>
      <c r="J54" s="129">
        <v>51757.567954628648</v>
      </c>
      <c r="K54" s="307">
        <f t="shared" si="18"/>
        <v>0.25618354856447728</v>
      </c>
    </row>
    <row r="55" spans="1:11" ht="11.1" customHeight="1">
      <c r="A55" s="442"/>
      <c r="B55" s="442"/>
      <c r="C55" s="154" t="s">
        <v>93</v>
      </c>
      <c r="D55" s="313">
        <v>39</v>
      </c>
      <c r="E55" s="129">
        <v>1111.3854542839056</v>
      </c>
      <c r="F55" s="129">
        <v>12203.311709999998</v>
      </c>
      <c r="G55" s="307">
        <f t="shared" si="16"/>
        <v>6.0508605207561211E-2</v>
      </c>
      <c r="H55" s="307">
        <f t="shared" si="17"/>
        <v>1.1893528774633382E-2</v>
      </c>
      <c r="I55" s="313">
        <v>1098.3225237439292</v>
      </c>
      <c r="J55" s="129">
        <v>12029.55035</v>
      </c>
      <c r="K55" s="307">
        <f t="shared" si="18"/>
        <v>5.9542459549095719E-2</v>
      </c>
    </row>
    <row r="56" spans="1:11" ht="11.1" customHeight="1">
      <c r="A56" s="443"/>
      <c r="B56" s="443"/>
      <c r="C56" s="318" t="s">
        <v>0</v>
      </c>
      <c r="D56" s="321">
        <v>403992</v>
      </c>
      <c r="E56" s="319">
        <v>18367.395025410795</v>
      </c>
      <c r="F56" s="319">
        <v>201678.87143487085</v>
      </c>
      <c r="G56" s="320">
        <f>SUM(G51:G55)</f>
        <v>0.99999999999999978</v>
      </c>
      <c r="H56" s="320">
        <f t="shared" ref="H56" si="19">(E56-I56)/I56</f>
        <v>-4.2634547866530871E-3</v>
      </c>
      <c r="I56" s="321">
        <v>18446.038878160678</v>
      </c>
      <c r="J56" s="319">
        <v>202033.17146301572</v>
      </c>
      <c r="K56" s="320">
        <f>SUM(K51:K55)</f>
        <v>1.0000000000000002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135</v>
      </c>
      <c r="E57" s="308">
        <f>E39+E45+E51</f>
        <v>28509.779695950743</v>
      </c>
      <c r="F57" s="308">
        <f>F39+F45+F51</f>
        <v>312398.585581869</v>
      </c>
      <c r="G57" s="309">
        <f>E57/$E$62</f>
        <v>0.248703185293804</v>
      </c>
      <c r="H57" s="309">
        <f>(E57-I57)/I57</f>
        <v>-4.5172183679387086E-2</v>
      </c>
      <c r="I57" s="312">
        <f>I39+I45+I51</f>
        <v>29858.555865927668</v>
      </c>
      <c r="J57" s="308">
        <f>J39+J45+J51</f>
        <v>324176.54676</v>
      </c>
      <c r="K57" s="309">
        <f>I57/$I$62</f>
        <v>0.25281618778315756</v>
      </c>
    </row>
    <row r="58" spans="1:11" ht="11.1" customHeight="1">
      <c r="A58" s="442"/>
      <c r="B58" s="442"/>
      <c r="C58" s="154" t="s">
        <v>5</v>
      </c>
      <c r="D58" s="313">
        <f>D52</f>
        <v>1445</v>
      </c>
      <c r="E58" s="129">
        <f t="shared" ref="E58:F59" si="20">E40+E46+E52</f>
        <v>21690.699593712598</v>
      </c>
      <c r="F58" s="129">
        <f t="shared" si="20"/>
        <v>237589.75893000001</v>
      </c>
      <c r="G58" s="307">
        <f t="shared" ref="G58:G61" si="21">E58/$E$62</f>
        <v>0.18921738918149317</v>
      </c>
      <c r="H58" s="307">
        <f t="shared" ref="H58:H61" si="22">(E58-I58)/I58</f>
        <v>-4.1198068241363774E-2</v>
      </c>
      <c r="I58" s="313">
        <f t="shared" ref="I58:J58" si="23">I40+I46+I52</f>
        <v>22622.711610444378</v>
      </c>
      <c r="J58" s="129">
        <f t="shared" si="23"/>
        <v>245562.09187999999</v>
      </c>
      <c r="K58" s="307">
        <f t="shared" ref="K58:K61" si="24">I58/$I$62</f>
        <v>0.19154937473707018</v>
      </c>
    </row>
    <row r="59" spans="1:11" ht="11.1" customHeight="1">
      <c r="A59" s="442"/>
      <c r="B59" s="442"/>
      <c r="C59" s="154" t="s">
        <v>6</v>
      </c>
      <c r="D59" s="313">
        <f>D53</f>
        <v>37405</v>
      </c>
      <c r="E59" s="129">
        <f>E41+E47+E53</f>
        <v>26096.457073517013</v>
      </c>
      <c r="F59" s="129">
        <f t="shared" si="20"/>
        <v>285807.05681992997</v>
      </c>
      <c r="G59" s="307">
        <f t="shared" si="21"/>
        <v>0.22765072435787781</v>
      </c>
      <c r="H59" s="307">
        <f t="shared" si="22"/>
        <v>2.0921579598579623E-2</v>
      </c>
      <c r="I59" s="313">
        <f>I41+I47+I53</f>
        <v>25561.66663043599</v>
      </c>
      <c r="J59" s="129">
        <f t="shared" ref="J59" si="25">J41+J47+J53</f>
        <v>277425.19660874695</v>
      </c>
      <c r="K59" s="307">
        <f t="shared" si="24"/>
        <v>0.21643388045652884</v>
      </c>
    </row>
    <row r="60" spans="1:11" ht="11.1" customHeight="1">
      <c r="A60" s="442"/>
      <c r="B60" s="442"/>
      <c r="C60" s="154" t="s">
        <v>7</v>
      </c>
      <c r="D60" s="313">
        <f>D54</f>
        <v>364968</v>
      </c>
      <c r="E60" s="129">
        <f t="shared" ref="E60:F61" si="26">E42+E48+E54</f>
        <v>35025.541032049296</v>
      </c>
      <c r="F60" s="129">
        <f t="shared" si="26"/>
        <v>383599.50369094877</v>
      </c>
      <c r="G60" s="307">
        <f t="shared" si="21"/>
        <v>0.30554300012871421</v>
      </c>
      <c r="H60" s="307">
        <f t="shared" si="22"/>
        <v>-4.9983359854367727E-2</v>
      </c>
      <c r="I60" s="313">
        <f t="shared" ref="I60:J60" si="27">I42+I48+I54</f>
        <v>36868.344776234735</v>
      </c>
      <c r="J60" s="129">
        <f t="shared" si="27"/>
        <v>400170.8467231539</v>
      </c>
      <c r="K60" s="307">
        <f t="shared" si="24"/>
        <v>0.31216896148815693</v>
      </c>
    </row>
    <row r="61" spans="1:11" ht="11.1" customHeight="1">
      <c r="A61" s="442"/>
      <c r="B61" s="442"/>
      <c r="C61" s="154" t="s">
        <v>93</v>
      </c>
      <c r="D61" s="313">
        <f>D55</f>
        <v>39</v>
      </c>
      <c r="E61" s="129">
        <f>E43+E49+E55</f>
        <v>3311.2763392506131</v>
      </c>
      <c r="F61" s="129">
        <f t="shared" si="26"/>
        <v>36308.433269999994</v>
      </c>
      <c r="G61" s="307">
        <f t="shared" si="21"/>
        <v>2.8885701038110789E-2</v>
      </c>
      <c r="H61" s="307">
        <f t="shared" si="22"/>
        <v>3.7193591414689489E-2</v>
      </c>
      <c r="I61" s="313">
        <f>I43+I49+I55</f>
        <v>3192.5345149251916</v>
      </c>
      <c r="J61" s="129">
        <f t="shared" ref="J61" si="28">J43+J49+J55</f>
        <v>34690.589690000001</v>
      </c>
      <c r="K61" s="307">
        <f t="shared" si="24"/>
        <v>2.7031595535086429E-2</v>
      </c>
    </row>
    <row r="62" spans="1:11" ht="11.1" customHeight="1">
      <c r="A62" s="443"/>
      <c r="B62" s="443"/>
      <c r="C62" s="318" t="s">
        <v>0</v>
      </c>
      <c r="D62" s="321">
        <f>SUM(D57:D61)</f>
        <v>403992</v>
      </c>
      <c r="E62" s="319">
        <f>SUM(E57:E61)</f>
        <v>114633.75373448027</v>
      </c>
      <c r="F62" s="319">
        <f>SUM(F57:F61)</f>
        <v>1255703.3382927477</v>
      </c>
      <c r="G62" s="320">
        <f>SUM(G57:G61)</f>
        <v>1</v>
      </c>
      <c r="H62" s="320">
        <f>(E62-I62)/I62</f>
        <v>-2.9381436243678515E-2</v>
      </c>
      <c r="I62" s="321">
        <f>SUM(I57:I61)</f>
        <v>118103.81339796797</v>
      </c>
      <c r="J62" s="319">
        <f>SUM(J57:J61)</f>
        <v>1282025.2716619009</v>
      </c>
      <c r="K62" s="320">
        <f>SUM(K57:K61)</f>
        <v>0.99999999999999978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19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44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183</v>
      </c>
      <c r="E9" s="308">
        <v>48187.811999999998</v>
      </c>
      <c r="F9" s="308">
        <v>525424.24663900002</v>
      </c>
      <c r="G9" s="309">
        <f>E9/$E$14</f>
        <v>0.56112811831796083</v>
      </c>
      <c r="H9" s="309">
        <f>(E9-I9)/I9</f>
        <v>-6.5894582531873747E-2</v>
      </c>
      <c r="I9" s="312">
        <v>51587.124000000003</v>
      </c>
      <c r="J9" s="308">
        <v>555988.13503999985</v>
      </c>
      <c r="K9" s="309">
        <f>I9/$I$14</f>
        <v>0.54455588458740711</v>
      </c>
    </row>
    <row r="10" spans="1:16" ht="11.1" customHeight="1">
      <c r="A10" s="442"/>
      <c r="B10" s="442"/>
      <c r="C10" s="154" t="s">
        <v>5</v>
      </c>
      <c r="D10" s="313">
        <v>615</v>
      </c>
      <c r="E10" s="129">
        <v>6051.232</v>
      </c>
      <c r="F10" s="129">
        <v>65988.293780000022</v>
      </c>
      <c r="G10" s="307">
        <f>E10/$E$14</f>
        <v>7.0464216670917346E-2</v>
      </c>
      <c r="H10" s="307">
        <f>(E10-I10)/I10</f>
        <v>-0.13604345344929028</v>
      </c>
      <c r="I10" s="313">
        <v>7004.0929999999998</v>
      </c>
      <c r="J10" s="129">
        <v>75476.793889999928</v>
      </c>
      <c r="K10" s="307">
        <f>I10/$I$14</f>
        <v>7.3935504901328969E-2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19103</v>
      </c>
      <c r="E11" s="129">
        <v>9184.18</v>
      </c>
      <c r="F11" s="129">
        <v>100153.72544000001</v>
      </c>
      <c r="G11" s="307">
        <f>E11/$E$14</f>
        <v>0.1069461639323539</v>
      </c>
      <c r="H11" s="307">
        <f t="shared" ref="H11:H13" si="0">(E11-I11)/I11</f>
        <v>-0.12563379359154683</v>
      </c>
      <c r="I11" s="313">
        <v>10503.814</v>
      </c>
      <c r="J11" s="129">
        <v>113190.50438000001</v>
      </c>
      <c r="K11" s="307">
        <f>I11/$I$14</f>
        <v>0.11087870927465525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236755</v>
      </c>
      <c r="E12" s="129">
        <v>21554.5</v>
      </c>
      <c r="F12" s="129">
        <v>235051</v>
      </c>
      <c r="G12" s="307">
        <f>E12/$E$14</f>
        <v>0.25099367504555897</v>
      </c>
      <c r="H12" s="307">
        <f t="shared" si="0"/>
        <v>-0.12289518445875004</v>
      </c>
      <c r="I12" s="313">
        <v>24574.6</v>
      </c>
      <c r="J12" s="129">
        <v>264818.2</v>
      </c>
      <c r="K12" s="307">
        <f>I12/$I$14</f>
        <v>0.25941052735139281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36</v>
      </c>
      <c r="E13" s="129">
        <v>898.94200000000001</v>
      </c>
      <c r="F13" s="129">
        <v>9802.9394300000004</v>
      </c>
      <c r="G13" s="307">
        <f>E13/$E$14</f>
        <v>1.046782603320907E-2</v>
      </c>
      <c r="H13" s="307">
        <f t="shared" si="0"/>
        <v>-0.1542067989601435</v>
      </c>
      <c r="I13" s="313">
        <v>1062.8389999999999</v>
      </c>
      <c r="J13" s="129">
        <v>11453.249629999998</v>
      </c>
      <c r="K13" s="307">
        <f>I13/$I$14</f>
        <v>1.1219373885215912E-2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256692</v>
      </c>
      <c r="E14" s="319">
        <v>85876.665999999983</v>
      </c>
      <c r="F14" s="319">
        <v>936420.20528900018</v>
      </c>
      <c r="G14" s="320">
        <f>SUM(G9:G13)</f>
        <v>1.0000000000000002</v>
      </c>
      <c r="H14" s="320">
        <f>(E14-I14)/I14</f>
        <v>-9.3482245316732673E-2</v>
      </c>
      <c r="I14" s="321">
        <v>94732.47</v>
      </c>
      <c r="J14" s="319">
        <v>1020926.8829399999</v>
      </c>
      <c r="K14" s="320">
        <f>SUM(K9:K13)</f>
        <v>1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182</v>
      </c>
      <c r="E15" s="308">
        <v>32297.504999999997</v>
      </c>
      <c r="F15" s="308">
        <v>353523.3431939999</v>
      </c>
      <c r="G15" s="309">
        <f>E15/$E$20</f>
        <v>0.66159652706686778</v>
      </c>
      <c r="H15" s="309">
        <f>(E15-I15)/I15</f>
        <v>-0.29172475209931559</v>
      </c>
      <c r="I15" s="312">
        <v>45600.21699999999</v>
      </c>
      <c r="J15" s="308">
        <v>489975.53608599998</v>
      </c>
      <c r="K15" s="309">
        <f>I15/$I$20</f>
        <v>0.75749342233882988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615</v>
      </c>
      <c r="E16" s="129">
        <v>3655.9050000000002</v>
      </c>
      <c r="F16" s="129">
        <v>40021.799069999979</v>
      </c>
      <c r="G16" s="307">
        <f>E16/$E$20</f>
        <v>7.4889191944900943E-2</v>
      </c>
      <c r="H16" s="307">
        <f>(E16-I16)/I16</f>
        <v>-5.9343437592144707E-2</v>
      </c>
      <c r="I16" s="313">
        <v>3886.5459999999998</v>
      </c>
      <c r="J16" s="129">
        <v>41760.226949999975</v>
      </c>
      <c r="K16" s="307">
        <f>I16/$I$20</f>
        <v>6.4561820629434524E-2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19085</v>
      </c>
      <c r="E17" s="129">
        <v>3569.4159999999997</v>
      </c>
      <c r="F17" s="129">
        <v>39075.115119999995</v>
      </c>
      <c r="G17" s="307">
        <f>E17/$E$20</f>
        <v>7.3117512614578467E-2</v>
      </c>
      <c r="H17" s="307">
        <f t="shared" ref="H17:H20" si="1">(E17-I17)/I17</f>
        <v>0.10136736919894034</v>
      </c>
      <c r="I17" s="313">
        <v>3240.895</v>
      </c>
      <c r="J17" s="129">
        <v>34823.600919999997</v>
      </c>
      <c r="K17" s="307">
        <f>I17/$I$20</f>
        <v>5.3836512334816358E-2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236501</v>
      </c>
      <c r="E18" s="129">
        <v>8352.7000000000007</v>
      </c>
      <c r="F18" s="129">
        <v>91438.5</v>
      </c>
      <c r="G18" s="307">
        <f>E18/$E$20</f>
        <v>0.17110043985228665</v>
      </c>
      <c r="H18" s="307">
        <f t="shared" si="1"/>
        <v>0.31381338870013847</v>
      </c>
      <c r="I18" s="313">
        <v>6357.6</v>
      </c>
      <c r="J18" s="129">
        <v>68311.3</v>
      </c>
      <c r="K18" s="307">
        <f>I18/$I$20</f>
        <v>0.10561002772994142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36</v>
      </c>
      <c r="E19" s="129">
        <v>941.99900000000002</v>
      </c>
      <c r="F19" s="129">
        <v>10312.280140000001</v>
      </c>
      <c r="G19" s="307">
        <f>E19/$E$20</f>
        <v>1.9296328521366046E-2</v>
      </c>
      <c r="H19" s="307">
        <f t="shared" si="1"/>
        <v>-0.15407369624388556</v>
      </c>
      <c r="I19" s="313">
        <v>1113.5709999999999</v>
      </c>
      <c r="J19" s="129">
        <v>11965.19522</v>
      </c>
      <c r="K19" s="307">
        <f>I19/$I$20</f>
        <v>1.8498216966977885E-2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256419</v>
      </c>
      <c r="E20" s="319">
        <v>48817.525000000001</v>
      </c>
      <c r="F20" s="319">
        <v>534371.03752399993</v>
      </c>
      <c r="G20" s="320">
        <f>SUM(G15:G19)</f>
        <v>0.99999999999999989</v>
      </c>
      <c r="H20" s="320">
        <f t="shared" si="1"/>
        <v>-0.18906188357916373</v>
      </c>
      <c r="I20" s="321">
        <v>60198.828999999983</v>
      </c>
      <c r="J20" s="319">
        <v>646835.859176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182</v>
      </c>
      <c r="E21" s="308">
        <v>28424.520999999993</v>
      </c>
      <c r="F21" s="308">
        <v>311287.85921399988</v>
      </c>
      <c r="G21" s="309">
        <f>E21/$E$26</f>
        <v>0.75107288970129715</v>
      </c>
      <c r="H21" s="309">
        <f>(E21-I21)/I21</f>
        <v>-0.3066578336923042</v>
      </c>
      <c r="I21" s="312">
        <v>40996.383000000002</v>
      </c>
      <c r="J21" s="308">
        <v>444131.94329099997</v>
      </c>
      <c r="K21" s="309">
        <f>I21/$I$26</f>
        <v>0.80866368647149611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617</v>
      </c>
      <c r="E22" s="129">
        <v>3167.5149999999999</v>
      </c>
      <c r="F22" s="129">
        <v>34683.488360000018</v>
      </c>
      <c r="G22" s="307">
        <f>E22/$E$26</f>
        <v>8.3696560593658015E-2</v>
      </c>
      <c r="H22" s="307">
        <f t="shared" ref="H22:H26" si="2">(E22-I22)/I22</f>
        <v>0.10368645209082698</v>
      </c>
      <c r="I22" s="313">
        <v>2869.9409999999998</v>
      </c>
      <c r="J22" s="129">
        <v>31086.424520000015</v>
      </c>
      <c r="K22" s="307">
        <f>I22/$I$26</f>
        <v>5.6610288498272925E-2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19063</v>
      </c>
      <c r="E23" s="129">
        <v>1567.2619999999999</v>
      </c>
      <c r="F23" s="129">
        <v>17161.103419999999</v>
      </c>
      <c r="G23" s="307">
        <f>E23/$E$26</f>
        <v>4.1412412869122214E-2</v>
      </c>
      <c r="H23" s="307">
        <f t="shared" si="2"/>
        <v>-0.2125933852824293</v>
      </c>
      <c r="I23" s="313">
        <v>1990.41</v>
      </c>
      <c r="J23" s="129">
        <v>21559.558059999999</v>
      </c>
      <c r="K23" s="307">
        <f>I23/$I$26</f>
        <v>3.9261324302432496E-2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236235</v>
      </c>
      <c r="E24" s="129">
        <v>3737</v>
      </c>
      <c r="F24" s="129">
        <v>40919.4</v>
      </c>
      <c r="G24" s="307">
        <f>E24/$E$26</f>
        <v>9.874429858690488E-2</v>
      </c>
      <c r="H24" s="307">
        <f t="shared" si="2"/>
        <v>1.9303984127834785E-3</v>
      </c>
      <c r="I24" s="313">
        <v>3729.8</v>
      </c>
      <c r="J24" s="129">
        <v>40400.699999999997</v>
      </c>
      <c r="K24" s="307">
        <f>I24/$I$26</f>
        <v>7.3571217680383813E-2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36</v>
      </c>
      <c r="E25" s="129">
        <v>948.92499999999995</v>
      </c>
      <c r="F25" s="129">
        <v>10390.566879999998</v>
      </c>
      <c r="G25" s="307">
        <f>E25/$E$26</f>
        <v>2.5073838249017585E-2</v>
      </c>
      <c r="H25" s="307">
        <f t="shared" si="2"/>
        <v>-0.14505253522319592</v>
      </c>
      <c r="I25" s="313">
        <v>1109.922</v>
      </c>
      <c r="J25" s="129">
        <v>12022.378460000002</v>
      </c>
      <c r="K25" s="307">
        <f>I25/$I$26</f>
        <v>2.1893483047414595E-2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256133</v>
      </c>
      <c r="E26" s="319">
        <v>37845.222999999998</v>
      </c>
      <c r="F26" s="319">
        <v>414442.41787399992</v>
      </c>
      <c r="G26" s="320">
        <f>SUM(G21:G25)</f>
        <v>0.99999999999999989</v>
      </c>
      <c r="H26" s="320">
        <f t="shared" si="2"/>
        <v>-0.25349371561593981</v>
      </c>
      <c r="I26" s="321">
        <v>50696.456000000006</v>
      </c>
      <c r="J26" s="319">
        <v>549201.00433100003</v>
      </c>
      <c r="K26" s="320">
        <f>SUM(K21:K25)</f>
        <v>0.99999999999999978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182</v>
      </c>
      <c r="E27" s="308">
        <f>E9+E15+E21</f>
        <v>108909.83799999999</v>
      </c>
      <c r="F27" s="308">
        <f>F9+F15+F21</f>
        <v>1190235.4490469999</v>
      </c>
      <c r="G27" s="309">
        <f>E27/$E$32</f>
        <v>0.6312171548235348</v>
      </c>
      <c r="H27" s="309">
        <f>(E27-I27)/I27</f>
        <v>-0.21184756896550277</v>
      </c>
      <c r="I27" s="312">
        <f>I9+I15+I21</f>
        <v>138183.72399999999</v>
      </c>
      <c r="J27" s="308">
        <f>J9+J15+J21</f>
        <v>1490095.6144169997</v>
      </c>
      <c r="K27" s="309">
        <f>I27/$I$32</f>
        <v>0.67200910694181337</v>
      </c>
    </row>
    <row r="28" spans="1:20" ht="11.1" customHeight="1">
      <c r="A28" s="442"/>
      <c r="B28" s="442"/>
      <c r="C28" s="154" t="s">
        <v>5</v>
      </c>
      <c r="D28" s="313">
        <f>D22</f>
        <v>617</v>
      </c>
      <c r="E28" s="129">
        <f t="shared" ref="E28:F31" si="3">E10+E16+E22</f>
        <v>12874.652</v>
      </c>
      <c r="F28" s="129">
        <f t="shared" si="3"/>
        <v>140693.58121000003</v>
      </c>
      <c r="G28" s="307">
        <f>E28/$E$32</f>
        <v>7.4618614388014551E-2</v>
      </c>
      <c r="H28" s="307">
        <f t="shared" ref="H28:H31" si="4">(E28-I28)/I28</f>
        <v>-6.4381588566760864E-2</v>
      </c>
      <c r="I28" s="313">
        <f t="shared" ref="I28:J28" si="5">I10+I16+I22</f>
        <v>13760.579999999998</v>
      </c>
      <c r="J28" s="129">
        <f t="shared" si="5"/>
        <v>148323.4453599999</v>
      </c>
      <c r="K28" s="307">
        <f>I28/$I$32</f>
        <v>6.6919857195347973E-2</v>
      </c>
    </row>
    <row r="29" spans="1:20" ht="11.1" customHeight="1">
      <c r="A29" s="442"/>
      <c r="B29" s="442"/>
      <c r="C29" s="154" t="s">
        <v>6</v>
      </c>
      <c r="D29" s="313">
        <f>D23</f>
        <v>19063</v>
      </c>
      <c r="E29" s="129">
        <f t="shared" si="3"/>
        <v>14320.858</v>
      </c>
      <c r="F29" s="129">
        <f t="shared" si="3"/>
        <v>156389.94398000001</v>
      </c>
      <c r="G29" s="307">
        <f>E29/$E$32</f>
        <v>8.3000502134544157E-2</v>
      </c>
      <c r="H29" s="307">
        <f t="shared" si="4"/>
        <v>-8.9879269422747959E-2</v>
      </c>
      <c r="I29" s="313">
        <f t="shared" ref="I29:J29" si="6">I11+I17+I23</f>
        <v>15735.119000000001</v>
      </c>
      <c r="J29" s="129">
        <f t="shared" si="6"/>
        <v>169573.66336000001</v>
      </c>
      <c r="K29" s="307">
        <f>I29/$I$32</f>
        <v>7.6522349816054755E-2</v>
      </c>
    </row>
    <row r="30" spans="1:20" ht="11.1" customHeight="1">
      <c r="A30" s="442"/>
      <c r="B30" s="442"/>
      <c r="C30" s="154" t="s">
        <v>7</v>
      </c>
      <c r="D30" s="313">
        <f>D24</f>
        <v>236235</v>
      </c>
      <c r="E30" s="129">
        <f t="shared" si="3"/>
        <v>33644.199999999997</v>
      </c>
      <c r="F30" s="129">
        <f t="shared" si="3"/>
        <v>367408.9</v>
      </c>
      <c r="G30" s="307">
        <f>E30/$E$32</f>
        <v>0.19499428692855067</v>
      </c>
      <c r="H30" s="307">
        <f t="shared" si="4"/>
        <v>-2.9363568172638708E-2</v>
      </c>
      <c r="I30" s="313">
        <f t="shared" ref="I30:J30" si="7">I12+I18+I24</f>
        <v>34662</v>
      </c>
      <c r="J30" s="129">
        <f t="shared" si="7"/>
        <v>373530.2</v>
      </c>
      <c r="K30" s="307">
        <f>I30/$I$32</f>
        <v>0.16856673847360734</v>
      </c>
    </row>
    <row r="31" spans="1:20" ht="11.1" customHeight="1">
      <c r="A31" s="442"/>
      <c r="B31" s="442"/>
      <c r="C31" s="154" t="s">
        <v>93</v>
      </c>
      <c r="D31" s="313">
        <f>D25</f>
        <v>36</v>
      </c>
      <c r="E31" s="129">
        <f>E13+E19+E25</f>
        <v>2789.866</v>
      </c>
      <c r="F31" s="129">
        <f t="shared" si="3"/>
        <v>30505.78645</v>
      </c>
      <c r="G31" s="307">
        <f>E31/$E$32</f>
        <v>1.6169441725355574E-2</v>
      </c>
      <c r="H31" s="307">
        <f t="shared" si="4"/>
        <v>-0.15106994667611182</v>
      </c>
      <c r="I31" s="313">
        <f>I13+I19+I25</f>
        <v>3286.3319999999999</v>
      </c>
      <c r="J31" s="129">
        <f t="shared" ref="J31" si="8">J13+J19+J25</f>
        <v>35440.82331</v>
      </c>
      <c r="K31" s="307">
        <f>I31/$I$32</f>
        <v>1.5981947573176589E-2</v>
      </c>
    </row>
    <row r="32" spans="1:20" ht="11.1" customHeight="1">
      <c r="A32" s="443"/>
      <c r="B32" s="443"/>
      <c r="C32" s="318" t="s">
        <v>0</v>
      </c>
      <c r="D32" s="321">
        <f>SUM(D27:D31)</f>
        <v>256133</v>
      </c>
      <c r="E32" s="319">
        <f>SUM(E27:E31)</f>
        <v>172539.41400000002</v>
      </c>
      <c r="F32" s="319">
        <f>SUM(F27:F31)</f>
        <v>1885233.660687</v>
      </c>
      <c r="G32" s="320">
        <f>SUM(G27:G31)</f>
        <v>0.99999999999999978</v>
      </c>
      <c r="H32" s="320">
        <f>(E32-I32)/I32</f>
        <v>-0.16091378812164711</v>
      </c>
      <c r="I32" s="321">
        <f>SUM(I27:I31)</f>
        <v>205627.75499999998</v>
      </c>
      <c r="J32" s="319">
        <f>SUM(J27:J31)</f>
        <v>2216963.7464469997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45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127</v>
      </c>
      <c r="E39" s="308">
        <v>51532.629000000001</v>
      </c>
      <c r="F39" s="308">
        <v>562320.10810099985</v>
      </c>
      <c r="G39" s="309">
        <f>E39/$E$44</f>
        <v>0.72343730387871918</v>
      </c>
      <c r="H39" s="309">
        <f>(E39-I39)/I39</f>
        <v>0.19774555947971056</v>
      </c>
      <c r="I39" s="312">
        <v>43024.688000000009</v>
      </c>
      <c r="J39" s="308">
        <v>463758.4480400001</v>
      </c>
      <c r="K39" s="309">
        <f>I39/$I$44</f>
        <v>0.6550114033707003</v>
      </c>
    </row>
    <row r="40" spans="1:11" ht="11.1" customHeight="1">
      <c r="A40" s="442"/>
      <c r="B40" s="442"/>
      <c r="C40" s="154" t="s">
        <v>5</v>
      </c>
      <c r="D40" s="313">
        <v>302</v>
      </c>
      <c r="E40" s="129">
        <v>2769.2860000000001</v>
      </c>
      <c r="F40" s="129">
        <v>30198.940299999987</v>
      </c>
      <c r="G40" s="307">
        <f t="shared" ref="G40" si="9">E40/$E$44</f>
        <v>3.887643297820266E-2</v>
      </c>
      <c r="H40" s="307">
        <f>(E40-I40)/I40</f>
        <v>-0.2001646294969846</v>
      </c>
      <c r="I40" s="313">
        <v>3462.3199999999997</v>
      </c>
      <c r="J40" s="129">
        <v>37309.992729999991</v>
      </c>
      <c r="K40" s="307">
        <f t="shared" ref="K40:K43" si="10">I40/$I$44</f>
        <v>5.2710645620915188E-2</v>
      </c>
    </row>
    <row r="41" spans="1:11" ht="11.1" customHeight="1">
      <c r="A41" s="442"/>
      <c r="B41" s="442"/>
      <c r="C41" s="154" t="s">
        <v>6</v>
      </c>
      <c r="D41" s="313">
        <v>12855</v>
      </c>
      <c r="E41" s="129">
        <v>5464.2510000000002</v>
      </c>
      <c r="F41" s="129">
        <v>59542.195910000002</v>
      </c>
      <c r="G41" s="307">
        <f>E41/$E$44</f>
        <v>7.670951565767381E-2</v>
      </c>
      <c r="H41" s="307">
        <f t="shared" ref="H41:H43" si="11">(E41-I41)/I41</f>
        <v>-0.11232720091804277</v>
      </c>
      <c r="I41" s="313">
        <v>6155.7039999999997</v>
      </c>
      <c r="J41" s="129">
        <v>66330.341180000003</v>
      </c>
      <c r="K41" s="307">
        <f t="shared" si="10"/>
        <v>9.3714946074091976E-2</v>
      </c>
    </row>
    <row r="42" spans="1:11" ht="11.1" customHeight="1">
      <c r="A42" s="442"/>
      <c r="B42" s="442"/>
      <c r="C42" s="154" t="s">
        <v>7</v>
      </c>
      <c r="D42" s="313">
        <v>205238</v>
      </c>
      <c r="E42" s="129">
        <v>11076.4</v>
      </c>
      <c r="F42" s="129">
        <v>120787.7</v>
      </c>
      <c r="G42" s="307">
        <f>E42/$E$44</f>
        <v>0.15549528731946211</v>
      </c>
      <c r="H42" s="307">
        <f t="shared" si="11"/>
        <v>-0.1228975958949669</v>
      </c>
      <c r="I42" s="313">
        <v>12628.4</v>
      </c>
      <c r="J42" s="129">
        <v>136084.4</v>
      </c>
      <c r="K42" s="307">
        <f t="shared" si="10"/>
        <v>0.192255804535446</v>
      </c>
    </row>
    <row r="43" spans="1:11" ht="11.1" customHeight="1">
      <c r="A43" s="442"/>
      <c r="B43" s="442"/>
      <c r="C43" s="154" t="s">
        <v>93</v>
      </c>
      <c r="D43" s="313">
        <v>19</v>
      </c>
      <c r="E43" s="129">
        <v>390.46100000000001</v>
      </c>
      <c r="F43" s="129">
        <v>4257.9681200000005</v>
      </c>
      <c r="G43" s="307">
        <f>E43/$E$44</f>
        <v>5.4814601659424088E-3</v>
      </c>
      <c r="H43" s="307">
        <f t="shared" si="11"/>
        <v>-5.7519955779874496E-2</v>
      </c>
      <c r="I43" s="313">
        <v>414.291</v>
      </c>
      <c r="J43" s="129">
        <v>4464.4305599999998</v>
      </c>
      <c r="K43" s="307">
        <f t="shared" si="10"/>
        <v>6.3072003988466048E-3</v>
      </c>
    </row>
    <row r="44" spans="1:11" ht="11.1" customHeight="1">
      <c r="A44" s="443"/>
      <c r="B44" s="443"/>
      <c r="C44" s="318" t="s">
        <v>0</v>
      </c>
      <c r="D44" s="321">
        <v>218541</v>
      </c>
      <c r="E44" s="319">
        <v>71233.026999999987</v>
      </c>
      <c r="F44" s="319">
        <v>777106.9124309998</v>
      </c>
      <c r="G44" s="320">
        <f>SUM(G39:G43)</f>
        <v>1</v>
      </c>
      <c r="H44" s="320">
        <f>(E44-I44)/I44</f>
        <v>8.4457485934888471E-2</v>
      </c>
      <c r="I44" s="321">
        <v>65685.403000000006</v>
      </c>
      <c r="J44" s="319">
        <v>707947.61251000012</v>
      </c>
      <c r="K44" s="320">
        <f>SUM(K39:K43)</f>
        <v>1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127</v>
      </c>
      <c r="E45" s="308">
        <v>45052.08</v>
      </c>
      <c r="F45" s="308">
        <v>493396.23794500012</v>
      </c>
      <c r="G45" s="309">
        <f>E45/$E$50</f>
        <v>0.83857706761221296</v>
      </c>
      <c r="H45" s="309">
        <f>(E45-I45)/I45</f>
        <v>-0.3374152454610222</v>
      </c>
      <c r="I45" s="312">
        <v>67994.440999999992</v>
      </c>
      <c r="J45" s="308">
        <v>731070.59909000015</v>
      </c>
      <c r="K45" s="309">
        <f>I45/$I$50</f>
        <v>0.90061748999106983</v>
      </c>
    </row>
    <row r="46" spans="1:11" ht="11.1" customHeight="1">
      <c r="A46" s="442"/>
      <c r="B46" s="442"/>
      <c r="C46" s="154" t="s">
        <v>5</v>
      </c>
      <c r="D46" s="313">
        <v>302</v>
      </c>
      <c r="E46" s="129">
        <v>1743.251</v>
      </c>
      <c r="F46" s="129">
        <v>19083.482129999997</v>
      </c>
      <c r="G46" s="307">
        <f t="shared" ref="G46:G49" si="12">E46/$E$50</f>
        <v>3.2448009319260236E-2</v>
      </c>
      <c r="H46" s="307">
        <f>(E46-I46)/I46</f>
        <v>-6.2134968559414167E-2</v>
      </c>
      <c r="I46" s="313">
        <v>1858.7439999999997</v>
      </c>
      <c r="J46" s="129">
        <v>19972.328430000012</v>
      </c>
      <c r="K46" s="307">
        <f t="shared" ref="K46:K49" si="13">I46/$I$50</f>
        <v>2.4619914969459943E-2</v>
      </c>
    </row>
    <row r="47" spans="1:11" ht="11.1" customHeight="1">
      <c r="A47" s="442"/>
      <c r="B47" s="442"/>
      <c r="C47" s="154" t="s">
        <v>6</v>
      </c>
      <c r="D47" s="313">
        <v>12843</v>
      </c>
      <c r="E47" s="129">
        <v>2200.2849999999999</v>
      </c>
      <c r="F47" s="129">
        <v>24032.881170000001</v>
      </c>
      <c r="G47" s="307">
        <f t="shared" si="12"/>
        <v>4.0955013469103706E-2</v>
      </c>
      <c r="H47" s="307">
        <f t="shared" ref="H47:H49" si="14">(E47-I47)/I47</f>
        <v>0.13939346549275997</v>
      </c>
      <c r="I47" s="313">
        <v>1931.1020000000001</v>
      </c>
      <c r="J47" s="129">
        <v>20745.938409999999</v>
      </c>
      <c r="K47" s="307">
        <f t="shared" si="13"/>
        <v>2.5578329795471592E-2</v>
      </c>
    </row>
    <row r="48" spans="1:11" ht="11.1" customHeight="1">
      <c r="A48" s="442"/>
      <c r="B48" s="442"/>
      <c r="C48" s="154" t="s">
        <v>7</v>
      </c>
      <c r="D48" s="313">
        <v>205018</v>
      </c>
      <c r="E48" s="129">
        <v>4292.3</v>
      </c>
      <c r="F48" s="129">
        <v>46988.3</v>
      </c>
      <c r="G48" s="307">
        <f t="shared" si="12"/>
        <v>7.9894742868961907E-2</v>
      </c>
      <c r="H48" s="307">
        <f t="shared" si="14"/>
        <v>0.31383532292623206</v>
      </c>
      <c r="I48" s="313">
        <v>3267</v>
      </c>
      <c r="J48" s="129">
        <v>35103.699999999997</v>
      </c>
      <c r="K48" s="307">
        <f t="shared" si="13"/>
        <v>4.3272910204539008E-2</v>
      </c>
    </row>
    <row r="49" spans="1:11" ht="11.1" customHeight="1">
      <c r="A49" s="442"/>
      <c r="B49" s="442"/>
      <c r="C49" s="154" t="s">
        <v>93</v>
      </c>
      <c r="D49" s="313">
        <v>19</v>
      </c>
      <c r="E49" s="129">
        <v>436.52</v>
      </c>
      <c r="F49" s="129">
        <v>4778.6754099999998</v>
      </c>
      <c r="G49" s="307">
        <f t="shared" si="12"/>
        <v>8.125166730461349E-3</v>
      </c>
      <c r="H49" s="307">
        <f t="shared" si="14"/>
        <v>-2.1898170036276671E-2</v>
      </c>
      <c r="I49" s="313">
        <v>446.29300000000001</v>
      </c>
      <c r="J49" s="129">
        <v>4795.3726799999995</v>
      </c>
      <c r="K49" s="307">
        <f t="shared" si="13"/>
        <v>5.9113550394595425E-3</v>
      </c>
    </row>
    <row r="50" spans="1:11" ht="11.1" customHeight="1">
      <c r="A50" s="443"/>
      <c r="B50" s="443"/>
      <c r="C50" s="318" t="s">
        <v>0</v>
      </c>
      <c r="D50" s="321">
        <v>218309</v>
      </c>
      <c r="E50" s="319">
        <v>53724.435999999994</v>
      </c>
      <c r="F50" s="319">
        <v>588279.57665500022</v>
      </c>
      <c r="G50" s="320">
        <f>SUM(G45:G49)</f>
        <v>1.0000000000000002</v>
      </c>
      <c r="H50" s="320">
        <f t="shared" ref="H50" si="15">(E50-I50)/I50</f>
        <v>-0.28839525717248166</v>
      </c>
      <c r="I50" s="321">
        <v>75497.58</v>
      </c>
      <c r="J50" s="319">
        <v>811687.93861000007</v>
      </c>
      <c r="K50" s="320">
        <f>SUM(K45:K49)</f>
        <v>0.99999999999999989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127</v>
      </c>
      <c r="E51" s="308">
        <v>82823.31</v>
      </c>
      <c r="F51" s="308">
        <v>907573.76104300003</v>
      </c>
      <c r="G51" s="309">
        <f>E51/$E$56</f>
        <v>0.94651937012419018</v>
      </c>
      <c r="H51" s="309">
        <f>(E51-I51)/I51</f>
        <v>4.447268154806297E-2</v>
      </c>
      <c r="I51" s="312">
        <v>79296.77</v>
      </c>
      <c r="J51" s="308">
        <v>863455.44128999987</v>
      </c>
      <c r="K51" s="309">
        <f>I51/$I$56</f>
        <v>0.94024212019219233</v>
      </c>
    </row>
    <row r="52" spans="1:11" ht="11.1" customHeight="1">
      <c r="A52" s="442"/>
      <c r="B52" s="442"/>
      <c r="C52" s="154" t="s">
        <v>5</v>
      </c>
      <c r="D52" s="313">
        <v>303</v>
      </c>
      <c r="E52" s="129">
        <v>1291.97</v>
      </c>
      <c r="F52" s="129">
        <v>14146.390419999989</v>
      </c>
      <c r="G52" s="307">
        <f t="shared" ref="G52:G55" si="16">E52/$E$56</f>
        <v>1.4764860648763617E-2</v>
      </c>
      <c r="H52" s="307">
        <f t="shared" ref="H52:H55" si="17">(E52-I52)/I52</f>
        <v>-0.11345378839187624</v>
      </c>
      <c r="I52" s="313">
        <v>1457.307</v>
      </c>
      <c r="J52" s="129">
        <v>15785.226049999997</v>
      </c>
      <c r="K52" s="307">
        <f t="shared" ref="K52:K55" si="18">I52/$I$56</f>
        <v>1.7279662506441602E-2</v>
      </c>
    </row>
    <row r="53" spans="1:11" ht="11.1" customHeight="1">
      <c r="A53" s="442"/>
      <c r="B53" s="442"/>
      <c r="C53" s="154" t="s">
        <v>6</v>
      </c>
      <c r="D53" s="313">
        <v>12828</v>
      </c>
      <c r="E53" s="129">
        <v>1041.019</v>
      </c>
      <c r="F53" s="129">
        <v>11346.55545</v>
      </c>
      <c r="G53" s="307">
        <f t="shared" si="16"/>
        <v>1.1896948433566763E-2</v>
      </c>
      <c r="H53" s="307">
        <f t="shared" si="17"/>
        <v>-0.15667221314011939</v>
      </c>
      <c r="I53" s="313">
        <v>1234.4179999999999</v>
      </c>
      <c r="J53" s="129">
        <v>13358.76649</v>
      </c>
      <c r="K53" s="307">
        <f t="shared" si="18"/>
        <v>1.4636810522337866E-2</v>
      </c>
    </row>
    <row r="54" spans="1:11" ht="11.1" customHeight="1">
      <c r="A54" s="442"/>
      <c r="B54" s="442"/>
      <c r="C54" s="154" t="s">
        <v>7</v>
      </c>
      <c r="D54" s="313">
        <v>204787</v>
      </c>
      <c r="E54" s="129">
        <v>1920.4</v>
      </c>
      <c r="F54" s="129">
        <v>21027.599999999999</v>
      </c>
      <c r="G54" s="307">
        <f t="shared" si="16"/>
        <v>2.1946669342078878E-2</v>
      </c>
      <c r="H54" s="307">
        <f t="shared" si="17"/>
        <v>1.9304012104137556E-3</v>
      </c>
      <c r="I54" s="313">
        <v>1916.7</v>
      </c>
      <c r="J54" s="129">
        <v>20761.099999999999</v>
      </c>
      <c r="K54" s="307">
        <f t="shared" si="18"/>
        <v>2.2726803018236114E-2</v>
      </c>
    </row>
    <row r="55" spans="1:11" ht="11.1" customHeight="1">
      <c r="A55" s="442"/>
      <c r="B55" s="442"/>
      <c r="C55" s="154" t="s">
        <v>93</v>
      </c>
      <c r="D55" s="313">
        <v>19</v>
      </c>
      <c r="E55" s="129">
        <v>426.32799999999997</v>
      </c>
      <c r="F55" s="129">
        <v>4668.2234000000008</v>
      </c>
      <c r="G55" s="307">
        <f t="shared" si="16"/>
        <v>4.8721514514006477E-3</v>
      </c>
      <c r="H55" s="307">
        <f t="shared" si="17"/>
        <v>-1.1637935031575522E-2</v>
      </c>
      <c r="I55" s="313">
        <v>431.34800000000001</v>
      </c>
      <c r="J55" s="129">
        <v>4672.2505000000001</v>
      </c>
      <c r="K55" s="307">
        <f t="shared" si="18"/>
        <v>5.1146037607920445E-3</v>
      </c>
    </row>
    <row r="56" spans="1:11" ht="11.1" customHeight="1">
      <c r="A56" s="443"/>
      <c r="B56" s="443"/>
      <c r="C56" s="318" t="s">
        <v>0</v>
      </c>
      <c r="D56" s="321">
        <v>218064</v>
      </c>
      <c r="E56" s="319">
        <v>87503.026999999987</v>
      </c>
      <c r="F56" s="319">
        <v>958762.53031299997</v>
      </c>
      <c r="G56" s="320">
        <f>SUM(G51:G55)</f>
        <v>1.0000000000000002</v>
      </c>
      <c r="H56" s="320">
        <f t="shared" ref="H56" si="19">(E56-I56)/I56</f>
        <v>3.7545812139821548E-2</v>
      </c>
      <c r="I56" s="321">
        <v>84336.543000000005</v>
      </c>
      <c r="J56" s="319">
        <v>918032.78432999982</v>
      </c>
      <c r="K56" s="320">
        <f>SUM(K51:K55)</f>
        <v>1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127</v>
      </c>
      <c r="E57" s="308">
        <f>E39+E45+E51</f>
        <v>179408.019</v>
      </c>
      <c r="F57" s="308">
        <f>F39+F45+F51</f>
        <v>1963290.1070890001</v>
      </c>
      <c r="G57" s="309">
        <f>E57/$E$62</f>
        <v>0.84443003496791325</v>
      </c>
      <c r="H57" s="309">
        <f>(E57-I57)/I57</f>
        <v>-5.7314601971325603E-2</v>
      </c>
      <c r="I57" s="312">
        <f>I39+I45+I51</f>
        <v>190315.899</v>
      </c>
      <c r="J57" s="308">
        <f>J39+J45+J51</f>
        <v>2058284.4884200003</v>
      </c>
      <c r="K57" s="309">
        <f>I57/$I$62</f>
        <v>0.84389987144616474</v>
      </c>
    </row>
    <row r="58" spans="1:11" ht="11.1" customHeight="1">
      <c r="A58" s="442"/>
      <c r="B58" s="442"/>
      <c r="C58" s="154" t="s">
        <v>5</v>
      </c>
      <c r="D58" s="313">
        <f>D52</f>
        <v>303</v>
      </c>
      <c r="E58" s="129">
        <f t="shared" ref="E58:F59" si="20">E40+E46+E52</f>
        <v>5804.5070000000005</v>
      </c>
      <c r="F58" s="129">
        <f t="shared" si="20"/>
        <v>63428.812849999973</v>
      </c>
      <c r="G58" s="307">
        <f t="shared" ref="G58:G61" si="21">E58/$E$62</f>
        <v>2.7320406725975261E-2</v>
      </c>
      <c r="H58" s="307">
        <f t="shared" ref="H58:H61" si="22">(E58-I58)/I58</f>
        <v>-0.14367227760180121</v>
      </c>
      <c r="I58" s="313">
        <f t="shared" ref="I58:J58" si="23">I40+I46+I52</f>
        <v>6778.3709999999992</v>
      </c>
      <c r="J58" s="129">
        <f t="shared" si="23"/>
        <v>73067.547210000004</v>
      </c>
      <c r="K58" s="307">
        <f t="shared" ref="K58:K61" si="24">I58/$I$62</f>
        <v>3.0056692297233716E-2</v>
      </c>
    </row>
    <row r="59" spans="1:11" ht="11.1" customHeight="1">
      <c r="A59" s="442"/>
      <c r="B59" s="442"/>
      <c r="C59" s="154" t="s">
        <v>6</v>
      </c>
      <c r="D59" s="313">
        <f>D53</f>
        <v>12828</v>
      </c>
      <c r="E59" s="129">
        <f>E41+E47+E53</f>
        <v>8705.5550000000003</v>
      </c>
      <c r="F59" s="129">
        <f t="shared" si="20"/>
        <v>94921.632530000003</v>
      </c>
      <c r="G59" s="307">
        <f t="shared" si="21"/>
        <v>4.0974936092823655E-2</v>
      </c>
      <c r="H59" s="307">
        <f t="shared" si="22"/>
        <v>-6.6050231171356874E-2</v>
      </c>
      <c r="I59" s="313">
        <f>I41+I47+I53</f>
        <v>9321.2240000000002</v>
      </c>
      <c r="J59" s="129">
        <f t="shared" ref="J59" si="25">J41+J47+J53</f>
        <v>100435.04608</v>
      </c>
      <c r="K59" s="307">
        <f t="shared" si="24"/>
        <v>4.1332225928853716E-2</v>
      </c>
    </row>
    <row r="60" spans="1:11" ht="11.1" customHeight="1">
      <c r="A60" s="442"/>
      <c r="B60" s="442"/>
      <c r="C60" s="154" t="s">
        <v>7</v>
      </c>
      <c r="D60" s="313">
        <f>D54</f>
        <v>204787</v>
      </c>
      <c r="E60" s="129">
        <f t="shared" ref="E60:F61" si="26">E42+E48+E54</f>
        <v>17289.100000000002</v>
      </c>
      <c r="F60" s="129">
        <f t="shared" si="26"/>
        <v>188803.6</v>
      </c>
      <c r="G60" s="307">
        <f t="shared" si="21"/>
        <v>8.1375600705806531E-2</v>
      </c>
      <c r="H60" s="307">
        <f t="shared" si="22"/>
        <v>-2.9362062867376471E-2</v>
      </c>
      <c r="I60" s="313">
        <f t="shared" ref="I60:J60" si="27">I42+I48+I54</f>
        <v>17812.099999999999</v>
      </c>
      <c r="J60" s="129">
        <f t="shared" si="27"/>
        <v>191949.19999999998</v>
      </c>
      <c r="K60" s="307">
        <f t="shared" si="24"/>
        <v>7.8982517904015101E-2</v>
      </c>
    </row>
    <row r="61" spans="1:11" ht="11.1" customHeight="1">
      <c r="A61" s="442"/>
      <c r="B61" s="442"/>
      <c r="C61" s="154" t="s">
        <v>93</v>
      </c>
      <c r="D61" s="313">
        <f>D55</f>
        <v>19</v>
      </c>
      <c r="E61" s="129">
        <f>E43+E49+E55</f>
        <v>1253.309</v>
      </c>
      <c r="F61" s="129">
        <f t="shared" si="26"/>
        <v>13704.866930000002</v>
      </c>
      <c r="G61" s="307">
        <f t="shared" si="21"/>
        <v>5.8990215074812254E-3</v>
      </c>
      <c r="H61" s="307">
        <f t="shared" si="22"/>
        <v>-2.9895536297576068E-2</v>
      </c>
      <c r="I61" s="313">
        <f>I43+I49+I55</f>
        <v>1291.932</v>
      </c>
      <c r="J61" s="129">
        <f t="shared" ref="J61" si="28">J43+J49+J55</f>
        <v>13932.053739999999</v>
      </c>
      <c r="K61" s="307">
        <f t="shared" si="24"/>
        <v>5.7286924237327456E-3</v>
      </c>
    </row>
    <row r="62" spans="1:11" ht="11.1" customHeight="1">
      <c r="A62" s="443"/>
      <c r="B62" s="443"/>
      <c r="C62" s="318" t="s">
        <v>0</v>
      </c>
      <c r="D62" s="321">
        <f>SUM(D57:D61)</f>
        <v>218064</v>
      </c>
      <c r="E62" s="319">
        <f>SUM(E57:E61)</f>
        <v>212460.49000000002</v>
      </c>
      <c r="F62" s="319">
        <f>SUM(F57:F61)</f>
        <v>2324149.0193989999</v>
      </c>
      <c r="G62" s="320">
        <f>SUM(G57:G61)</f>
        <v>0.99999999999999989</v>
      </c>
      <c r="H62" s="320">
        <f>(E62-I62)/I62</f>
        <v>-5.7906453740950097E-2</v>
      </c>
      <c r="I62" s="321">
        <f>SUM(I57:I61)</f>
        <v>225519.52600000001</v>
      </c>
      <c r="J62" s="319">
        <f>SUM(J57:J61)</f>
        <v>2437668.3354500006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14" t="s">
        <v>309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4"/>
      <c r="B3" s="534"/>
      <c r="C3" s="534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506" t="s">
        <v>46</v>
      </c>
      <c r="B4" s="506"/>
      <c r="C4" s="506"/>
      <c r="D4" s="500">
        <f>'3.1'!A4</f>
        <v>2023</v>
      </c>
      <c r="E4" s="353"/>
      <c r="F4" s="342"/>
      <c r="G4" s="342"/>
      <c r="H4" s="342"/>
      <c r="I4" s="500">
        <f>D4-1</f>
        <v>2022</v>
      </c>
      <c r="J4" s="501"/>
      <c r="K4" s="501"/>
    </row>
    <row r="5" spans="1:16" ht="24.95" customHeight="1">
      <c r="A5" s="354"/>
      <c r="B5" s="354"/>
      <c r="C5" s="354"/>
      <c r="D5" s="502"/>
      <c r="E5" s="355"/>
      <c r="F5" s="356"/>
      <c r="G5" s="356"/>
      <c r="H5" s="357"/>
      <c r="I5" s="502"/>
      <c r="J5" s="503"/>
      <c r="K5" s="503"/>
    </row>
    <row r="6" spans="1:16" ht="24.95" customHeight="1">
      <c r="A6" s="304"/>
      <c r="B6" s="272"/>
      <c r="C6" s="305"/>
      <c r="D6" s="364" t="s">
        <v>159</v>
      </c>
      <c r="E6" s="498" t="s">
        <v>60</v>
      </c>
      <c r="F6" s="498"/>
      <c r="G6" s="499" t="s">
        <v>33</v>
      </c>
      <c r="H6" s="499" t="s">
        <v>270</v>
      </c>
      <c r="I6" s="497" t="s">
        <v>60</v>
      </c>
      <c r="J6" s="498"/>
      <c r="K6" s="499" t="s">
        <v>33</v>
      </c>
    </row>
    <row r="7" spans="1:16" ht="24.95" customHeight="1">
      <c r="A7" s="304"/>
      <c r="B7" s="306"/>
      <c r="D7" s="365"/>
      <c r="E7" s="498"/>
      <c r="F7" s="498"/>
      <c r="G7" s="499"/>
      <c r="H7" s="499"/>
      <c r="I7" s="497"/>
      <c r="J7" s="498"/>
      <c r="K7" s="499"/>
    </row>
    <row r="8" spans="1:16" ht="15" customHeight="1">
      <c r="A8" s="507" t="s">
        <v>158</v>
      </c>
      <c r="B8" s="507"/>
      <c r="C8" s="323" t="s">
        <v>184</v>
      </c>
      <c r="D8" s="343"/>
      <c r="E8" s="219" t="s">
        <v>261</v>
      </c>
      <c r="F8" s="219" t="s">
        <v>262</v>
      </c>
      <c r="G8" s="486"/>
      <c r="H8" s="486"/>
      <c r="I8" s="221" t="s">
        <v>261</v>
      </c>
      <c r="J8" s="219" t="s">
        <v>262</v>
      </c>
      <c r="K8" s="486"/>
    </row>
    <row r="9" spans="1:16" ht="11.1" customHeight="1">
      <c r="A9" s="441" t="str">
        <f>'3.1'!D5</f>
        <v>Duben</v>
      </c>
      <c r="B9" s="441"/>
      <c r="C9" s="164" t="s">
        <v>4</v>
      </c>
      <c r="D9" s="312">
        <v>92</v>
      </c>
      <c r="E9" s="308">
        <v>7847.78179</v>
      </c>
      <c r="F9" s="308">
        <v>85576.864310000019</v>
      </c>
      <c r="G9" s="309">
        <f>E9/$E$14</f>
        <v>0.32543247660152358</v>
      </c>
      <c r="H9" s="309">
        <f>(E9-I9)/I9</f>
        <v>-0.17802865152129488</v>
      </c>
      <c r="I9" s="312">
        <v>9547.5125799999987</v>
      </c>
      <c r="J9" s="308">
        <v>102762.84133999996</v>
      </c>
      <c r="K9" s="309">
        <f>I9/$I$14</f>
        <v>0.34140704828460328</v>
      </c>
    </row>
    <row r="10" spans="1:16" ht="11.1" customHeight="1">
      <c r="A10" s="442"/>
      <c r="B10" s="442"/>
      <c r="C10" s="154" t="s">
        <v>5</v>
      </c>
      <c r="D10" s="313">
        <v>313</v>
      </c>
      <c r="E10" s="129">
        <v>2841.41986</v>
      </c>
      <c r="F10" s="129">
        <v>30983.815470000005</v>
      </c>
      <c r="G10" s="307">
        <f>E10/$E$14</f>
        <v>0.11782823820137772</v>
      </c>
      <c r="H10" s="307">
        <f>(E10-I10)/I10</f>
        <v>-0.11279655412515185</v>
      </c>
      <c r="I10" s="313">
        <v>3202.67</v>
      </c>
      <c r="J10" s="129">
        <v>34464.241669999981</v>
      </c>
      <c r="K10" s="307">
        <f>I10/$I$14</f>
        <v>0.11452345332543679</v>
      </c>
      <c r="L10" s="93"/>
      <c r="N10" s="93"/>
      <c r="O10" s="93"/>
      <c r="P10" s="93"/>
    </row>
    <row r="11" spans="1:16" ht="11.1" customHeight="1">
      <c r="A11" s="442"/>
      <c r="B11" s="442"/>
      <c r="C11" s="154" t="s">
        <v>6</v>
      </c>
      <c r="D11" s="313">
        <v>10740</v>
      </c>
      <c r="E11" s="129">
        <v>5031.4307099999996</v>
      </c>
      <c r="F11" s="129">
        <v>54865.324990000001</v>
      </c>
      <c r="G11" s="307">
        <f>E11/$E$14</f>
        <v>0.20864379268173588</v>
      </c>
      <c r="H11" s="307">
        <f t="shared" ref="H11:H13" si="0">(E11-I11)/I11</f>
        <v>-0.11821533923807891</v>
      </c>
      <c r="I11" s="313">
        <v>5705.9630699999998</v>
      </c>
      <c r="J11" s="129">
        <v>61421.385979999999</v>
      </c>
      <c r="K11" s="307">
        <f>I11/$I$14</f>
        <v>0.20403806677672409</v>
      </c>
      <c r="L11" s="93"/>
      <c r="N11" s="93"/>
      <c r="O11" s="93"/>
      <c r="P11" s="93"/>
    </row>
    <row r="12" spans="1:16" ht="11.1" customHeight="1">
      <c r="A12" s="442"/>
      <c r="B12" s="442"/>
      <c r="C12" s="154" t="s">
        <v>7</v>
      </c>
      <c r="D12" s="313">
        <v>107705</v>
      </c>
      <c r="E12" s="129">
        <v>8217.4968599999993</v>
      </c>
      <c r="F12" s="129">
        <v>89610.042659999992</v>
      </c>
      <c r="G12" s="307">
        <f>E12/$E$14</f>
        <v>0.34076385228023054</v>
      </c>
      <c r="H12" s="307">
        <f t="shared" si="0"/>
        <v>-0.11815866479544891</v>
      </c>
      <c r="I12" s="313">
        <v>9318.5661999999993</v>
      </c>
      <c r="J12" s="129">
        <v>100343.74932</v>
      </c>
      <c r="K12" s="307">
        <f>I12/$I$14</f>
        <v>0.33322021352986497</v>
      </c>
      <c r="L12" s="93"/>
      <c r="N12" s="93"/>
      <c r="O12" s="93"/>
      <c r="P12" s="93"/>
    </row>
    <row r="13" spans="1:16" ht="11.1" customHeight="1">
      <c r="A13" s="442"/>
      <c r="B13" s="442"/>
      <c r="C13" s="154" t="s">
        <v>93</v>
      </c>
      <c r="D13" s="313">
        <v>15</v>
      </c>
      <c r="E13" s="129">
        <v>176.80199999999999</v>
      </c>
      <c r="F13" s="129">
        <v>1927.88393</v>
      </c>
      <c r="G13" s="307">
        <f>E13/$E$14</f>
        <v>7.3316402351322986E-3</v>
      </c>
      <c r="H13" s="307">
        <f t="shared" si="0"/>
        <v>-7.1793444877859325E-2</v>
      </c>
      <c r="I13" s="313">
        <v>190.477</v>
      </c>
      <c r="J13" s="129">
        <v>2047.2429999999999</v>
      </c>
      <c r="K13" s="307">
        <f>I13/$I$14</f>
        <v>6.8112180833708198E-3</v>
      </c>
      <c r="L13" s="93"/>
      <c r="N13" s="93"/>
      <c r="O13" s="93"/>
      <c r="P13" s="93"/>
    </row>
    <row r="14" spans="1:16" ht="11.1" customHeight="1">
      <c r="A14" s="443"/>
      <c r="B14" s="443"/>
      <c r="C14" s="318" t="s">
        <v>0</v>
      </c>
      <c r="D14" s="321">
        <v>118865</v>
      </c>
      <c r="E14" s="319">
        <v>24114.931219999999</v>
      </c>
      <c r="F14" s="319">
        <v>262963.93136000005</v>
      </c>
      <c r="G14" s="320">
        <f>SUM(G9:G13)</f>
        <v>1</v>
      </c>
      <c r="H14" s="320">
        <f>(E14-I14)/I14</f>
        <v>-0.13768037293265054</v>
      </c>
      <c r="I14" s="321">
        <v>27965.188849999999</v>
      </c>
      <c r="J14" s="319">
        <v>301039.46130999993</v>
      </c>
      <c r="K14" s="320">
        <f>SUM(K9:K13)</f>
        <v>1</v>
      </c>
      <c r="L14" s="93"/>
    </row>
    <row r="15" spans="1:16" ht="11.1" customHeight="1">
      <c r="A15" s="441" t="str">
        <f>'3.1'!E5</f>
        <v>Květen</v>
      </c>
      <c r="B15" s="441"/>
      <c r="C15" s="164" t="s">
        <v>4</v>
      </c>
      <c r="D15" s="312">
        <v>92</v>
      </c>
      <c r="E15" s="308">
        <v>7078.3828300000005</v>
      </c>
      <c r="F15" s="308">
        <v>77465.79770000001</v>
      </c>
      <c r="G15" s="309">
        <f>E15/$E$20</f>
        <v>0.50030386514956271</v>
      </c>
      <c r="H15" s="309">
        <f>(E15-I15)/I15</f>
        <v>-4.5915895492190203E-2</v>
      </c>
      <c r="I15" s="312">
        <v>7419.0344400000004</v>
      </c>
      <c r="J15" s="308">
        <v>79667.03767000002</v>
      </c>
      <c r="K15" s="309">
        <f>I15/$I$20</f>
        <v>0.56386312365331848</v>
      </c>
      <c r="L15" s="93"/>
      <c r="M15" s="93"/>
    </row>
    <row r="16" spans="1:16" ht="11.1" customHeight="1">
      <c r="A16" s="442"/>
      <c r="B16" s="442"/>
      <c r="C16" s="154" t="s">
        <v>5</v>
      </c>
      <c r="D16" s="313">
        <v>313</v>
      </c>
      <c r="E16" s="129">
        <v>1725.9288600000002</v>
      </c>
      <c r="F16" s="129">
        <v>18886.307819999998</v>
      </c>
      <c r="G16" s="307">
        <f>E16/$E$20</f>
        <v>0.12198957026900147</v>
      </c>
      <c r="H16" s="307">
        <f>(E16-I16)/I16</f>
        <v>0.24914879051538838</v>
      </c>
      <c r="I16" s="313">
        <v>1381.68397</v>
      </c>
      <c r="J16" s="129">
        <v>14832.06078</v>
      </c>
      <c r="K16" s="307">
        <f>I16/$I$20</f>
        <v>0.10501105575483997</v>
      </c>
      <c r="L16" s="97"/>
      <c r="M16" s="93"/>
    </row>
    <row r="17" spans="1:20" ht="11.1" customHeight="1">
      <c r="A17" s="442"/>
      <c r="B17" s="442"/>
      <c r="C17" s="154" t="s">
        <v>6</v>
      </c>
      <c r="D17" s="313">
        <v>10727</v>
      </c>
      <c r="E17" s="129">
        <v>1964.3723299999999</v>
      </c>
      <c r="F17" s="129">
        <v>21497.773029999997</v>
      </c>
      <c r="G17" s="307">
        <f>E17/$E$20</f>
        <v>0.13884288161507255</v>
      </c>
      <c r="H17" s="307">
        <f t="shared" ref="H17:H20" si="1">(E17-I17)/I17</f>
        <v>0.1364396667229765</v>
      </c>
      <c r="I17" s="313">
        <v>1728.5319999999999</v>
      </c>
      <c r="J17" s="129">
        <v>18563.764889999999</v>
      </c>
      <c r="K17" s="307">
        <f>I17/$I$20</f>
        <v>0.13137227771848944</v>
      </c>
      <c r="L17" s="93"/>
      <c r="M17" s="93"/>
      <c r="N17" s="93"/>
      <c r="O17" s="93"/>
    </row>
    <row r="18" spans="1:20" ht="11.1" customHeight="1">
      <c r="A18" s="442"/>
      <c r="B18" s="442"/>
      <c r="C18" s="154" t="s">
        <v>7</v>
      </c>
      <c r="D18" s="313">
        <v>107599</v>
      </c>
      <c r="E18" s="129">
        <v>3195.4543700000004</v>
      </c>
      <c r="F18" s="129">
        <v>34974.976300000002</v>
      </c>
      <c r="G18" s="307">
        <f>E18/$E$20</f>
        <v>0.22585641531627371</v>
      </c>
      <c r="H18" s="307">
        <f t="shared" si="1"/>
        <v>0.32266062934834017</v>
      </c>
      <c r="I18" s="313">
        <v>2415.9291499999999</v>
      </c>
      <c r="J18" s="129">
        <v>25948.395090000002</v>
      </c>
      <c r="K18" s="307">
        <f>I18/$I$20</f>
        <v>0.18361599047168009</v>
      </c>
      <c r="L18" s="93"/>
      <c r="M18" s="93"/>
      <c r="N18" s="93"/>
      <c r="O18" s="93"/>
    </row>
    <row r="19" spans="1:20" ht="11.1" customHeight="1">
      <c r="A19" s="442"/>
      <c r="B19" s="442"/>
      <c r="C19" s="154" t="s">
        <v>93</v>
      </c>
      <c r="D19" s="313">
        <v>15</v>
      </c>
      <c r="E19" s="129">
        <v>184.029</v>
      </c>
      <c r="F19" s="129">
        <v>2013.5889099999999</v>
      </c>
      <c r="G19" s="307">
        <f>E19/$E$20</f>
        <v>1.3007267650089627E-2</v>
      </c>
      <c r="H19" s="307">
        <f t="shared" si="1"/>
        <v>-0.13328780671596097</v>
      </c>
      <c r="I19" s="313">
        <v>212.32999999999998</v>
      </c>
      <c r="J19" s="129">
        <v>2278.4588600000002</v>
      </c>
      <c r="K19" s="307">
        <f>I19/$I$20</f>
        <v>1.6137552401671976E-2</v>
      </c>
      <c r="L19" s="93"/>
      <c r="M19" s="93"/>
      <c r="N19" s="93"/>
      <c r="O19" s="93"/>
    </row>
    <row r="20" spans="1:20" ht="11.1" customHeight="1">
      <c r="A20" s="443"/>
      <c r="B20" s="443"/>
      <c r="C20" s="318" t="s">
        <v>0</v>
      </c>
      <c r="D20" s="321">
        <v>118746</v>
      </c>
      <c r="E20" s="319">
        <v>14148.167390000001</v>
      </c>
      <c r="F20" s="319">
        <v>154838.44375999999</v>
      </c>
      <c r="G20" s="320">
        <f>SUM(G15:G19)</f>
        <v>1</v>
      </c>
      <c r="H20" s="320">
        <f t="shared" si="1"/>
        <v>7.5292199141674052E-2</v>
      </c>
      <c r="I20" s="321">
        <v>13157.50956</v>
      </c>
      <c r="J20" s="319">
        <v>141289.71729000003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41" t="str">
        <f>'3.1'!F5</f>
        <v>Červen</v>
      </c>
      <c r="B21" s="441"/>
      <c r="C21" s="164" t="s">
        <v>4</v>
      </c>
      <c r="D21" s="312">
        <v>92</v>
      </c>
      <c r="E21" s="308">
        <v>6127.7231000000002</v>
      </c>
      <c r="F21" s="308">
        <v>67109.741770000008</v>
      </c>
      <c r="G21" s="309">
        <f>E21/$E$26</f>
        <v>0.63405688767330803</v>
      </c>
      <c r="H21" s="309">
        <f>(E21-I21)/I21</f>
        <v>-6.7801580888280241E-2</v>
      </c>
      <c r="I21" s="312">
        <v>6573.4107400000003</v>
      </c>
      <c r="J21" s="308">
        <v>71144.258690000002</v>
      </c>
      <c r="K21" s="309">
        <f>I21/$I$26</f>
        <v>0.63181965112672145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42"/>
      <c r="B22" s="442"/>
      <c r="C22" s="154" t="s">
        <v>5</v>
      </c>
      <c r="D22" s="313">
        <v>313</v>
      </c>
      <c r="E22" s="129">
        <v>1095.1840200000001</v>
      </c>
      <c r="F22" s="129">
        <v>11995.336600000006</v>
      </c>
      <c r="G22" s="307">
        <f>E22/$E$26</f>
        <v>0.11332251144813349</v>
      </c>
      <c r="H22" s="307">
        <f t="shared" ref="H22:H26" si="2">(E22-I22)/I22</f>
        <v>-7.5388401635255772E-2</v>
      </c>
      <c r="I22" s="313">
        <v>1184.48008</v>
      </c>
      <c r="J22" s="129">
        <v>12816.836160000003</v>
      </c>
      <c r="K22" s="307">
        <f>I22/$I$26</f>
        <v>0.11384923603787327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42"/>
      <c r="B23" s="442"/>
      <c r="C23" s="154" t="s">
        <v>6</v>
      </c>
      <c r="D23" s="313">
        <v>10716</v>
      </c>
      <c r="E23" s="129">
        <v>852.51289999999995</v>
      </c>
      <c r="F23" s="129">
        <v>9336.4716200000003</v>
      </c>
      <c r="G23" s="307">
        <f>E23/$E$26</f>
        <v>8.8212484026137877E-2</v>
      </c>
      <c r="H23" s="307">
        <f t="shared" si="2"/>
        <v>-0.18104238940183257</v>
      </c>
      <c r="I23" s="313">
        <v>1040.97317</v>
      </c>
      <c r="J23" s="129">
        <v>11270.358329999999</v>
      </c>
      <c r="K23" s="307">
        <f>I23/$I$26</f>
        <v>0.10005571401456001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42"/>
      <c r="B24" s="442"/>
      <c r="C24" s="154" t="s">
        <v>7</v>
      </c>
      <c r="D24" s="313">
        <v>107491</v>
      </c>
      <c r="E24" s="129">
        <v>1407.1292100000001</v>
      </c>
      <c r="F24" s="129">
        <v>15409.48295</v>
      </c>
      <c r="G24" s="307">
        <f>E24/$E$26</f>
        <v>0.14560056857771539</v>
      </c>
      <c r="H24" s="307">
        <f t="shared" si="2"/>
        <v>1.0565762449684168E-2</v>
      </c>
      <c r="I24" s="313">
        <v>1392.4172599999999</v>
      </c>
      <c r="J24" s="129">
        <v>15076.266890000001</v>
      </c>
      <c r="K24" s="307">
        <f>I24/$I$26</f>
        <v>0.13383563301203744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42"/>
      <c r="B25" s="442"/>
      <c r="C25" s="154" t="s">
        <v>93</v>
      </c>
      <c r="D25" s="313">
        <v>15</v>
      </c>
      <c r="E25" s="129">
        <v>181.762</v>
      </c>
      <c r="F25" s="129">
        <v>1990.9173300000002</v>
      </c>
      <c r="G25" s="307">
        <f>E25/$E$26</f>
        <v>1.8807548274705137E-2</v>
      </c>
      <c r="H25" s="307">
        <f t="shared" si="2"/>
        <v>-0.14526884046385205</v>
      </c>
      <c r="I25" s="313">
        <v>212.654</v>
      </c>
      <c r="J25" s="129">
        <v>2299.34665</v>
      </c>
      <c r="K25" s="307">
        <f>I25/$I$26</f>
        <v>2.0439765808807776E-2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43"/>
      <c r="B26" s="443"/>
      <c r="C26" s="318" t="s">
        <v>0</v>
      </c>
      <c r="D26" s="321">
        <v>118627</v>
      </c>
      <c r="E26" s="319">
        <v>9664.3112300000012</v>
      </c>
      <c r="F26" s="319">
        <v>105841.95027000002</v>
      </c>
      <c r="G26" s="320">
        <f>SUM(G21:G25)</f>
        <v>0.99999999999999989</v>
      </c>
      <c r="H26" s="320">
        <f t="shared" si="2"/>
        <v>-7.1090794226155843E-2</v>
      </c>
      <c r="I26" s="321">
        <v>10403.93525</v>
      </c>
      <c r="J26" s="319">
        <v>112607.06672000002</v>
      </c>
      <c r="K26" s="320">
        <f>SUM(K21:K25)</f>
        <v>1</v>
      </c>
    </row>
    <row r="27" spans="1:20" ht="11.1" customHeight="1">
      <c r="A27" s="510" t="str">
        <f>'3.1'!G5</f>
        <v>II. čtvrtletí</v>
      </c>
      <c r="B27" s="441"/>
      <c r="C27" s="164" t="s">
        <v>4</v>
      </c>
      <c r="D27" s="312">
        <f>D21</f>
        <v>92</v>
      </c>
      <c r="E27" s="308">
        <f>E9+E15+E21</f>
        <v>21053.887719999999</v>
      </c>
      <c r="F27" s="308">
        <f>F9+F15+F21</f>
        <v>230152.40378000005</v>
      </c>
      <c r="G27" s="309">
        <f>E27/$E$32</f>
        <v>0.4392869923554375</v>
      </c>
      <c r="H27" s="309">
        <f>(E27-I27)/I27</f>
        <v>-0.10561064150354699</v>
      </c>
      <c r="I27" s="312">
        <f>I9+I15+I21</f>
        <v>23539.957759999998</v>
      </c>
      <c r="J27" s="308">
        <f>J9+J15+J21</f>
        <v>253574.13769999996</v>
      </c>
      <c r="K27" s="309">
        <f>I27/$I$32</f>
        <v>0.45685029445799036</v>
      </c>
    </row>
    <row r="28" spans="1:20" ht="11.1" customHeight="1">
      <c r="A28" s="442"/>
      <c r="B28" s="442"/>
      <c r="C28" s="154" t="s">
        <v>5</v>
      </c>
      <c r="D28" s="313">
        <f>D22</f>
        <v>313</v>
      </c>
      <c r="E28" s="129">
        <f t="shared" ref="E28:F31" si="3">E10+E16+E22</f>
        <v>5662.5327400000006</v>
      </c>
      <c r="F28" s="129">
        <f t="shared" si="3"/>
        <v>61865.459890000013</v>
      </c>
      <c r="G28" s="307">
        <f>E28/$E$32</f>
        <v>0.1181481068746193</v>
      </c>
      <c r="H28" s="307">
        <f t="shared" ref="H28:H31" si="4">(E28-I28)/I28</f>
        <v>-1.8426827514651738E-2</v>
      </c>
      <c r="I28" s="313">
        <f t="shared" ref="I28:J28" si="5">I10+I16+I22</f>
        <v>5768.8340500000004</v>
      </c>
      <c r="J28" s="129">
        <f t="shared" si="5"/>
        <v>62113.13860999998</v>
      </c>
      <c r="K28" s="307">
        <f>I28/$I$32</f>
        <v>0.11195829496772136</v>
      </c>
    </row>
    <row r="29" spans="1:20" ht="11.1" customHeight="1">
      <c r="A29" s="442"/>
      <c r="B29" s="442"/>
      <c r="C29" s="154" t="s">
        <v>6</v>
      </c>
      <c r="D29" s="313">
        <f>D23</f>
        <v>10716</v>
      </c>
      <c r="E29" s="129">
        <f t="shared" si="3"/>
        <v>7848.3159399999995</v>
      </c>
      <c r="F29" s="129">
        <f t="shared" si="3"/>
        <v>85699.569640000002</v>
      </c>
      <c r="G29" s="307">
        <f>E29/$E$32</f>
        <v>0.16375422678172419</v>
      </c>
      <c r="H29" s="307">
        <f t="shared" si="4"/>
        <v>-7.3996183130054488E-2</v>
      </c>
      <c r="I29" s="313">
        <f t="shared" ref="I29:J29" si="6">I11+I17+I23</f>
        <v>8475.4682400000002</v>
      </c>
      <c r="J29" s="129">
        <f t="shared" si="6"/>
        <v>91255.5092</v>
      </c>
      <c r="K29" s="307">
        <f>I29/$I$32</f>
        <v>0.16448713292480208</v>
      </c>
    </row>
    <row r="30" spans="1:20" ht="11.1" customHeight="1">
      <c r="A30" s="442"/>
      <c r="B30" s="442"/>
      <c r="C30" s="154" t="s">
        <v>7</v>
      </c>
      <c r="D30" s="313">
        <f>D24</f>
        <v>107491</v>
      </c>
      <c r="E30" s="129">
        <f t="shared" si="3"/>
        <v>12820.080439999998</v>
      </c>
      <c r="F30" s="129">
        <f t="shared" si="3"/>
        <v>139994.50190999999</v>
      </c>
      <c r="G30" s="307">
        <f>E30/$E$32</f>
        <v>0.26748953224883887</v>
      </c>
      <c r="H30" s="307">
        <f t="shared" si="4"/>
        <v>-2.337428298000999E-2</v>
      </c>
      <c r="I30" s="313">
        <f t="shared" ref="I30:J30" si="7">I12+I18+I24</f>
        <v>13126.912609999999</v>
      </c>
      <c r="J30" s="129">
        <f t="shared" si="7"/>
        <v>141368.41130000001</v>
      </c>
      <c r="K30" s="307">
        <f>I30/$I$32</f>
        <v>0.25475975583070914</v>
      </c>
    </row>
    <row r="31" spans="1:20" ht="11.1" customHeight="1">
      <c r="A31" s="442"/>
      <c r="B31" s="442"/>
      <c r="C31" s="154" t="s">
        <v>93</v>
      </c>
      <c r="D31" s="313">
        <f>D25</f>
        <v>15</v>
      </c>
      <c r="E31" s="129">
        <f>E13+E19+E25</f>
        <v>542.59300000000007</v>
      </c>
      <c r="F31" s="129">
        <f t="shared" si="3"/>
        <v>5932.3901700000006</v>
      </c>
      <c r="G31" s="307">
        <f>E31/$E$32</f>
        <v>1.132114173938009E-2</v>
      </c>
      <c r="H31" s="307">
        <f t="shared" si="4"/>
        <v>-0.11839580412081339</v>
      </c>
      <c r="I31" s="313">
        <f>I13+I19+I25</f>
        <v>615.46100000000001</v>
      </c>
      <c r="J31" s="129">
        <f t="shared" ref="J31" si="8">J13+J19+J25</f>
        <v>6625.0485100000005</v>
      </c>
      <c r="K31" s="307">
        <f>I31/$I$32</f>
        <v>1.1944521818777013E-2</v>
      </c>
    </row>
    <row r="32" spans="1:20" ht="11.1" customHeight="1">
      <c r="A32" s="443"/>
      <c r="B32" s="443"/>
      <c r="C32" s="318" t="s">
        <v>0</v>
      </c>
      <c r="D32" s="321">
        <f>SUM(D27:D31)</f>
        <v>118627</v>
      </c>
      <c r="E32" s="319">
        <f>SUM(E27:E31)</f>
        <v>47927.40984</v>
      </c>
      <c r="F32" s="319">
        <f>SUM(F27:F31)</f>
        <v>523644.32539000007</v>
      </c>
      <c r="G32" s="320">
        <f>SUM(G27:G31)</f>
        <v>0.99999999999999989</v>
      </c>
      <c r="H32" s="320">
        <f>(E32-I32)/I32</f>
        <v>-6.9851716759716589E-2</v>
      </c>
      <c r="I32" s="321">
        <f>SUM(I27:I31)</f>
        <v>51526.63366</v>
      </c>
      <c r="J32" s="319">
        <f>SUM(J27:J31)</f>
        <v>554936.24531999999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35" t="s">
        <v>47</v>
      </c>
      <c r="B34" s="535"/>
      <c r="C34" s="535"/>
      <c r="D34" s="500">
        <f>D4</f>
        <v>2023</v>
      </c>
      <c r="E34" s="353"/>
      <c r="F34" s="342"/>
      <c r="G34" s="342"/>
      <c r="H34" s="342"/>
      <c r="I34" s="500">
        <f>D34-1</f>
        <v>2022</v>
      </c>
      <c r="J34" s="501"/>
      <c r="K34" s="501"/>
    </row>
    <row r="35" spans="1:11" ht="24.95" customHeight="1">
      <c r="A35" s="304"/>
      <c r="B35" s="272"/>
      <c r="C35" s="150"/>
      <c r="D35" s="502"/>
      <c r="E35" s="355"/>
      <c r="F35" s="356"/>
      <c r="G35" s="356"/>
      <c r="H35" s="357"/>
      <c r="I35" s="502"/>
      <c r="J35" s="503"/>
      <c r="K35" s="503"/>
    </row>
    <row r="36" spans="1:11" ht="24.95" customHeight="1">
      <c r="A36" s="130"/>
      <c r="B36" s="131"/>
      <c r="C36" s="352"/>
      <c r="D36" s="364" t="s">
        <v>159</v>
      </c>
      <c r="E36" s="498" t="s">
        <v>60</v>
      </c>
      <c r="F36" s="498"/>
      <c r="G36" s="499" t="s">
        <v>33</v>
      </c>
      <c r="H36" s="499" t="s">
        <v>270</v>
      </c>
      <c r="I36" s="497" t="s">
        <v>60</v>
      </c>
      <c r="J36" s="498"/>
      <c r="K36" s="499" t="s">
        <v>33</v>
      </c>
    </row>
    <row r="37" spans="1:11" ht="24.95" customHeight="1">
      <c r="A37" s="130"/>
      <c r="B37" s="306"/>
      <c r="C37" s="306"/>
      <c r="D37" s="365"/>
      <c r="E37" s="498"/>
      <c r="F37" s="498"/>
      <c r="G37" s="499"/>
      <c r="H37" s="499"/>
      <c r="I37" s="497"/>
      <c r="J37" s="498"/>
      <c r="K37" s="499"/>
    </row>
    <row r="38" spans="1:11" ht="15" customHeight="1">
      <c r="A38" s="536" t="s">
        <v>158</v>
      </c>
      <c r="B38" s="536"/>
      <c r="C38" s="366" t="s">
        <v>184</v>
      </c>
      <c r="D38" s="343"/>
      <c r="E38" s="219" t="s">
        <v>261</v>
      </c>
      <c r="F38" s="219" t="s">
        <v>262</v>
      </c>
      <c r="G38" s="486"/>
      <c r="H38" s="486"/>
      <c r="I38" s="221" t="s">
        <v>261</v>
      </c>
      <c r="J38" s="219" t="s">
        <v>262</v>
      </c>
      <c r="K38" s="486"/>
    </row>
    <row r="39" spans="1:11" ht="11.1" customHeight="1">
      <c r="A39" s="441" t="str">
        <f>'3.1'!D5</f>
        <v>Duben</v>
      </c>
      <c r="B39" s="441"/>
      <c r="C39" s="164" t="s">
        <v>4</v>
      </c>
      <c r="D39" s="312">
        <v>72</v>
      </c>
      <c r="E39" s="308">
        <v>10251.661</v>
      </c>
      <c r="F39" s="308">
        <v>111793.99791000002</v>
      </c>
      <c r="G39" s="309">
        <f>E39/$E$44</f>
        <v>0.34040466727099455</v>
      </c>
      <c r="H39" s="309">
        <f>(E39-I39)/I39</f>
        <v>-0.14594572393906999</v>
      </c>
      <c r="I39" s="312">
        <v>12003.524000000001</v>
      </c>
      <c r="J39" s="308">
        <v>129350.56689</v>
      </c>
      <c r="K39" s="309">
        <f>I39/$I$44</f>
        <v>0.34339148295847899</v>
      </c>
    </row>
    <row r="40" spans="1:11" ht="11.1" customHeight="1">
      <c r="A40" s="442"/>
      <c r="B40" s="442"/>
      <c r="C40" s="154" t="s">
        <v>5</v>
      </c>
      <c r="D40" s="313">
        <v>301</v>
      </c>
      <c r="E40" s="129">
        <v>2433.79</v>
      </c>
      <c r="F40" s="129">
        <v>26540.564719999984</v>
      </c>
      <c r="G40" s="307">
        <f t="shared" ref="G40" si="9">E40/$E$44</f>
        <v>8.0813584760310919E-2</v>
      </c>
      <c r="H40" s="307">
        <f>(E40-I40)/I40</f>
        <v>-0.20747693132296027</v>
      </c>
      <c r="I40" s="313">
        <v>3070.9390000000003</v>
      </c>
      <c r="J40" s="129">
        <v>33092.453640000022</v>
      </c>
      <c r="K40" s="307">
        <f t="shared" ref="K40:K43" si="10">I40/$I$44</f>
        <v>8.7852058885792922E-2</v>
      </c>
    </row>
    <row r="41" spans="1:11" ht="11.1" customHeight="1">
      <c r="A41" s="442"/>
      <c r="B41" s="442"/>
      <c r="C41" s="154" t="s">
        <v>6</v>
      </c>
      <c r="D41" s="313">
        <v>10715</v>
      </c>
      <c r="E41" s="129">
        <v>5617.576</v>
      </c>
      <c r="F41" s="129">
        <v>61259.569989999996</v>
      </c>
      <c r="G41" s="307">
        <f>E41/$E$44</f>
        <v>0.18653065968037028</v>
      </c>
      <c r="H41" s="307">
        <f t="shared" ref="H41:H43" si="11">(E41-I41)/I41</f>
        <v>-0.12569713718128261</v>
      </c>
      <c r="I41" s="313">
        <v>6425.2060000000001</v>
      </c>
      <c r="J41" s="129">
        <v>69238.414089999991</v>
      </c>
      <c r="K41" s="307">
        <f t="shared" si="10"/>
        <v>0.18380943934912089</v>
      </c>
    </row>
    <row r="42" spans="1:11" ht="11.1" customHeight="1">
      <c r="A42" s="442"/>
      <c r="B42" s="442"/>
      <c r="C42" s="154" t="s">
        <v>7</v>
      </c>
      <c r="D42" s="313">
        <v>142754</v>
      </c>
      <c r="E42" s="129">
        <v>11623.8</v>
      </c>
      <c r="F42" s="129">
        <v>126757.2</v>
      </c>
      <c r="G42" s="307">
        <f>E42/$E$44</f>
        <v>0.38596631037883389</v>
      </c>
      <c r="H42" s="307">
        <f t="shared" si="11"/>
        <v>-0.12289756649688743</v>
      </c>
      <c r="I42" s="313">
        <v>13252.5</v>
      </c>
      <c r="J42" s="129">
        <v>142809.9</v>
      </c>
      <c r="K42" s="307">
        <f t="shared" si="10"/>
        <v>0.37912163360586792</v>
      </c>
    </row>
    <row r="43" spans="1:11" ht="11.1" customHeight="1">
      <c r="A43" s="442"/>
      <c r="B43" s="442"/>
      <c r="C43" s="154" t="s">
        <v>93</v>
      </c>
      <c r="D43" s="313">
        <v>11</v>
      </c>
      <c r="E43" s="129">
        <v>189.273</v>
      </c>
      <c r="F43" s="129">
        <v>2064.0213800000001</v>
      </c>
      <c r="G43" s="307">
        <f>E43/$E$44</f>
        <v>6.2847779094902722E-3</v>
      </c>
      <c r="H43" s="307">
        <f t="shared" si="11"/>
        <v>-7.0509892894500367E-2</v>
      </c>
      <c r="I43" s="313">
        <v>203.631</v>
      </c>
      <c r="J43" s="129">
        <v>2194.3429999999998</v>
      </c>
      <c r="K43" s="307">
        <f t="shared" si="10"/>
        <v>5.8253852007392184E-3</v>
      </c>
    </row>
    <row r="44" spans="1:11" ht="11.1" customHeight="1">
      <c r="A44" s="443"/>
      <c r="B44" s="443"/>
      <c r="C44" s="318" t="s">
        <v>0</v>
      </c>
      <c r="D44" s="321">
        <v>153853</v>
      </c>
      <c r="E44" s="319">
        <v>30116.100000000002</v>
      </c>
      <c r="F44" s="319">
        <v>328415.35399999999</v>
      </c>
      <c r="G44" s="320">
        <f>SUM(G39:G43)</f>
        <v>0.99999999999999989</v>
      </c>
      <c r="H44" s="320">
        <f>(E44-I44)/I44</f>
        <v>-0.13845198793905447</v>
      </c>
      <c r="I44" s="321">
        <v>34955.800000000003</v>
      </c>
      <c r="J44" s="319">
        <v>376685.67761999997</v>
      </c>
      <c r="K44" s="320">
        <f>SUM(K39:K43)</f>
        <v>0.99999999999999989</v>
      </c>
    </row>
    <row r="45" spans="1:11" ht="11.1" customHeight="1">
      <c r="A45" s="441" t="str">
        <f>'3.1'!E5</f>
        <v>Květen</v>
      </c>
      <c r="B45" s="441"/>
      <c r="C45" s="164" t="s">
        <v>4</v>
      </c>
      <c r="D45" s="312">
        <v>72</v>
      </c>
      <c r="E45" s="308">
        <v>9057.982</v>
      </c>
      <c r="F45" s="308">
        <v>99159.695320000013</v>
      </c>
      <c r="G45" s="309">
        <f>E45/$E$50</f>
        <v>0.51481602309799601</v>
      </c>
      <c r="H45" s="309">
        <f>(E45-I45)/I45</f>
        <v>-0.1781118911512381</v>
      </c>
      <c r="I45" s="312">
        <v>11020.942999999999</v>
      </c>
      <c r="J45" s="308">
        <v>118418.43475000001</v>
      </c>
      <c r="K45" s="309">
        <f>I45/$I$50</f>
        <v>0.60191498541764521</v>
      </c>
    </row>
    <row r="46" spans="1:11" ht="11.1" customHeight="1">
      <c r="A46" s="442"/>
      <c r="B46" s="442"/>
      <c r="C46" s="154" t="s">
        <v>5</v>
      </c>
      <c r="D46" s="313">
        <v>302</v>
      </c>
      <c r="E46" s="129">
        <v>1639.7280000000001</v>
      </c>
      <c r="F46" s="129">
        <v>17950.481509999998</v>
      </c>
      <c r="G46" s="307">
        <f t="shared" ref="G46:G49" si="12">E46/$E$50</f>
        <v>9.3194957543791854E-2</v>
      </c>
      <c r="H46" s="307">
        <f>(E46-I46)/I46</f>
        <v>-8.4309445052518223E-3</v>
      </c>
      <c r="I46" s="313">
        <v>1653.6699999999998</v>
      </c>
      <c r="J46" s="129">
        <v>17768.314910000023</v>
      </c>
      <c r="K46" s="307">
        <f t="shared" ref="K46:K49" si="13">I46/$I$50</f>
        <v>9.0316114867448033E-2</v>
      </c>
    </row>
    <row r="47" spans="1:11" ht="11.1" customHeight="1">
      <c r="A47" s="442"/>
      <c r="B47" s="442"/>
      <c r="C47" s="154" t="s">
        <v>6</v>
      </c>
      <c r="D47" s="313">
        <v>10706</v>
      </c>
      <c r="E47" s="129">
        <v>2183.1570000000002</v>
      </c>
      <c r="F47" s="129">
        <v>23899.76196</v>
      </c>
      <c r="G47" s="307">
        <f t="shared" si="12"/>
        <v>0.12408108169552023</v>
      </c>
      <c r="H47" s="307">
        <f t="shared" ref="H47:H49" si="14">(E47-I47)/I47</f>
        <v>0.10113969598019611</v>
      </c>
      <c r="I47" s="313">
        <v>1982.634</v>
      </c>
      <c r="J47" s="129">
        <v>21303.045400000003</v>
      </c>
      <c r="K47" s="307">
        <f t="shared" si="13"/>
        <v>0.10828266829785142</v>
      </c>
    </row>
    <row r="48" spans="1:11" ht="11.1" customHeight="1">
      <c r="A48" s="442"/>
      <c r="B48" s="442"/>
      <c r="C48" s="154" t="s">
        <v>7</v>
      </c>
      <c r="D48" s="313">
        <v>142601</v>
      </c>
      <c r="E48" s="129">
        <v>4504.3999999999996</v>
      </c>
      <c r="F48" s="129">
        <v>49310.5</v>
      </c>
      <c r="G48" s="307">
        <f t="shared" si="12"/>
        <v>0.25601036681709161</v>
      </c>
      <c r="H48" s="307">
        <f t="shared" si="14"/>
        <v>0.31381070438967468</v>
      </c>
      <c r="I48" s="313">
        <v>3428.5</v>
      </c>
      <c r="J48" s="129">
        <v>36838.6</v>
      </c>
      <c r="K48" s="307">
        <f t="shared" si="13"/>
        <v>0.1872494511136113</v>
      </c>
    </row>
    <row r="49" spans="1:11" ht="11.1" customHeight="1">
      <c r="A49" s="442"/>
      <c r="B49" s="442"/>
      <c r="C49" s="154" t="s">
        <v>93</v>
      </c>
      <c r="D49" s="313">
        <v>11</v>
      </c>
      <c r="E49" s="129">
        <v>209.333</v>
      </c>
      <c r="F49" s="129">
        <v>2291.6221399999995</v>
      </c>
      <c r="G49" s="307">
        <f t="shared" si="12"/>
        <v>1.1897570845600355E-2</v>
      </c>
      <c r="H49" s="307">
        <f t="shared" si="14"/>
        <v>-6.5698740922906632E-2</v>
      </c>
      <c r="I49" s="313">
        <v>224.053</v>
      </c>
      <c r="J49" s="129">
        <v>2407.4229999999998</v>
      </c>
      <c r="K49" s="307">
        <f t="shared" si="13"/>
        <v>1.2236780303444057E-2</v>
      </c>
    </row>
    <row r="50" spans="1:11" ht="11.1" customHeight="1">
      <c r="A50" s="443"/>
      <c r="B50" s="443"/>
      <c r="C50" s="318" t="s">
        <v>0</v>
      </c>
      <c r="D50" s="321">
        <v>153692</v>
      </c>
      <c r="E50" s="319">
        <v>17594.599999999999</v>
      </c>
      <c r="F50" s="319">
        <v>192612.06093000001</v>
      </c>
      <c r="G50" s="320">
        <f>SUM(G45:G49)</f>
        <v>1</v>
      </c>
      <c r="H50" s="320">
        <f t="shared" ref="H50" si="15">(E50-I50)/I50</f>
        <v>-3.9061049274159237E-2</v>
      </c>
      <c r="I50" s="321">
        <v>18309.8</v>
      </c>
      <c r="J50" s="319">
        <v>196735.81806000005</v>
      </c>
      <c r="K50" s="320">
        <f>SUM(K45:K49)</f>
        <v>1</v>
      </c>
    </row>
    <row r="51" spans="1:11" ht="11.1" customHeight="1">
      <c r="A51" s="441" t="str">
        <f>'3.1'!F5</f>
        <v>Červen</v>
      </c>
      <c r="B51" s="441"/>
      <c r="C51" s="164" t="s">
        <v>4</v>
      </c>
      <c r="D51" s="312">
        <v>72</v>
      </c>
      <c r="E51" s="308">
        <v>9456.5490000000009</v>
      </c>
      <c r="F51" s="308">
        <v>103547.86162</v>
      </c>
      <c r="G51" s="309">
        <f>E51/$E$56</f>
        <v>0.68039579525995431</v>
      </c>
      <c r="H51" s="309">
        <f>(E51-I51)/I51</f>
        <v>6.740793181627841E-2</v>
      </c>
      <c r="I51" s="312">
        <v>8859.3580000000002</v>
      </c>
      <c r="J51" s="308">
        <v>95962.726419999992</v>
      </c>
      <c r="K51" s="309">
        <f>I51/$I$56</f>
        <v>0.64969881417707409</v>
      </c>
    </row>
    <row r="52" spans="1:11" ht="11.1" customHeight="1">
      <c r="A52" s="442"/>
      <c r="B52" s="442"/>
      <c r="C52" s="154" t="s">
        <v>5</v>
      </c>
      <c r="D52" s="313">
        <v>302</v>
      </c>
      <c r="E52" s="129">
        <v>1244.3539999999998</v>
      </c>
      <c r="F52" s="129">
        <v>13625.319690000004</v>
      </c>
      <c r="G52" s="307">
        <f t="shared" ref="G52:G55" si="16">E52/$E$56</f>
        <v>8.9530888003108211E-2</v>
      </c>
      <c r="H52" s="307">
        <f t="shared" ref="H52:H55" si="17">(E52-I52)/I52</f>
        <v>-3.9845122620261166E-2</v>
      </c>
      <c r="I52" s="313">
        <v>1295.9929999999999</v>
      </c>
      <c r="J52" s="129">
        <v>14037.39279</v>
      </c>
      <c r="K52" s="307">
        <f t="shared" ref="K52:K55" si="18">I52/$I$56</f>
        <v>9.5041324132266555E-2</v>
      </c>
    </row>
    <row r="53" spans="1:11" ht="11.1" customHeight="1">
      <c r="A53" s="442"/>
      <c r="B53" s="442"/>
      <c r="C53" s="154" t="s">
        <v>6</v>
      </c>
      <c r="D53" s="313">
        <v>10693</v>
      </c>
      <c r="E53" s="129">
        <v>969.476</v>
      </c>
      <c r="F53" s="129">
        <v>10615.363000000001</v>
      </c>
      <c r="G53" s="307">
        <f t="shared" si="16"/>
        <v>6.9753500352553496E-2</v>
      </c>
      <c r="H53" s="307">
        <f t="shared" si="17"/>
        <v>-0.21046399317211575</v>
      </c>
      <c r="I53" s="313">
        <v>1227.9059999999999</v>
      </c>
      <c r="J53" s="129">
        <v>13299.835930000001</v>
      </c>
      <c r="K53" s="307">
        <f t="shared" si="18"/>
        <v>9.0048180931498009E-2</v>
      </c>
    </row>
    <row r="54" spans="1:11" ht="10.5" customHeight="1">
      <c r="A54" s="442"/>
      <c r="B54" s="442"/>
      <c r="C54" s="154" t="s">
        <v>7</v>
      </c>
      <c r="D54" s="313">
        <v>142440</v>
      </c>
      <c r="E54" s="129">
        <v>2015.3</v>
      </c>
      <c r="F54" s="129">
        <v>22066.799999999999</v>
      </c>
      <c r="G54" s="307">
        <f t="shared" si="16"/>
        <v>0.14500021584907832</v>
      </c>
      <c r="H54" s="307">
        <f t="shared" si="17"/>
        <v>1.9389479964203359E-3</v>
      </c>
      <c r="I54" s="313">
        <v>2011.4</v>
      </c>
      <c r="J54" s="129">
        <v>21787.1</v>
      </c>
      <c r="K54" s="307">
        <f t="shared" si="18"/>
        <v>0.14750551844002319</v>
      </c>
    </row>
    <row r="55" spans="1:11" ht="11.1" customHeight="1">
      <c r="A55" s="442"/>
      <c r="B55" s="442"/>
      <c r="C55" s="154" t="s">
        <v>93</v>
      </c>
      <c r="D55" s="313">
        <v>11</v>
      </c>
      <c r="E55" s="129">
        <v>212.92099999999999</v>
      </c>
      <c r="F55" s="129">
        <v>2331.4495299999999</v>
      </c>
      <c r="G55" s="307">
        <f t="shared" si="16"/>
        <v>1.5319600535305714E-2</v>
      </c>
      <c r="H55" s="307">
        <f t="shared" si="17"/>
        <v>-0.1181314016144598</v>
      </c>
      <c r="I55" s="313">
        <v>241.44300000000001</v>
      </c>
      <c r="J55" s="129">
        <v>2615.2412300000005</v>
      </c>
      <c r="K55" s="307">
        <f t="shared" si="18"/>
        <v>1.7706162319138172E-2</v>
      </c>
    </row>
    <row r="56" spans="1:11" ht="11.1" customHeight="1">
      <c r="A56" s="443"/>
      <c r="B56" s="443"/>
      <c r="C56" s="318" t="s">
        <v>0</v>
      </c>
      <c r="D56" s="321">
        <v>153518</v>
      </c>
      <c r="E56" s="319">
        <v>13898.6</v>
      </c>
      <c r="F56" s="319">
        <v>152186.79384</v>
      </c>
      <c r="G56" s="320">
        <f>SUM(G51:G55)</f>
        <v>0.99999999999999989</v>
      </c>
      <c r="H56" s="320">
        <f>(E56-I56)/I56</f>
        <v>1.9250372173862027E-2</v>
      </c>
      <c r="I56" s="321">
        <v>13636.1</v>
      </c>
      <c r="J56" s="319">
        <v>147702.29637</v>
      </c>
      <c r="K56" s="320">
        <f>SUM(K51:K55)</f>
        <v>1</v>
      </c>
    </row>
    <row r="57" spans="1:11" ht="11.1" customHeight="1">
      <c r="A57" s="510" t="str">
        <f>'3.1'!G5</f>
        <v>II. čtvrtletí</v>
      </c>
      <c r="B57" s="441"/>
      <c r="C57" s="164" t="s">
        <v>4</v>
      </c>
      <c r="D57" s="312">
        <f>D51</f>
        <v>72</v>
      </c>
      <c r="E57" s="308">
        <f>E39+E45+E51</f>
        <v>28766.192000000003</v>
      </c>
      <c r="F57" s="308">
        <f>F39+F45+F51</f>
        <v>314501.55485000001</v>
      </c>
      <c r="G57" s="309">
        <f>E57/$E$62</f>
        <v>0.46691314460641498</v>
      </c>
      <c r="H57" s="309">
        <f>(E57-I57)/I57</f>
        <v>-9.7781022195423478E-2</v>
      </c>
      <c r="I57" s="312">
        <f>I39+I45+I51</f>
        <v>31883.825000000001</v>
      </c>
      <c r="J57" s="308">
        <f>J39+J45+J51</f>
        <v>343731.72805999999</v>
      </c>
      <c r="K57" s="309">
        <f>I57/$I$62</f>
        <v>0.47657720207408782</v>
      </c>
    </row>
    <row r="58" spans="1:11" ht="11.1" customHeight="1">
      <c r="A58" s="442"/>
      <c r="B58" s="442"/>
      <c r="C58" s="154" t="s">
        <v>5</v>
      </c>
      <c r="D58" s="313">
        <f>D52</f>
        <v>302</v>
      </c>
      <c r="E58" s="129">
        <f t="shared" ref="E58:F59" si="19">E40+E46+E52</f>
        <v>5317.8719999999994</v>
      </c>
      <c r="F58" s="129">
        <f t="shared" si="19"/>
        <v>58116.365919999982</v>
      </c>
      <c r="G58" s="307">
        <f t="shared" ref="G58:G61" si="20">E58/$E$62</f>
        <v>8.631605942609312E-2</v>
      </c>
      <c r="H58" s="307">
        <f t="shared" ref="H58:H61" si="21">(E58-I58)/I58</f>
        <v>-0.11672088605093001</v>
      </c>
      <c r="I58" s="313">
        <f t="shared" ref="I58:J58" si="22">I40+I46+I52</f>
        <v>6020.6020000000008</v>
      </c>
      <c r="J58" s="129">
        <f t="shared" si="22"/>
        <v>64898.161340000042</v>
      </c>
      <c r="K58" s="307">
        <f t="shared" ref="K58:K61" si="23">I58/$I$62</f>
        <v>8.9991764035891486E-2</v>
      </c>
    </row>
    <row r="59" spans="1:11" ht="11.1" customHeight="1">
      <c r="A59" s="442"/>
      <c r="B59" s="442"/>
      <c r="C59" s="154" t="s">
        <v>6</v>
      </c>
      <c r="D59" s="313">
        <f>D53</f>
        <v>10693</v>
      </c>
      <c r="E59" s="129">
        <f>E41+E47+E53</f>
        <v>8770.2090000000007</v>
      </c>
      <c r="F59" s="129">
        <f t="shared" si="19"/>
        <v>95774.69494999999</v>
      </c>
      <c r="G59" s="307">
        <f t="shared" si="20"/>
        <v>0.14235203126800663</v>
      </c>
      <c r="H59" s="307">
        <f t="shared" si="21"/>
        <v>-8.9825634673225976E-2</v>
      </c>
      <c r="I59" s="313">
        <f>I41+I47+I53</f>
        <v>9635.7459999999992</v>
      </c>
      <c r="J59" s="129">
        <f t="shared" ref="J59" si="24">J41+J47+J53</f>
        <v>103841.29541999999</v>
      </c>
      <c r="K59" s="307">
        <f t="shared" si="23"/>
        <v>0.14402841781300027</v>
      </c>
    </row>
    <row r="60" spans="1:11" ht="11.1" customHeight="1">
      <c r="A60" s="442"/>
      <c r="B60" s="442"/>
      <c r="C60" s="154" t="s">
        <v>7</v>
      </c>
      <c r="D60" s="313">
        <f>D54</f>
        <v>142440</v>
      </c>
      <c r="E60" s="129">
        <f t="shared" ref="E60:F61" si="25">E42+E48+E54</f>
        <v>18143.5</v>
      </c>
      <c r="F60" s="129">
        <f t="shared" si="25"/>
        <v>198134.5</v>
      </c>
      <c r="G60" s="307">
        <f t="shared" si="20"/>
        <v>0.29449287688709336</v>
      </c>
      <c r="H60" s="307">
        <f t="shared" si="21"/>
        <v>-2.936487556440058E-2</v>
      </c>
      <c r="I60" s="313">
        <f t="shared" ref="I60:J60" si="26">I42+I48+I54</f>
        <v>18692.400000000001</v>
      </c>
      <c r="J60" s="129">
        <f t="shared" si="26"/>
        <v>201435.6</v>
      </c>
      <c r="K60" s="307">
        <f t="shared" si="23"/>
        <v>0.27940097187365942</v>
      </c>
    </row>
    <row r="61" spans="1:11" ht="11.1" customHeight="1">
      <c r="A61" s="442"/>
      <c r="B61" s="442"/>
      <c r="C61" s="154" t="s">
        <v>93</v>
      </c>
      <c r="D61" s="313">
        <f>D55</f>
        <v>11</v>
      </c>
      <c r="E61" s="129">
        <f>E43+E49+E55</f>
        <v>611.52700000000004</v>
      </c>
      <c r="F61" s="129">
        <f t="shared" si="25"/>
        <v>6687.0930499999995</v>
      </c>
      <c r="G61" s="307">
        <f t="shared" si="20"/>
        <v>9.9258878123919606E-3</v>
      </c>
      <c r="H61" s="307">
        <f t="shared" si="21"/>
        <v>-8.6082313223050197E-2</v>
      </c>
      <c r="I61" s="313">
        <f>I43+I49+I55</f>
        <v>669.12699999999995</v>
      </c>
      <c r="J61" s="129">
        <f t="shared" ref="J61" si="27">J43+J49+J55</f>
        <v>7217.0072300000002</v>
      </c>
      <c r="K61" s="307">
        <f t="shared" si="23"/>
        <v>1.0001644203361051E-2</v>
      </c>
    </row>
    <row r="62" spans="1:11" ht="11.1" customHeight="1">
      <c r="A62" s="443"/>
      <c r="B62" s="443"/>
      <c r="C62" s="318" t="s">
        <v>0</v>
      </c>
      <c r="D62" s="321">
        <f>SUM(D57:D61)</f>
        <v>153518</v>
      </c>
      <c r="E62" s="319">
        <f>SUM(E57:E61)</f>
        <v>61609.3</v>
      </c>
      <c r="F62" s="319">
        <f>SUM(F57:F61)</f>
        <v>673214.20876999991</v>
      </c>
      <c r="G62" s="320">
        <f>SUM(G57:G61)</f>
        <v>1</v>
      </c>
      <c r="H62" s="320">
        <f>(E62-I62)/I62</f>
        <v>-7.9107107891129735E-2</v>
      </c>
      <c r="I62" s="321">
        <f>SUM(I57:I61)</f>
        <v>66901.7</v>
      </c>
      <c r="J62" s="319">
        <f>SUM(J57:J61)</f>
        <v>721123.79205000005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14" t="str">
        <f>"6.8 Spotřeba zemního plynu a teplota ovzduší podle krajů: "&amp;LOWER(A3)</f>
        <v>6.8 Spotřeba zemního plynu a teplota ovzduší podle krajů: duben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82" t="str">
        <f>'3.1'!D5</f>
        <v>Duben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8"/>
      <c r="B4" s="252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86"/>
      <c r="C6" s="221" t="s">
        <v>261</v>
      </c>
      <c r="D6" s="219" t="s">
        <v>262</v>
      </c>
      <c r="E6" s="486"/>
      <c r="F6" s="520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'6.1'!D14</f>
        <v>103063</v>
      </c>
      <c r="C7" s="313">
        <f>'6.1'!E14</f>
        <v>21991.372780000002</v>
      </c>
      <c r="D7" s="129">
        <f>'6.1'!F14</f>
        <v>239755.45045</v>
      </c>
      <c r="E7" s="307">
        <f>D7/$D$21</f>
        <v>3.6616983431286672E-2</v>
      </c>
      <c r="F7" s="332">
        <f>'6.1'!H14</f>
        <v>-0.1049135896350888</v>
      </c>
      <c r="G7" s="326">
        <v>6.0533333333333319</v>
      </c>
      <c r="H7" s="327">
        <v>12.4</v>
      </c>
      <c r="I7" s="327">
        <v>-0.7</v>
      </c>
      <c r="J7" s="327">
        <v>7.0999999999999961</v>
      </c>
      <c r="K7" s="326">
        <v>-1.0466666666666642</v>
      </c>
    </row>
    <row r="8" spans="1:11" ht="14.1" customHeight="1">
      <c r="A8" s="154" t="s">
        <v>9</v>
      </c>
      <c r="B8" s="129">
        <f>'6.1'!D44</f>
        <v>376088</v>
      </c>
      <c r="C8" s="313">
        <f>'6.1'!E44</f>
        <v>77526.3</v>
      </c>
      <c r="D8" s="129">
        <f>'6.1'!F44</f>
        <v>845423.80909999995</v>
      </c>
      <c r="E8" s="307">
        <f t="shared" ref="E8:E20" si="0">D8/$D$21</f>
        <v>0.12911852286205225</v>
      </c>
      <c r="F8" s="332">
        <f>'6.1'!H44</f>
        <v>-0.13204845445080088</v>
      </c>
      <c r="G8" s="326">
        <v>8.14</v>
      </c>
      <c r="H8" s="327">
        <v>15.8</v>
      </c>
      <c r="I8" s="327">
        <v>0.8</v>
      </c>
      <c r="J8" s="327">
        <v>8.9000000000000021</v>
      </c>
      <c r="K8" s="326">
        <v>-0.76000000000000156</v>
      </c>
    </row>
    <row r="9" spans="1:11" ht="14.1" customHeight="1">
      <c r="A9" s="154" t="s">
        <v>10</v>
      </c>
      <c r="B9" s="129">
        <f>'6.2'!D14</f>
        <v>82688</v>
      </c>
      <c r="C9" s="313">
        <f>'6.2'!E14</f>
        <v>16023.3</v>
      </c>
      <c r="D9" s="129">
        <f>'6.2'!F14</f>
        <v>174733.95210999998</v>
      </c>
      <c r="E9" s="307">
        <f t="shared" si="0"/>
        <v>2.6686484988291983E-2</v>
      </c>
      <c r="F9" s="332">
        <f>'6.2'!H14</f>
        <v>-8.0146273694845907E-2</v>
      </c>
      <c r="G9" s="326">
        <v>5.5699999999999994</v>
      </c>
      <c r="H9" s="327">
        <v>12.1</v>
      </c>
      <c r="I9" s="327">
        <v>-0.6</v>
      </c>
      <c r="J9" s="327">
        <v>6.5</v>
      </c>
      <c r="K9" s="326">
        <v>-0.9300000000000006</v>
      </c>
    </row>
    <row r="10" spans="1:11" ht="14.1" customHeight="1">
      <c r="A10" s="154" t="s">
        <v>92</v>
      </c>
      <c r="B10" s="129">
        <f>'6.2'!D44</f>
        <v>115975</v>
      </c>
      <c r="C10" s="313">
        <f>'6.2'!E44</f>
        <v>24866.100000000002</v>
      </c>
      <c r="D10" s="129">
        <f>'6.2'!F44</f>
        <v>271164.48214999994</v>
      </c>
      <c r="E10" s="307">
        <f t="shared" si="0"/>
        <v>4.1413971325380466E-2</v>
      </c>
      <c r="F10" s="332">
        <f>'6.2'!H44</f>
        <v>-0.12267536014056318</v>
      </c>
      <c r="G10" s="326">
        <v>6.4066666666666672</v>
      </c>
      <c r="H10" s="327">
        <v>12</v>
      </c>
      <c r="I10" s="327">
        <v>-1.7</v>
      </c>
      <c r="J10" s="327">
        <v>7</v>
      </c>
      <c r="K10" s="326">
        <v>-0.59333333333333282</v>
      </c>
    </row>
    <row r="11" spans="1:11" ht="14.1" customHeight="1">
      <c r="A11" s="154" t="s">
        <v>11</v>
      </c>
      <c r="B11" s="129">
        <f>'6.3'!D14</f>
        <v>91582</v>
      </c>
      <c r="C11" s="313">
        <f>'6.3'!E14</f>
        <v>23804.399999999998</v>
      </c>
      <c r="D11" s="129">
        <f>'6.3'!F14</f>
        <v>259586.97500000003</v>
      </c>
      <c r="E11" s="307">
        <f t="shared" si="0"/>
        <v>3.9645780501391011E-2</v>
      </c>
      <c r="F11" s="332">
        <f>'6.3'!H14</f>
        <v>-0.12239902080783355</v>
      </c>
      <c r="G11" s="326">
        <v>6.4533333333333331</v>
      </c>
      <c r="H11" s="327">
        <v>12.1</v>
      </c>
      <c r="I11" s="327">
        <v>-0.8</v>
      </c>
      <c r="J11" s="327">
        <v>6.9000000000000039</v>
      </c>
      <c r="K11" s="326">
        <v>-0.44666666666667076</v>
      </c>
    </row>
    <row r="12" spans="1:11" ht="14.1" customHeight="1">
      <c r="A12" s="154" t="s">
        <v>12</v>
      </c>
      <c r="B12" s="129">
        <f>'6.3'!D44</f>
        <v>371318</v>
      </c>
      <c r="C12" s="313">
        <f>'6.3'!E44</f>
        <v>65941.516000000003</v>
      </c>
      <c r="D12" s="129">
        <f>'6.3'!F44</f>
        <v>718801.64271000016</v>
      </c>
      <c r="E12" s="307">
        <f t="shared" si="0"/>
        <v>0.1097799770228069</v>
      </c>
      <c r="F12" s="332">
        <f>'6.3'!H44</f>
        <v>-0.11241523518086502</v>
      </c>
      <c r="G12" s="326">
        <v>6.8366666666666669</v>
      </c>
      <c r="H12" s="327">
        <v>13.9</v>
      </c>
      <c r="I12" s="327">
        <v>-1.2</v>
      </c>
      <c r="J12" s="327">
        <v>7.3000000000000034</v>
      </c>
      <c r="K12" s="326">
        <v>-0.46333333333333648</v>
      </c>
    </row>
    <row r="13" spans="1:11" ht="14.1" customHeight="1">
      <c r="A13" s="154" t="s">
        <v>13</v>
      </c>
      <c r="B13" s="129">
        <f>'6.4'!D14</f>
        <v>183859</v>
      </c>
      <c r="C13" s="313">
        <f>'6.4'!E14</f>
        <v>36378.299999999996</v>
      </c>
      <c r="D13" s="129">
        <f>'6.4'!F14</f>
        <v>396704.14453999995</v>
      </c>
      <c r="E13" s="307">
        <f t="shared" si="0"/>
        <v>6.0587190241054766E-2</v>
      </c>
      <c r="F13" s="332">
        <f>'6.4'!H14</f>
        <v>-0.14363902156539188</v>
      </c>
      <c r="G13" s="326">
        <v>6.8233333333333341</v>
      </c>
      <c r="H13" s="327">
        <v>13.8</v>
      </c>
      <c r="I13" s="327">
        <v>-1.4</v>
      </c>
      <c r="J13" s="327">
        <v>6.9000000000000039</v>
      </c>
      <c r="K13" s="326">
        <v>-7.6666666666669769E-2</v>
      </c>
    </row>
    <row r="14" spans="1:11" ht="14.1" customHeight="1">
      <c r="A14" s="154" t="s">
        <v>14</v>
      </c>
      <c r="B14" s="129">
        <f>'6.4'!D44</f>
        <v>134401</v>
      </c>
      <c r="C14" s="313">
        <f>'6.4'!E44</f>
        <v>28294.5</v>
      </c>
      <c r="D14" s="129">
        <f>'6.4'!F44</f>
        <v>308552.05262999999</v>
      </c>
      <c r="E14" s="307">
        <f t="shared" si="0"/>
        <v>4.7124039839913479E-2</v>
      </c>
      <c r="F14" s="332">
        <f>'6.4'!H44</f>
        <v>-0.10360307558760262</v>
      </c>
      <c r="G14" s="326">
        <v>6.6199999999999992</v>
      </c>
      <c r="H14" s="327">
        <v>11.9</v>
      </c>
      <c r="I14" s="327">
        <v>-1.1000000000000001</v>
      </c>
      <c r="J14" s="327">
        <v>7.9000000000000039</v>
      </c>
      <c r="K14" s="326">
        <v>-1.2800000000000047</v>
      </c>
    </row>
    <row r="15" spans="1:11" ht="14.1" customHeight="1">
      <c r="A15" s="154" t="s">
        <v>15</v>
      </c>
      <c r="B15" s="129">
        <f>'6.5'!D14</f>
        <v>157405</v>
      </c>
      <c r="C15" s="313">
        <f>'6.5'!E14</f>
        <v>28927</v>
      </c>
      <c r="D15" s="129">
        <f>'6.5'!F14</f>
        <v>315448.53175000002</v>
      </c>
      <c r="E15" s="307">
        <f t="shared" si="0"/>
        <v>4.8177314170892327E-2</v>
      </c>
      <c r="F15" s="332">
        <f>'6.5'!H14</f>
        <v>-0.12517654032377568</v>
      </c>
      <c r="G15" s="326">
        <v>6.6666666666666679</v>
      </c>
      <c r="H15" s="327">
        <v>12.5</v>
      </c>
      <c r="I15" s="327">
        <v>0</v>
      </c>
      <c r="J15" s="327">
        <v>7.1999999999999966</v>
      </c>
      <c r="K15" s="326">
        <v>-0.53333333333332877</v>
      </c>
    </row>
    <row r="16" spans="1:11" ht="14.1" customHeight="1">
      <c r="A16" s="154" t="s">
        <v>1</v>
      </c>
      <c r="B16" s="129">
        <f>'6.5'!D44</f>
        <v>405459</v>
      </c>
      <c r="C16" s="313">
        <f>'6.5'!E44</f>
        <v>65162.508645217997</v>
      </c>
      <c r="D16" s="129">
        <f>'6.5'!F44</f>
        <v>712579.62659095961</v>
      </c>
      <c r="E16" s="307">
        <f t="shared" si="0"/>
        <v>0.1088297109883435</v>
      </c>
      <c r="F16" s="332">
        <f>'6.5'!H44</f>
        <v>-0.1077614664643175</v>
      </c>
      <c r="G16" s="326">
        <v>8.4366666666666674</v>
      </c>
      <c r="H16" s="327">
        <v>14.8</v>
      </c>
      <c r="I16" s="327">
        <v>1.9</v>
      </c>
      <c r="J16" s="327">
        <v>8.6999999999999957</v>
      </c>
      <c r="K16" s="326">
        <v>-0.26333333333332831</v>
      </c>
    </row>
    <row r="17" spans="1:16" ht="14.1" customHeight="1">
      <c r="A17" s="154" t="s">
        <v>16</v>
      </c>
      <c r="B17" s="129">
        <f>'6.6'!D14</f>
        <v>256692</v>
      </c>
      <c r="C17" s="313">
        <f>'6.6'!E14</f>
        <v>85876.665999999983</v>
      </c>
      <c r="D17" s="129">
        <f>'6.6'!F14</f>
        <v>936420.20528900018</v>
      </c>
      <c r="E17" s="307">
        <f t="shared" si="0"/>
        <v>0.1430160735759381</v>
      </c>
      <c r="F17" s="332">
        <f>'6.6'!H14</f>
        <v>-9.3482245316732673E-2</v>
      </c>
      <c r="G17" s="326">
        <v>7.2533333333333321</v>
      </c>
      <c r="H17" s="327">
        <v>13.4</v>
      </c>
      <c r="I17" s="327">
        <v>0.5</v>
      </c>
      <c r="J17" s="327">
        <v>8.5</v>
      </c>
      <c r="K17" s="326">
        <v>-1.2466666666666679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'6.6'!D44</f>
        <v>218541</v>
      </c>
      <c r="C18" s="313">
        <f>'6.6'!E44</f>
        <v>71233.026999999987</v>
      </c>
      <c r="D18" s="129">
        <f>'6.6'!F44</f>
        <v>777106.9124309998</v>
      </c>
      <c r="E18" s="307">
        <f t="shared" si="0"/>
        <v>0.11868473014238522</v>
      </c>
      <c r="F18" s="332">
        <f>'6.6'!H44</f>
        <v>8.4457485934888471E-2</v>
      </c>
      <c r="G18" s="326">
        <v>7.0833333333333321</v>
      </c>
      <c r="H18" s="327">
        <v>13.2</v>
      </c>
      <c r="I18" s="327">
        <v>0.8</v>
      </c>
      <c r="J18" s="327">
        <v>8.5</v>
      </c>
      <c r="K18" s="326">
        <v>-1.4166666666666679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'6.7'!D14</f>
        <v>118865</v>
      </c>
      <c r="C19" s="313">
        <f>'6.7'!E14</f>
        <v>24114.931219999999</v>
      </c>
      <c r="D19" s="129">
        <f>'6.7'!F14</f>
        <v>262963.93136000005</v>
      </c>
      <c r="E19" s="307">
        <f t="shared" si="0"/>
        <v>4.0161530841373728E-2</v>
      </c>
      <c r="F19" s="332">
        <f>'6.7'!H14</f>
        <v>-0.13768037293265054</v>
      </c>
      <c r="G19" s="326">
        <v>6.1566666666666654</v>
      </c>
      <c r="H19" s="327">
        <v>12.4</v>
      </c>
      <c r="I19" s="327">
        <v>-1</v>
      </c>
      <c r="J19" s="327">
        <v>6.9000000000000039</v>
      </c>
      <c r="K19" s="326">
        <v>-0.74333333333333851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'6.7'!D44</f>
        <v>153853</v>
      </c>
      <c r="C20" s="314">
        <f>'6.7'!E44</f>
        <v>30116.100000000002</v>
      </c>
      <c r="D20" s="310">
        <f>'6.7'!F44</f>
        <v>328415.35399999999</v>
      </c>
      <c r="E20" s="311">
        <f t="shared" si="0"/>
        <v>5.0157690068889718E-2</v>
      </c>
      <c r="F20" s="333">
        <f>'6.7'!H44</f>
        <v>-0.13845198793905447</v>
      </c>
      <c r="G20" s="328">
        <v>6.376666666666666</v>
      </c>
      <c r="H20" s="329">
        <v>14.2</v>
      </c>
      <c r="I20" s="329">
        <v>-1.4</v>
      </c>
      <c r="J20" s="329">
        <v>8.5</v>
      </c>
      <c r="K20" s="328">
        <v>-2.123333333333334</v>
      </c>
      <c r="L20" s="93"/>
    </row>
    <row r="21" spans="1:16" ht="14.1" customHeight="1">
      <c r="A21" s="154" t="s">
        <v>0</v>
      </c>
      <c r="B21" s="156">
        <f>SUM(B7:B20)</f>
        <v>2769789</v>
      </c>
      <c r="C21" s="313">
        <f>SUM(C7:C20)</f>
        <v>600256.0216452179</v>
      </c>
      <c r="D21" s="129">
        <f>SUM(D7:D20)</f>
        <v>6547657.070110959</v>
      </c>
      <c r="E21" s="367">
        <f>SUM(E7:E20)</f>
        <v>1.0000000000000002</v>
      </c>
      <c r="F21" s="332"/>
      <c r="G21" s="256">
        <v>6.6799999999999988</v>
      </c>
      <c r="H21" s="256">
        <v>12.6</v>
      </c>
      <c r="I21" s="256">
        <v>-0.4</v>
      </c>
      <c r="J21" s="256">
        <v>8.6366666666666667</v>
      </c>
      <c r="K21" s="256">
        <v>-1.9566666666666679</v>
      </c>
    </row>
    <row r="22" spans="1:16" ht="14.1" customHeight="1">
      <c r="A22" s="204" t="s">
        <v>94</v>
      </c>
      <c r="B22" s="368"/>
      <c r="C22" s="314">
        <f>'5.1'!E13</f>
        <v>6211.8862771392969</v>
      </c>
      <c r="D22" s="310">
        <f>'5.1'!F13</f>
        <v>67858.734327000042</v>
      </c>
      <c r="E22" s="368"/>
      <c r="F22" s="333">
        <f>'5.1'!H13</f>
        <v>-8.7791131622969296E-2</v>
      </c>
      <c r="G22" s="262">
        <v>6.6799999999999988</v>
      </c>
      <c r="H22" s="262">
        <v>12.6</v>
      </c>
      <c r="I22" s="262">
        <v>-0.4</v>
      </c>
      <c r="J22" s="262">
        <v>8.6366666666666667</v>
      </c>
      <c r="K22" s="262">
        <v>-1.9566666666666679</v>
      </c>
    </row>
    <row r="23" spans="1:16" ht="14.1" customHeight="1">
      <c r="A23" s="204" t="s">
        <v>55</v>
      </c>
      <c r="B23" s="161">
        <f>B21+B22</f>
        <v>2769789</v>
      </c>
      <c r="C23" s="314">
        <f>C21+C22</f>
        <v>606467.9079223572</v>
      </c>
      <c r="D23" s="310">
        <f>D21+D22</f>
        <v>6615515.8044379586</v>
      </c>
      <c r="E23" s="368"/>
      <c r="F23" s="333">
        <f>'5.1'!H14</f>
        <v>-9.6660613524322231E-2</v>
      </c>
      <c r="G23" s="262">
        <v>6.6799999999999988</v>
      </c>
      <c r="H23" s="262">
        <v>12.6</v>
      </c>
      <c r="I23" s="262">
        <v>-0.4</v>
      </c>
      <c r="J23" s="262">
        <v>8.6366666666666667</v>
      </c>
      <c r="K23" s="262">
        <v>-1.9566666666666679</v>
      </c>
    </row>
    <row r="24" spans="1:16" ht="15" customHeight="1">
      <c r="A24" s="101"/>
      <c r="B24" s="94"/>
      <c r="C24" s="522" t="s">
        <v>244</v>
      </c>
      <c r="D24" s="522"/>
      <c r="E24" s="522"/>
      <c r="F24" s="522"/>
      <c r="G24" s="525" t="s">
        <v>242</v>
      </c>
      <c r="H24" s="525"/>
      <c r="I24" s="525"/>
      <c r="J24" s="525"/>
      <c r="K24" s="525"/>
    </row>
    <row r="25" spans="1:16" ht="15" customHeight="1">
      <c r="A25" s="94"/>
      <c r="B25" s="94"/>
      <c r="C25" s="522"/>
      <c r="D25" s="522"/>
      <c r="E25" s="522"/>
      <c r="F25" s="522"/>
      <c r="G25" s="525" t="s">
        <v>243</v>
      </c>
      <c r="H25" s="525"/>
      <c r="I25" s="525"/>
      <c r="J25" s="525"/>
      <c r="K25" s="525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7" t="s">
        <v>257</v>
      </c>
      <c r="B29" s="487"/>
      <c r="C29" s="487"/>
      <c r="D29" s="487"/>
      <c r="E29" s="487"/>
      <c r="F29" s="487" t="s">
        <v>61</v>
      </c>
      <c r="G29" s="487"/>
      <c r="H29" s="487"/>
      <c r="I29" s="487"/>
      <c r="J29" s="487"/>
      <c r="K29" s="487"/>
    </row>
    <row r="30" spans="1:16" ht="15" customHeight="1">
      <c r="A30" s="120"/>
      <c r="B30" s="523"/>
      <c r="C30" s="523"/>
      <c r="D30" s="120"/>
      <c r="E30" s="120"/>
      <c r="F30" s="120"/>
      <c r="G30" s="120"/>
      <c r="H30" s="523"/>
      <c r="I30" s="523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14" t="str">
        <f>"6.9 Spotřeba zemního plynu a teplota ovzduší podle krajů: "&amp;LOWER(A3)</f>
        <v>6.9 Spotřeba zemního plynu a teplota ovzduší podle krajů: květen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82" t="str">
        <f>'3.1'!E5</f>
        <v>Květen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8"/>
      <c r="B4" s="252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86"/>
      <c r="C6" s="221" t="s">
        <v>261</v>
      </c>
      <c r="D6" s="219" t="s">
        <v>262</v>
      </c>
      <c r="E6" s="486"/>
      <c r="F6" s="520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'6.1'!D20</f>
        <v>102937</v>
      </c>
      <c r="C7" s="313">
        <f>'6.1'!E20</f>
        <v>13095.125610000001</v>
      </c>
      <c r="D7" s="129">
        <f>'6.1'!F20</f>
        <v>143054.44702999998</v>
      </c>
      <c r="E7" s="307">
        <f>D7/$D$21</f>
        <v>3.6009661511007519E-2</v>
      </c>
      <c r="F7" s="332">
        <f>'6.1'!H20</f>
        <v>1.65357346396609E-2</v>
      </c>
      <c r="G7" s="326">
        <v>12.241935483870968</v>
      </c>
      <c r="H7" s="327">
        <v>18.899999999999999</v>
      </c>
      <c r="I7" s="327">
        <v>8</v>
      </c>
      <c r="J7" s="327">
        <v>12.5</v>
      </c>
      <c r="K7" s="326">
        <v>-0.25806451612903203</v>
      </c>
    </row>
    <row r="8" spans="1:11" ht="14.1" customHeight="1">
      <c r="A8" s="154" t="s">
        <v>9</v>
      </c>
      <c r="B8" s="129">
        <f>'6.1'!D50</f>
        <v>375699</v>
      </c>
      <c r="C8" s="313">
        <f>'6.1'!E50</f>
        <v>40291.800000000003</v>
      </c>
      <c r="D8" s="129">
        <f>'6.1'!F50</f>
        <v>441082.93212000001</v>
      </c>
      <c r="E8" s="307">
        <f t="shared" ref="E8:E20" si="0">D8/$D$21</f>
        <v>0.11102938366252274</v>
      </c>
      <c r="F8" s="332">
        <f>'6.1'!H50</f>
        <v>7.8797712376301246E-2</v>
      </c>
      <c r="G8" s="326">
        <v>14.04838709677419</v>
      </c>
      <c r="H8" s="327">
        <v>18.899999999999999</v>
      </c>
      <c r="I8" s="327">
        <v>9.1999999999999993</v>
      </c>
      <c r="J8" s="327">
        <v>14.199999999999992</v>
      </c>
      <c r="K8" s="326">
        <v>-0.15161290322580179</v>
      </c>
    </row>
    <row r="9" spans="1:11" ht="14.1" customHeight="1">
      <c r="A9" s="154" t="s">
        <v>10</v>
      </c>
      <c r="B9" s="129">
        <f>'6.2'!D20</f>
        <v>82601</v>
      </c>
      <c r="C9" s="313">
        <f>'6.2'!E20</f>
        <v>10651.8</v>
      </c>
      <c r="D9" s="129">
        <f>'6.2'!F20</f>
        <v>116607.30124999997</v>
      </c>
      <c r="E9" s="307">
        <f t="shared" si="0"/>
        <v>2.9352386695423817E-2</v>
      </c>
      <c r="F9" s="332">
        <f>'6.2'!H20</f>
        <v>5.186340923903391E-2</v>
      </c>
      <c r="G9" s="326">
        <v>12.100000000000001</v>
      </c>
      <c r="H9" s="327">
        <v>18.600000000000001</v>
      </c>
      <c r="I9" s="327">
        <v>6.6</v>
      </c>
      <c r="J9" s="327">
        <v>11.800000000000006</v>
      </c>
      <c r="K9" s="326">
        <v>0.29999999999999538</v>
      </c>
    </row>
    <row r="10" spans="1:11" ht="14.1" customHeight="1">
      <c r="A10" s="154" t="s">
        <v>92</v>
      </c>
      <c r="B10" s="129">
        <f>'6.2'!D50</f>
        <v>115852</v>
      </c>
      <c r="C10" s="313">
        <f>'6.2'!E50</f>
        <v>14655.599999999999</v>
      </c>
      <c r="D10" s="129">
        <f>'6.2'!F50</f>
        <v>160437.61641999992</v>
      </c>
      <c r="E10" s="307">
        <f t="shared" si="0"/>
        <v>4.03853524365132E-2</v>
      </c>
      <c r="F10" s="332">
        <f>'6.2'!H50</f>
        <v>1.7997429930885749E-2</v>
      </c>
      <c r="G10" s="326">
        <v>12.374193548387098</v>
      </c>
      <c r="H10" s="327">
        <v>18</v>
      </c>
      <c r="I10" s="327">
        <v>7.3</v>
      </c>
      <c r="J10" s="327">
        <v>12.600000000000005</v>
      </c>
      <c r="K10" s="326">
        <v>-0.22580645161290747</v>
      </c>
    </row>
    <row r="11" spans="1:11" ht="14.1" customHeight="1">
      <c r="A11" s="154" t="s">
        <v>11</v>
      </c>
      <c r="B11" s="129">
        <f>'6.3'!D20</f>
        <v>91488</v>
      </c>
      <c r="C11" s="313">
        <f>'6.3'!E20</f>
        <v>14502.2</v>
      </c>
      <c r="D11" s="129">
        <f>'6.3'!F20</f>
        <v>158758.61791999999</v>
      </c>
      <c r="E11" s="307">
        <f t="shared" si="0"/>
        <v>3.9962714979812484E-2</v>
      </c>
      <c r="F11" s="332">
        <f>'6.3'!H20</f>
        <v>0.11181643245398176</v>
      </c>
      <c r="G11" s="326">
        <v>12.732258064516131</v>
      </c>
      <c r="H11" s="327">
        <v>18.3</v>
      </c>
      <c r="I11" s="327">
        <v>8.1999999999999993</v>
      </c>
      <c r="J11" s="327">
        <v>12.399999999999995</v>
      </c>
      <c r="K11" s="326">
        <v>0.33225806451613593</v>
      </c>
    </row>
    <row r="12" spans="1:11" ht="14.1" customHeight="1">
      <c r="A12" s="154" t="s">
        <v>12</v>
      </c>
      <c r="B12" s="129">
        <f>'6.3'!D50</f>
        <v>370921</v>
      </c>
      <c r="C12" s="313">
        <f>'6.3'!E50</f>
        <v>47854.303999999996</v>
      </c>
      <c r="D12" s="129">
        <f>'6.3'!F50</f>
        <v>523563.95371000009</v>
      </c>
      <c r="E12" s="307">
        <f t="shared" si="0"/>
        <v>0.13179150417119273</v>
      </c>
      <c r="F12" s="332">
        <f>'6.3'!H50</f>
        <v>4.1441418541535067E-2</v>
      </c>
      <c r="G12" s="326">
        <v>12.151612903225805</v>
      </c>
      <c r="H12" s="327">
        <v>17.3</v>
      </c>
      <c r="I12" s="327">
        <v>6.8</v>
      </c>
      <c r="J12" s="327">
        <v>12.699999999999994</v>
      </c>
      <c r="K12" s="326">
        <v>-0.54838709677418862</v>
      </c>
    </row>
    <row r="13" spans="1:11" ht="14.1" customHeight="1">
      <c r="A13" s="154" t="s">
        <v>13</v>
      </c>
      <c r="B13" s="129">
        <f>'6.4'!D20</f>
        <v>183665</v>
      </c>
      <c r="C13" s="313">
        <f>'6.4'!E20</f>
        <v>21874.400000000001</v>
      </c>
      <c r="D13" s="129">
        <f>'6.4'!F20</f>
        <v>239463.31960999995</v>
      </c>
      <c r="E13" s="307">
        <f t="shared" si="0"/>
        <v>6.027770029162377E-2</v>
      </c>
      <c r="F13" s="332">
        <f>'6.4'!H20</f>
        <v>-1.3360035362146297E-2</v>
      </c>
      <c r="G13" s="326">
        <v>12.490322580645161</v>
      </c>
      <c r="H13" s="327">
        <v>17.7</v>
      </c>
      <c r="I13" s="327">
        <v>7.8</v>
      </c>
      <c r="J13" s="327">
        <v>12.199999999999994</v>
      </c>
      <c r="K13" s="326">
        <v>0.29032258064516725</v>
      </c>
    </row>
    <row r="14" spans="1:11" ht="14.1" customHeight="1">
      <c r="A14" s="154" t="s">
        <v>14</v>
      </c>
      <c r="B14" s="129">
        <f>'6.4'!D50</f>
        <v>134256</v>
      </c>
      <c r="C14" s="313">
        <f>'6.4'!E50</f>
        <v>16739</v>
      </c>
      <c r="D14" s="129">
        <f>'6.4'!F50</f>
        <v>183247.01032999999</v>
      </c>
      <c r="E14" s="307">
        <f t="shared" si="0"/>
        <v>4.6126932450436794E-2</v>
      </c>
      <c r="F14" s="332">
        <f>'6.4'!H50</f>
        <v>9.644673112533338E-3</v>
      </c>
      <c r="G14" s="326">
        <v>12.748387096774195</v>
      </c>
      <c r="H14" s="327">
        <v>18</v>
      </c>
      <c r="I14" s="327">
        <v>8.4</v>
      </c>
      <c r="J14" s="327">
        <v>13.300000000000008</v>
      </c>
      <c r="K14" s="326">
        <v>-0.5516129032258128</v>
      </c>
    </row>
    <row r="15" spans="1:11" ht="14.1" customHeight="1">
      <c r="A15" s="154" t="s">
        <v>15</v>
      </c>
      <c r="B15" s="129">
        <f>'6.5'!D20</f>
        <v>157242</v>
      </c>
      <c r="C15" s="313">
        <f>'6.5'!E20</f>
        <v>17804.300000000003</v>
      </c>
      <c r="D15" s="129">
        <f>'6.5'!F20</f>
        <v>194907.31607999996</v>
      </c>
      <c r="E15" s="307">
        <f t="shared" si="0"/>
        <v>4.9062064296315724E-2</v>
      </c>
      <c r="F15" s="332">
        <f>'6.5'!H20</f>
        <v>-1.0080286451383086E-2</v>
      </c>
      <c r="G15" s="326">
        <v>13.164516129032259</v>
      </c>
      <c r="H15" s="327">
        <v>19.5</v>
      </c>
      <c r="I15" s="327">
        <v>8.6</v>
      </c>
      <c r="J15" s="327">
        <v>12.699999999999994</v>
      </c>
      <c r="K15" s="326">
        <v>0.46451612903226547</v>
      </c>
    </row>
    <row r="16" spans="1:11" ht="14.1" customHeight="1">
      <c r="A16" s="154" t="s">
        <v>1</v>
      </c>
      <c r="B16" s="129">
        <f>'6.5'!D50</f>
        <v>404847</v>
      </c>
      <c r="C16" s="313">
        <f>'6.5'!E50</f>
        <v>31103.850063851471</v>
      </c>
      <c r="D16" s="129">
        <f>'6.5'!F50</f>
        <v>341444.84026691742</v>
      </c>
      <c r="E16" s="307">
        <f t="shared" si="0"/>
        <v>8.5948485894418045E-2</v>
      </c>
      <c r="F16" s="332">
        <f>'6.5'!H50</f>
        <v>0.1682124922432931</v>
      </c>
      <c r="G16" s="326">
        <v>15.074193548387099</v>
      </c>
      <c r="H16" s="327">
        <v>21.2</v>
      </c>
      <c r="I16" s="327">
        <v>10.3</v>
      </c>
      <c r="J16" s="327">
        <v>14</v>
      </c>
      <c r="K16" s="326">
        <v>1.0741935483870986</v>
      </c>
    </row>
    <row r="17" spans="1:16" ht="14.1" customHeight="1">
      <c r="A17" s="154" t="s">
        <v>16</v>
      </c>
      <c r="B17" s="129">
        <f>'6.6'!D20</f>
        <v>256419</v>
      </c>
      <c r="C17" s="313">
        <f>'6.6'!E20</f>
        <v>48817.525000000001</v>
      </c>
      <c r="D17" s="129">
        <f>'6.6'!F20</f>
        <v>534371.03752399993</v>
      </c>
      <c r="E17" s="307">
        <f t="shared" si="0"/>
        <v>0.13451186301457502</v>
      </c>
      <c r="F17" s="332">
        <f>'6.6'!H20</f>
        <v>-0.18906188357916373</v>
      </c>
      <c r="G17" s="326">
        <v>13.493548387096771</v>
      </c>
      <c r="H17" s="327">
        <v>19.5</v>
      </c>
      <c r="I17" s="327">
        <v>9.5</v>
      </c>
      <c r="J17" s="327">
        <v>13.800000000000008</v>
      </c>
      <c r="K17" s="326">
        <v>-0.30645161290323664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'6.6'!D50</f>
        <v>218309</v>
      </c>
      <c r="C18" s="313">
        <f>'6.6'!E50</f>
        <v>53724.435999999994</v>
      </c>
      <c r="D18" s="129">
        <f>'6.6'!F50</f>
        <v>588279.57665500022</v>
      </c>
      <c r="E18" s="307">
        <f t="shared" si="0"/>
        <v>0.14808171901669656</v>
      </c>
      <c r="F18" s="332">
        <f>'6.6'!H50</f>
        <v>-0.28839525717248166</v>
      </c>
      <c r="G18" s="326">
        <v>13.425806451612903</v>
      </c>
      <c r="H18" s="327">
        <v>19.3</v>
      </c>
      <c r="I18" s="327">
        <v>8.6999999999999993</v>
      </c>
      <c r="J18" s="327">
        <v>13.899999999999993</v>
      </c>
      <c r="K18" s="326">
        <v>-0.47419354838709005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'6.7'!D20</f>
        <v>118746</v>
      </c>
      <c r="C19" s="313">
        <f>'6.7'!E20</f>
        <v>14148.167390000001</v>
      </c>
      <c r="D19" s="129">
        <f>'6.7'!F20</f>
        <v>154838.44375999999</v>
      </c>
      <c r="E19" s="307">
        <f t="shared" si="0"/>
        <v>3.8975928847003946E-2</v>
      </c>
      <c r="F19" s="332">
        <f>'6.7'!H20</f>
        <v>7.5292199141674052E-2</v>
      </c>
      <c r="G19" s="326">
        <v>12.290322580645162</v>
      </c>
      <c r="H19" s="327">
        <v>18</v>
      </c>
      <c r="I19" s="327">
        <v>7.6</v>
      </c>
      <c r="J19" s="327">
        <v>12.399999999999995</v>
      </c>
      <c r="K19" s="326">
        <v>-0.10967741935483311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'6.7'!D50</f>
        <v>153692</v>
      </c>
      <c r="C20" s="314">
        <f>'6.7'!E50</f>
        <v>17594.599999999999</v>
      </c>
      <c r="D20" s="310">
        <f>'6.7'!F50</f>
        <v>192612.06093000001</v>
      </c>
      <c r="E20" s="311">
        <f t="shared" si="0"/>
        <v>4.8484302732457719E-2</v>
      </c>
      <c r="F20" s="333">
        <f>'6.7'!H50</f>
        <v>-3.9061049274159237E-2</v>
      </c>
      <c r="G20" s="328">
        <v>12.312903225806451</v>
      </c>
      <c r="H20" s="329">
        <v>16.5</v>
      </c>
      <c r="I20" s="329">
        <v>7.6</v>
      </c>
      <c r="J20" s="329">
        <v>13.800000000000008</v>
      </c>
      <c r="K20" s="328">
        <v>-1.4870967741935566</v>
      </c>
      <c r="L20" s="93"/>
    </row>
    <row r="21" spans="1:16" ht="14.1" customHeight="1">
      <c r="A21" s="154" t="s">
        <v>0</v>
      </c>
      <c r="B21" s="156">
        <f>SUM(B7:B20)</f>
        <v>2766674</v>
      </c>
      <c r="C21" s="313">
        <f>SUM(C7:C20)</f>
        <v>362857.10806385142</v>
      </c>
      <c r="D21" s="129">
        <f>SUM(D7:D20)</f>
        <v>3972668.4736059173</v>
      </c>
      <c r="E21" s="367">
        <f>SUM(E7:E20)</f>
        <v>1</v>
      </c>
      <c r="F21" s="332"/>
      <c r="G21" s="256">
        <v>12.812903225806451</v>
      </c>
      <c r="H21" s="256">
        <v>18.399999999999999</v>
      </c>
      <c r="I21" s="256">
        <v>8.5</v>
      </c>
      <c r="J21" s="256">
        <v>13.522580645161288</v>
      </c>
      <c r="K21" s="256">
        <v>-0.7096774193548363</v>
      </c>
    </row>
    <row r="22" spans="1:16" ht="14.1" customHeight="1">
      <c r="A22" s="204" t="s">
        <v>94</v>
      </c>
      <c r="B22" s="368"/>
      <c r="C22" s="314">
        <f>'5.1'!E20</f>
        <v>5996.9003121314117</v>
      </c>
      <c r="D22" s="310">
        <f>'5.1'!F20</f>
        <v>65703.314756999927</v>
      </c>
      <c r="E22" s="368"/>
      <c r="F22" s="333">
        <f>'5.1'!H20</f>
        <v>0.2968484984310098</v>
      </c>
      <c r="G22" s="262">
        <v>12.812903225806451</v>
      </c>
      <c r="H22" s="262">
        <v>18.399999999999999</v>
      </c>
      <c r="I22" s="262">
        <v>8.5</v>
      </c>
      <c r="J22" s="262">
        <v>13.522580645161288</v>
      </c>
      <c r="K22" s="262">
        <v>-0.7096774193548363</v>
      </c>
    </row>
    <row r="23" spans="1:16" ht="14.1" customHeight="1">
      <c r="A23" s="204" t="s">
        <v>55</v>
      </c>
      <c r="B23" s="161">
        <f>B21+B22</f>
        <v>2766674</v>
      </c>
      <c r="C23" s="314">
        <f t="shared" ref="C23:D23" si="1">C21+C22</f>
        <v>368854.00837598281</v>
      </c>
      <c r="D23" s="310">
        <f t="shared" si="1"/>
        <v>4038371.788362917</v>
      </c>
      <c r="E23" s="368"/>
      <c r="F23" s="333">
        <f>'5.1'!H21</f>
        <v>-5.1536027385937537E-2</v>
      </c>
      <c r="G23" s="262">
        <v>12.812903225806451</v>
      </c>
      <c r="H23" s="262">
        <v>18.399999999999999</v>
      </c>
      <c r="I23" s="262">
        <v>8.5</v>
      </c>
      <c r="J23" s="262">
        <v>13.522580645161288</v>
      </c>
      <c r="K23" s="262">
        <v>-0.7096774193548363</v>
      </c>
    </row>
    <row r="24" spans="1:16" ht="15" customHeight="1">
      <c r="A24" s="101"/>
      <c r="B24" s="94"/>
      <c r="C24" s="522" t="s">
        <v>244</v>
      </c>
      <c r="D24" s="522"/>
      <c r="E24" s="522"/>
      <c r="F24" s="522"/>
      <c r="G24" s="525" t="s">
        <v>242</v>
      </c>
      <c r="H24" s="525"/>
      <c r="I24" s="525"/>
      <c r="J24" s="525"/>
      <c r="K24" s="525"/>
    </row>
    <row r="25" spans="1:16" ht="15" customHeight="1">
      <c r="A25" s="94"/>
      <c r="B25" s="94"/>
      <c r="C25" s="522"/>
      <c r="D25" s="522"/>
      <c r="E25" s="522"/>
      <c r="F25" s="522"/>
      <c r="G25" s="525" t="s">
        <v>243</v>
      </c>
      <c r="H25" s="525"/>
      <c r="I25" s="525"/>
      <c r="J25" s="525"/>
      <c r="K25" s="525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7" t="s">
        <v>257</v>
      </c>
      <c r="B29" s="487"/>
      <c r="C29" s="487"/>
      <c r="D29" s="487"/>
      <c r="E29" s="487"/>
      <c r="F29" s="487" t="s">
        <v>61</v>
      </c>
      <c r="G29" s="487"/>
      <c r="H29" s="487"/>
      <c r="I29" s="487"/>
      <c r="J29" s="487"/>
      <c r="K29" s="487"/>
    </row>
    <row r="30" spans="1:16" ht="15" customHeight="1">
      <c r="A30" s="120"/>
      <c r="B30" s="523"/>
      <c r="C30" s="523"/>
      <c r="D30" s="120"/>
      <c r="E30" s="120"/>
      <c r="F30" s="120"/>
      <c r="G30" s="120"/>
      <c r="H30" s="523"/>
      <c r="I30" s="523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246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28" t="s">
        <v>320</v>
      </c>
      <c r="B3" s="428"/>
    </row>
    <row r="4" spans="1:4" ht="11.25" customHeight="1">
      <c r="A4" s="428"/>
      <c r="B4" s="428"/>
    </row>
    <row r="5" spans="1:4" ht="11.25" customHeight="1">
      <c r="A5" s="428"/>
      <c r="B5" s="428"/>
      <c r="C5" s="7"/>
      <c r="D5" s="7"/>
    </row>
    <row r="6" spans="1:4" ht="11.25" customHeight="1">
      <c r="A6" s="428"/>
      <c r="B6" s="428"/>
      <c r="C6" s="7"/>
      <c r="D6" s="7"/>
    </row>
    <row r="7" spans="1:4" ht="11.25" customHeight="1">
      <c r="A7" s="428"/>
      <c r="B7" s="428"/>
      <c r="C7" s="8"/>
      <c r="D7" s="7"/>
    </row>
    <row r="8" spans="1:4" ht="11.25" customHeight="1">
      <c r="A8" s="428"/>
      <c r="B8" s="428"/>
      <c r="C8" s="7"/>
      <c r="D8" s="7"/>
    </row>
    <row r="9" spans="1:4" ht="11.25" customHeight="1">
      <c r="A9" s="428"/>
      <c r="B9" s="428"/>
      <c r="C9" s="7"/>
      <c r="D9" s="7"/>
    </row>
    <row r="10" spans="1:4" ht="11.25" customHeight="1">
      <c r="A10" s="428"/>
      <c r="B10" s="428"/>
      <c r="C10" s="7"/>
      <c r="D10" s="7"/>
    </row>
    <row r="11" spans="1:4" ht="11.25" customHeight="1">
      <c r="A11" s="428"/>
      <c r="B11" s="428"/>
      <c r="C11" s="7"/>
      <c r="D11" s="7"/>
    </row>
    <row r="12" spans="1:4" ht="11.25" customHeight="1">
      <c r="A12" s="428"/>
      <c r="B12" s="428"/>
      <c r="C12" s="7"/>
      <c r="D12" s="7"/>
    </row>
    <row r="13" spans="1:4" ht="11.25" customHeight="1">
      <c r="A13" s="428"/>
      <c r="B13" s="428"/>
      <c r="C13" s="7"/>
      <c r="D13" s="7"/>
    </row>
    <row r="14" spans="1:4" ht="11.25" customHeight="1">
      <c r="A14" s="428"/>
      <c r="B14" s="428"/>
      <c r="C14" s="7"/>
      <c r="D14" s="7"/>
    </row>
    <row r="15" spans="1:4" ht="11.25" customHeight="1">
      <c r="A15" s="428"/>
      <c r="B15" s="428"/>
      <c r="C15" s="7"/>
      <c r="D15" s="7"/>
    </row>
    <row r="16" spans="1:4" ht="11.25" customHeight="1">
      <c r="A16" s="428"/>
      <c r="B16" s="428"/>
      <c r="C16" s="7"/>
      <c r="D16" s="7"/>
    </row>
    <row r="17" spans="1:6" ht="11.25" customHeight="1">
      <c r="A17" s="428"/>
      <c r="B17" s="428"/>
      <c r="C17" s="7"/>
      <c r="D17" s="7"/>
    </row>
    <row r="18" spans="1:6" ht="11.25" customHeight="1">
      <c r="A18" s="428"/>
      <c r="B18" s="428"/>
      <c r="C18" s="7"/>
      <c r="D18" s="7"/>
      <c r="F18" s="2"/>
    </row>
    <row r="19" spans="1:6" ht="11.25" customHeight="1">
      <c r="A19" s="428"/>
      <c r="B19" s="428"/>
      <c r="C19" s="7"/>
      <c r="D19" s="7"/>
      <c r="F19" s="2"/>
    </row>
    <row r="20" spans="1:6" ht="11.25" customHeight="1">
      <c r="A20" s="428"/>
      <c r="B20" s="428"/>
      <c r="C20" s="7"/>
      <c r="D20" s="7"/>
      <c r="F20" s="2"/>
    </row>
    <row r="21" spans="1:6" ht="11.25" customHeight="1">
      <c r="A21" s="428"/>
      <c r="B21" s="428"/>
      <c r="C21" s="7"/>
      <c r="D21" s="7"/>
      <c r="F21" s="2"/>
    </row>
    <row r="22" spans="1:6" ht="11.25" customHeight="1">
      <c r="A22" s="428"/>
      <c r="B22" s="428"/>
      <c r="C22" s="7"/>
      <c r="D22" s="7"/>
      <c r="F22" s="2"/>
    </row>
    <row r="23" spans="1:6" ht="11.25" customHeight="1">
      <c r="A23" s="428"/>
      <c r="B23" s="428"/>
      <c r="C23" s="7"/>
      <c r="D23" s="7"/>
      <c r="F23" s="2"/>
    </row>
    <row r="24" spans="1:6" ht="11.25" customHeight="1">
      <c r="A24" s="428"/>
      <c r="B24" s="428"/>
      <c r="C24" s="7"/>
      <c r="D24" s="7"/>
      <c r="F24" s="2"/>
    </row>
    <row r="25" spans="1:6" ht="11.25" customHeight="1">
      <c r="A25" s="428"/>
      <c r="B25" s="428"/>
      <c r="C25" s="7"/>
      <c r="D25" s="7"/>
      <c r="F25" s="2"/>
    </row>
    <row r="26" spans="1:6" ht="11.25" customHeight="1">
      <c r="A26" s="428"/>
      <c r="B26" s="428"/>
      <c r="C26" s="7"/>
      <c r="D26" s="7"/>
      <c r="F26" s="2"/>
    </row>
    <row r="27" spans="1:6" ht="11.25" customHeight="1">
      <c r="A27" s="428"/>
      <c r="B27" s="428"/>
      <c r="C27" s="7"/>
      <c r="D27" s="7"/>
      <c r="F27" s="2"/>
    </row>
    <row r="28" spans="1:6" ht="11.25" customHeight="1">
      <c r="A28" s="428"/>
      <c r="B28" s="428"/>
      <c r="C28" s="9"/>
      <c r="D28" s="9"/>
      <c r="F28" s="2"/>
    </row>
    <row r="29" spans="1:6" ht="11.25" customHeight="1">
      <c r="A29" s="428"/>
      <c r="B29" s="428"/>
      <c r="C29" s="7"/>
      <c r="D29" s="7"/>
      <c r="F29" s="2"/>
    </row>
    <row r="30" spans="1:6" ht="11.25" customHeight="1">
      <c r="A30" s="428"/>
      <c r="B30" s="428"/>
      <c r="C30" s="7"/>
      <c r="D30" s="7"/>
    </row>
    <row r="31" spans="1:6" ht="11.25" customHeight="1">
      <c r="A31" s="428"/>
      <c r="B31" s="428"/>
      <c r="C31" s="7"/>
      <c r="D31" s="7"/>
    </row>
    <row r="32" spans="1:6" ht="11.25" customHeight="1">
      <c r="A32" s="428"/>
      <c r="B32" s="428"/>
      <c r="C32" s="7"/>
      <c r="D32" s="7"/>
    </row>
    <row r="33" spans="1:4" ht="11.25" customHeight="1">
      <c r="A33" s="428"/>
      <c r="B33" s="428"/>
      <c r="C33" s="7"/>
      <c r="D33" s="7"/>
    </row>
    <row r="34" spans="1:4" ht="11.25" customHeight="1">
      <c r="A34" s="428"/>
      <c r="B34" s="428"/>
      <c r="C34" s="7"/>
      <c r="D34" s="7"/>
    </row>
    <row r="35" spans="1:4" ht="11.25" customHeight="1">
      <c r="A35" s="428"/>
      <c r="B35" s="428"/>
      <c r="C35" s="7"/>
      <c r="D35" s="7"/>
    </row>
    <row r="36" spans="1:4" ht="11.25" customHeight="1">
      <c r="A36" s="428"/>
      <c r="B36" s="428"/>
      <c r="C36" s="7"/>
      <c r="D36" s="7"/>
    </row>
    <row r="37" spans="1:4" ht="11.25" customHeight="1">
      <c r="A37" s="428"/>
      <c r="B37" s="428"/>
      <c r="C37" s="10"/>
      <c r="D37" s="10"/>
    </row>
    <row r="38" spans="1:4" ht="11.25" customHeight="1">
      <c r="A38" s="428"/>
      <c r="B38" s="428"/>
    </row>
    <row r="39" spans="1:4" ht="11.25" customHeight="1">
      <c r="A39" s="428"/>
      <c r="B39" s="428"/>
    </row>
    <row r="40" spans="1:4" ht="11.25" customHeight="1">
      <c r="A40" s="428"/>
      <c r="B40" s="428"/>
    </row>
    <row r="41" spans="1:4" ht="11.25" customHeight="1">
      <c r="A41" s="428"/>
      <c r="B41" s="428"/>
    </row>
    <row r="42" spans="1:4" ht="11.25" customHeight="1">
      <c r="A42" s="428"/>
      <c r="B42" s="428"/>
    </row>
    <row r="43" spans="1:4" ht="11.25" customHeight="1">
      <c r="A43" s="428"/>
      <c r="B43" s="428"/>
    </row>
    <row r="44" spans="1:4" ht="11.25" customHeight="1">
      <c r="A44" s="428"/>
      <c r="B44" s="428"/>
    </row>
    <row r="45" spans="1:4" ht="11.25" customHeight="1">
      <c r="A45" s="428"/>
      <c r="B45" s="428"/>
    </row>
    <row r="46" spans="1:4" ht="11.25" customHeight="1">
      <c r="A46" s="428"/>
      <c r="B46" s="428"/>
    </row>
    <row r="47" spans="1:4" ht="11.25" customHeight="1">
      <c r="A47" s="428"/>
      <c r="B47" s="428"/>
    </row>
    <row r="48" spans="1:4" ht="11.25" customHeight="1">
      <c r="A48" s="428"/>
      <c r="B48" s="428"/>
    </row>
    <row r="49" spans="1:2" ht="11.25" customHeight="1">
      <c r="A49" s="428"/>
      <c r="B49" s="428"/>
    </row>
    <row r="50" spans="1:2" ht="11.25" customHeight="1">
      <c r="A50" s="428"/>
      <c r="B50" s="428"/>
    </row>
    <row r="51" spans="1:2" ht="11.25" customHeight="1">
      <c r="A51" s="428"/>
      <c r="B51" s="428"/>
    </row>
    <row r="52" spans="1:2" ht="11.25" customHeight="1">
      <c r="A52" s="428"/>
      <c r="B52" s="428"/>
    </row>
    <row r="53" spans="1:2" ht="11.25" customHeight="1">
      <c r="A53" s="428"/>
      <c r="B53" s="428"/>
    </row>
    <row r="54" spans="1:2" ht="11.25" customHeight="1">
      <c r="A54" s="428"/>
      <c r="B54" s="428"/>
    </row>
    <row r="55" spans="1:2" ht="11.25" customHeight="1">
      <c r="A55" s="428"/>
      <c r="B55" s="428"/>
    </row>
    <row r="56" spans="1:2" ht="11.25" customHeight="1">
      <c r="A56" s="428"/>
      <c r="B56" s="428"/>
    </row>
    <row r="57" spans="1:2" ht="11.25" customHeight="1">
      <c r="A57" s="428"/>
      <c r="B57" s="428"/>
    </row>
    <row r="58" spans="1:2" ht="11.25" customHeight="1">
      <c r="A58" s="428"/>
      <c r="B58" s="428"/>
    </row>
    <row r="59" spans="1:2" ht="11.25" customHeight="1">
      <c r="A59" s="428"/>
      <c r="B59" s="428"/>
    </row>
    <row r="60" spans="1:2" ht="11.25" customHeight="1">
      <c r="A60" s="428"/>
      <c r="B60" s="428"/>
    </row>
    <row r="61" spans="1:2" ht="11.25" customHeight="1">
      <c r="A61" s="428"/>
      <c r="B61" s="428"/>
    </row>
    <row r="62" spans="1:2" ht="11.25" customHeight="1">
      <c r="A62" s="428"/>
      <c r="B62" s="428"/>
    </row>
    <row r="63" spans="1:2" ht="11.25" customHeight="1">
      <c r="A63" s="428"/>
      <c r="B63" s="428"/>
    </row>
    <row r="64" spans="1:2" ht="11.25" customHeight="1">
      <c r="A64" s="428"/>
      <c r="B64" s="428"/>
    </row>
    <row r="65" spans="1:2" ht="11.25" customHeight="1">
      <c r="A65" s="428"/>
      <c r="B65" s="428"/>
    </row>
    <row r="66" spans="1:2" ht="11.25" customHeight="1">
      <c r="A66" s="428"/>
      <c r="B66" s="428"/>
    </row>
    <row r="67" spans="1:2" ht="11.25" customHeight="1">
      <c r="A67" s="428"/>
      <c r="B67" s="428"/>
    </row>
    <row r="68" spans="1:2" ht="11.25" customHeight="1">
      <c r="A68" s="428"/>
      <c r="B68" s="428"/>
    </row>
    <row r="69" spans="1:2" ht="11.25" customHeight="1">
      <c r="A69" s="428"/>
      <c r="B69" s="428"/>
    </row>
    <row r="70" spans="1:2" ht="11.25" customHeight="1">
      <c r="A70" s="428"/>
      <c r="B70" s="428"/>
    </row>
    <row r="71" spans="1:2" ht="11.25" customHeight="1">
      <c r="A71" s="428"/>
      <c r="B71" s="428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14" t="str">
        <f>"6.10 Spotřeba zemního plynu a teplota ovzduší podle krajů: "&amp;LOWER(A3)</f>
        <v>6.10 Spotřeba zemního plynu a teplota ovzduší podle krajů: červen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82" t="str">
        <f>'3.1'!F5</f>
        <v>Červen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8"/>
      <c r="B4" s="252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86"/>
      <c r="C6" s="221" t="s">
        <v>261</v>
      </c>
      <c r="D6" s="219" t="s">
        <v>262</v>
      </c>
      <c r="E6" s="486"/>
      <c r="F6" s="520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'6.1'!D26</f>
        <v>102811</v>
      </c>
      <c r="C7" s="313">
        <f>'6.1'!E26</f>
        <v>10103.054770000001</v>
      </c>
      <c r="D7" s="129">
        <f>'6.1'!F26</f>
        <v>110772.89489000001</v>
      </c>
      <c r="E7" s="307">
        <f>D7/$D$21</f>
        <v>3.237079228475561E-2</v>
      </c>
      <c r="F7" s="332">
        <f>'6.1'!H26</f>
        <v>5.6272261514760786E-4</v>
      </c>
      <c r="G7" s="326">
        <v>16.783333333333328</v>
      </c>
      <c r="H7" s="327">
        <v>23.4</v>
      </c>
      <c r="I7" s="327">
        <v>13.1</v>
      </c>
      <c r="J7" s="327">
        <v>15.399999999999993</v>
      </c>
      <c r="K7" s="326">
        <v>1.3833333333333346</v>
      </c>
    </row>
    <row r="8" spans="1:11" ht="14.1" customHeight="1">
      <c r="A8" s="154" t="s">
        <v>9</v>
      </c>
      <c r="B8" s="129">
        <f>'6.1'!D56</f>
        <v>375282</v>
      </c>
      <c r="C8" s="313">
        <f>'6.1'!E56</f>
        <v>26180.7</v>
      </c>
      <c r="D8" s="129">
        <f>'6.1'!F56</f>
        <v>286673.37029000011</v>
      </c>
      <c r="E8" s="307">
        <f t="shared" ref="E8:E20" si="0">D8/$D$21</f>
        <v>8.3773599421081466E-2</v>
      </c>
      <c r="F8" s="332">
        <f>'6.1'!H56</f>
        <v>-0.10180731571760852</v>
      </c>
      <c r="G8" s="326">
        <v>18.690000000000005</v>
      </c>
      <c r="H8" s="327">
        <v>24.3</v>
      </c>
      <c r="I8" s="327">
        <v>14.5</v>
      </c>
      <c r="J8" s="327">
        <v>17</v>
      </c>
      <c r="K8" s="326">
        <v>1.6900000000000048</v>
      </c>
    </row>
    <row r="9" spans="1:11" ht="14.1" customHeight="1">
      <c r="A9" s="154" t="s">
        <v>10</v>
      </c>
      <c r="B9" s="129">
        <f>'6.2'!D26</f>
        <v>82508</v>
      </c>
      <c r="C9" s="313">
        <f>'6.2'!E26</f>
        <v>9534.5000000000018</v>
      </c>
      <c r="D9" s="129">
        <f>'6.2'!F26</f>
        <v>104401.02447000002</v>
      </c>
      <c r="E9" s="307">
        <f t="shared" si="0"/>
        <v>3.0508761920414029E-2</v>
      </c>
      <c r="F9" s="332">
        <f>'6.2'!H26</f>
        <v>4.6390394872583091E-2</v>
      </c>
      <c r="G9" s="326">
        <v>16.809999999999999</v>
      </c>
      <c r="H9" s="327">
        <v>24.5</v>
      </c>
      <c r="I9" s="327">
        <v>12.3</v>
      </c>
      <c r="J9" s="327">
        <v>14.600000000000007</v>
      </c>
      <c r="K9" s="326">
        <v>2.209999999999992</v>
      </c>
    </row>
    <row r="10" spans="1:11" ht="14.1" customHeight="1">
      <c r="A10" s="154" t="s">
        <v>92</v>
      </c>
      <c r="B10" s="129">
        <f>'6.2'!D56</f>
        <v>115720</v>
      </c>
      <c r="C10" s="313">
        <f>'6.2'!E56</f>
        <v>10151.800000000001</v>
      </c>
      <c r="D10" s="129">
        <f>'6.2'!F56</f>
        <v>111160.62399000001</v>
      </c>
      <c r="E10" s="307">
        <f t="shared" si="0"/>
        <v>3.2484097061807056E-2</v>
      </c>
      <c r="F10" s="332">
        <f>'6.2'!H56</f>
        <v>-0.13066785411510826</v>
      </c>
      <c r="G10" s="326">
        <v>17.043333333333333</v>
      </c>
      <c r="H10" s="327">
        <v>23.9</v>
      </c>
      <c r="I10" s="327">
        <v>12.2</v>
      </c>
      <c r="J10" s="327">
        <v>15.199999999999992</v>
      </c>
      <c r="K10" s="326">
        <v>1.8433333333333408</v>
      </c>
    </row>
    <row r="11" spans="1:11" ht="14.1" customHeight="1">
      <c r="A11" s="154" t="s">
        <v>11</v>
      </c>
      <c r="B11" s="129">
        <f>'6.3'!D26</f>
        <v>91383</v>
      </c>
      <c r="C11" s="313">
        <f>'6.3'!E26</f>
        <v>10071.1</v>
      </c>
      <c r="D11" s="129">
        <f>'6.3'!F26</f>
        <v>110276.69091000002</v>
      </c>
      <c r="E11" s="307">
        <f t="shared" si="0"/>
        <v>3.2225788256618586E-2</v>
      </c>
      <c r="F11" s="332">
        <f>'6.3'!H26</f>
        <v>-0.12267298528655933</v>
      </c>
      <c r="G11" s="326">
        <v>17.003333333333334</v>
      </c>
      <c r="H11" s="327">
        <v>24.8</v>
      </c>
      <c r="I11" s="327">
        <v>12.4</v>
      </c>
      <c r="J11" s="327">
        <v>15.100000000000007</v>
      </c>
      <c r="K11" s="326">
        <v>1.9033333333333271</v>
      </c>
    </row>
    <row r="12" spans="1:11" ht="14.1" customHeight="1">
      <c r="A12" s="154" t="s">
        <v>12</v>
      </c>
      <c r="B12" s="129">
        <f>'6.3'!D56</f>
        <v>370505</v>
      </c>
      <c r="C12" s="313">
        <f>'6.3'!E56</f>
        <v>37453.051999999996</v>
      </c>
      <c r="D12" s="129">
        <f>'6.3'!F56</f>
        <v>409845.81089000002</v>
      </c>
      <c r="E12" s="307">
        <f t="shared" si="0"/>
        <v>0.11976786944380105</v>
      </c>
      <c r="F12" s="332">
        <f>'6.3'!H56</f>
        <v>-3.8409693642524195E-2</v>
      </c>
      <c r="G12" s="326">
        <v>17.233333333333334</v>
      </c>
      <c r="H12" s="327">
        <v>23.2</v>
      </c>
      <c r="I12" s="327">
        <v>12.3</v>
      </c>
      <c r="J12" s="327">
        <v>15.5</v>
      </c>
      <c r="K12" s="326">
        <v>1.7333333333333343</v>
      </c>
    </row>
    <row r="13" spans="1:11" ht="14.1" customHeight="1">
      <c r="A13" s="154" t="s">
        <v>13</v>
      </c>
      <c r="B13" s="129">
        <f>'6.4'!D26</f>
        <v>183459</v>
      </c>
      <c r="C13" s="313">
        <f>'6.4'!E26</f>
        <v>15746.9</v>
      </c>
      <c r="D13" s="129">
        <f>'6.4'!F26</f>
        <v>172425.20081000001</v>
      </c>
      <c r="E13" s="307">
        <f t="shared" si="0"/>
        <v>5.038723927564031E-2</v>
      </c>
      <c r="F13" s="332">
        <f>'6.4'!H26</f>
        <v>-0.12436469188251396</v>
      </c>
      <c r="G13" s="326">
        <v>17.280000000000005</v>
      </c>
      <c r="H13" s="327">
        <v>23.3</v>
      </c>
      <c r="I13" s="327">
        <v>12.3</v>
      </c>
      <c r="J13" s="327">
        <v>14.899999999999993</v>
      </c>
      <c r="K13" s="326">
        <v>2.3800000000000114</v>
      </c>
    </row>
    <row r="14" spans="1:11" ht="14.1" customHeight="1">
      <c r="A14" s="154" t="s">
        <v>14</v>
      </c>
      <c r="B14" s="129">
        <f>'6.4'!D56</f>
        <v>134105</v>
      </c>
      <c r="C14" s="313">
        <f>'6.4'!E56</f>
        <v>12732.1</v>
      </c>
      <c r="D14" s="129">
        <f>'6.4'!F56</f>
        <v>139413.99996999998</v>
      </c>
      <c r="E14" s="307">
        <f t="shared" si="0"/>
        <v>4.0740486552213399E-2</v>
      </c>
      <c r="F14" s="332">
        <f>'6.4'!H56</f>
        <v>-7.2518138640403157E-2</v>
      </c>
      <c r="G14" s="326">
        <v>17.476666666666667</v>
      </c>
      <c r="H14" s="327">
        <v>24.1</v>
      </c>
      <c r="I14" s="327">
        <v>12.9</v>
      </c>
      <c r="J14" s="327">
        <v>16.199999999999992</v>
      </c>
      <c r="K14" s="326">
        <v>1.2766666666666744</v>
      </c>
    </row>
    <row r="15" spans="1:11" ht="14.1" customHeight="1">
      <c r="A15" s="154" t="s">
        <v>15</v>
      </c>
      <c r="B15" s="129">
        <f>'6.5'!D26</f>
        <v>157065</v>
      </c>
      <c r="C15" s="313">
        <f>'6.5'!E26</f>
        <v>13161.7</v>
      </c>
      <c r="D15" s="129">
        <f>'6.5'!F26</f>
        <v>144119.16976999998</v>
      </c>
      <c r="E15" s="307">
        <f t="shared" si="0"/>
        <v>4.2115462573301884E-2</v>
      </c>
      <c r="F15" s="332">
        <f>'6.5'!H26</f>
        <v>-0.12264106922641076</v>
      </c>
      <c r="G15" s="326">
        <v>17.786666666666669</v>
      </c>
      <c r="H15" s="327">
        <v>25.1</v>
      </c>
      <c r="I15" s="327">
        <v>13.8</v>
      </c>
      <c r="J15" s="327">
        <v>15.600000000000007</v>
      </c>
      <c r="K15" s="326">
        <v>2.1866666666666621</v>
      </c>
    </row>
    <row r="16" spans="1:11" ht="14.1" customHeight="1">
      <c r="A16" s="154" t="s">
        <v>1</v>
      </c>
      <c r="B16" s="129">
        <f>'6.5'!D56</f>
        <v>403992</v>
      </c>
      <c r="C16" s="313">
        <f>'6.5'!E56</f>
        <v>18367.395025410795</v>
      </c>
      <c r="D16" s="129">
        <f>'6.5'!F56</f>
        <v>201678.87143487085</v>
      </c>
      <c r="E16" s="307">
        <f t="shared" si="0"/>
        <v>5.8935941521841492E-2</v>
      </c>
      <c r="F16" s="332">
        <f>'6.5'!H56</f>
        <v>-4.2634547866530871E-3</v>
      </c>
      <c r="G16" s="326">
        <v>19.52333333333333</v>
      </c>
      <c r="H16" s="327">
        <v>26.4</v>
      </c>
      <c r="I16" s="327">
        <v>15</v>
      </c>
      <c r="J16" s="327">
        <v>16.800000000000008</v>
      </c>
      <c r="K16" s="326">
        <v>2.7233333333333221</v>
      </c>
    </row>
    <row r="17" spans="1:16" ht="14.1" customHeight="1">
      <c r="A17" s="154" t="s">
        <v>16</v>
      </c>
      <c r="B17" s="129">
        <f>'6.6'!D26</f>
        <v>256133</v>
      </c>
      <c r="C17" s="313">
        <f>'6.6'!E26</f>
        <v>37845.222999999998</v>
      </c>
      <c r="D17" s="129">
        <f>'6.6'!F26</f>
        <v>414442.41787399992</v>
      </c>
      <c r="E17" s="307">
        <f t="shared" si="0"/>
        <v>0.121111120516561</v>
      </c>
      <c r="F17" s="332">
        <f>'6.6'!H26</f>
        <v>-0.25349371561593981</v>
      </c>
      <c r="G17" s="326">
        <v>17.88</v>
      </c>
      <c r="H17" s="327">
        <v>24.8</v>
      </c>
      <c r="I17" s="327">
        <v>13.7</v>
      </c>
      <c r="J17" s="327">
        <v>16.600000000000009</v>
      </c>
      <c r="K17" s="326">
        <v>1.2799999999999905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'6.6'!D56</f>
        <v>218064</v>
      </c>
      <c r="C18" s="313">
        <f>'6.6'!E56</f>
        <v>87503.026999999987</v>
      </c>
      <c r="D18" s="129">
        <f>'6.6'!F56</f>
        <v>958762.53031299997</v>
      </c>
      <c r="E18" s="307">
        <f t="shared" si="0"/>
        <v>0.28017596497760733</v>
      </c>
      <c r="F18" s="332">
        <f>'6.6'!H56</f>
        <v>3.7545812139821548E-2</v>
      </c>
      <c r="G18" s="326">
        <v>17.933333333333337</v>
      </c>
      <c r="H18" s="327">
        <v>25.4</v>
      </c>
      <c r="I18" s="327">
        <v>13.4</v>
      </c>
      <c r="J18" s="327">
        <v>16.699999999999992</v>
      </c>
      <c r="K18" s="326">
        <v>1.2333333333333449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'6.7'!D26</f>
        <v>118627</v>
      </c>
      <c r="C19" s="313">
        <f>'6.7'!E26</f>
        <v>9664.3112300000012</v>
      </c>
      <c r="D19" s="129">
        <f>'6.7'!F26</f>
        <v>105841.95027000002</v>
      </c>
      <c r="E19" s="307">
        <f t="shared" si="0"/>
        <v>3.0929838843752212E-2</v>
      </c>
      <c r="F19" s="332">
        <f>'6.7'!H26</f>
        <v>-7.1090794226155843E-2</v>
      </c>
      <c r="G19" s="326">
        <v>17.000000000000007</v>
      </c>
      <c r="H19" s="327">
        <v>23.6</v>
      </c>
      <c r="I19" s="327">
        <v>12.8</v>
      </c>
      <c r="J19" s="327">
        <v>15.199999999999992</v>
      </c>
      <c r="K19" s="326">
        <v>1.8000000000000149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'6.7'!D56</f>
        <v>153518</v>
      </c>
      <c r="C20" s="314">
        <f>'6.7'!E56</f>
        <v>13898.6</v>
      </c>
      <c r="D20" s="310">
        <f>'6.7'!F56</f>
        <v>152186.79384</v>
      </c>
      <c r="E20" s="311">
        <f t="shared" si="0"/>
        <v>4.4473037350604566E-2</v>
      </c>
      <c r="F20" s="333">
        <f>'6.7'!H56</f>
        <v>1.9250372173862027E-2</v>
      </c>
      <c r="G20" s="328">
        <v>16.999999999999996</v>
      </c>
      <c r="H20" s="329">
        <v>22.5</v>
      </c>
      <c r="I20" s="329">
        <v>13</v>
      </c>
      <c r="J20" s="329">
        <v>16.5</v>
      </c>
      <c r="K20" s="328">
        <v>0.49999999999999645</v>
      </c>
      <c r="L20" s="93"/>
    </row>
    <row r="21" spans="1:16" ht="14.1" customHeight="1">
      <c r="A21" s="154" t="s">
        <v>0</v>
      </c>
      <c r="B21" s="156">
        <f>SUM(B7:B20)</f>
        <v>2763172</v>
      </c>
      <c r="C21" s="313">
        <f>SUM(C7:C20)</f>
        <v>312413.46302541078</v>
      </c>
      <c r="D21" s="129">
        <f>SUM(D7:D20)</f>
        <v>3422001.3497218709</v>
      </c>
      <c r="E21" s="367">
        <f>SUM(E7:E20)</f>
        <v>1</v>
      </c>
      <c r="F21" s="332"/>
      <c r="G21" s="256">
        <v>17.459999999999994</v>
      </c>
      <c r="H21" s="256">
        <v>24</v>
      </c>
      <c r="I21" s="256">
        <v>13.2</v>
      </c>
      <c r="J21" s="256">
        <v>16.59</v>
      </c>
      <c r="K21" s="256">
        <v>0.86999999999999389</v>
      </c>
    </row>
    <row r="22" spans="1:16" ht="14.1" customHeight="1">
      <c r="A22" s="204" t="s">
        <v>94</v>
      </c>
      <c r="B22" s="368"/>
      <c r="C22" s="314">
        <f>'5.1'!E27</f>
        <v>1539.6886030559683</v>
      </c>
      <c r="D22" s="310">
        <f>'5.1'!F27</f>
        <v>17012.563173999992</v>
      </c>
      <c r="E22" s="368"/>
      <c r="F22" s="333">
        <f>'5.1'!H27</f>
        <v>-7.2183308526406392E-2</v>
      </c>
      <c r="G22" s="262">
        <v>17.459999999999994</v>
      </c>
      <c r="H22" s="262">
        <v>24</v>
      </c>
      <c r="I22" s="262">
        <v>13.2</v>
      </c>
      <c r="J22" s="262">
        <v>16.59</v>
      </c>
      <c r="K22" s="262">
        <v>0.86999999999999389</v>
      </c>
    </row>
    <row r="23" spans="1:16" ht="14.1" customHeight="1">
      <c r="A23" s="204" t="s">
        <v>55</v>
      </c>
      <c r="B23" s="161">
        <f>B21+B22</f>
        <v>2763172</v>
      </c>
      <c r="C23" s="314">
        <f t="shared" ref="C23:D23" si="1">C21+C22</f>
        <v>313953.15162846673</v>
      </c>
      <c r="D23" s="310">
        <f t="shared" si="1"/>
        <v>3439013.9128958709</v>
      </c>
      <c r="E23" s="368"/>
      <c r="F23" s="333">
        <f>'5.1'!H28</f>
        <v>-6.6600398061501156E-2</v>
      </c>
      <c r="G23" s="262">
        <v>17.459999999999994</v>
      </c>
      <c r="H23" s="262">
        <v>24</v>
      </c>
      <c r="I23" s="262">
        <v>13.2</v>
      </c>
      <c r="J23" s="262">
        <v>16.59</v>
      </c>
      <c r="K23" s="262">
        <v>0.86999999999999389</v>
      </c>
    </row>
    <row r="24" spans="1:16" ht="15" customHeight="1">
      <c r="A24" s="101"/>
      <c r="B24" s="94"/>
      <c r="C24" s="522" t="s">
        <v>244</v>
      </c>
      <c r="D24" s="522"/>
      <c r="E24" s="522"/>
      <c r="F24" s="522"/>
      <c r="G24" s="525" t="s">
        <v>242</v>
      </c>
      <c r="H24" s="525"/>
      <c r="I24" s="525"/>
      <c r="J24" s="525"/>
      <c r="K24" s="525"/>
    </row>
    <row r="25" spans="1:16" ht="15" customHeight="1">
      <c r="A25" s="94"/>
      <c r="B25" s="94"/>
      <c r="C25" s="522"/>
      <c r="D25" s="522"/>
      <c r="E25" s="522"/>
      <c r="F25" s="522"/>
      <c r="G25" s="525" t="s">
        <v>243</v>
      </c>
      <c r="H25" s="525"/>
      <c r="I25" s="525"/>
      <c r="J25" s="525"/>
      <c r="K25" s="525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7" t="s">
        <v>257</v>
      </c>
      <c r="B29" s="487"/>
      <c r="C29" s="487"/>
      <c r="D29" s="487"/>
      <c r="E29" s="487"/>
      <c r="F29" s="487" t="s">
        <v>61</v>
      </c>
      <c r="G29" s="487"/>
      <c r="H29" s="487"/>
      <c r="I29" s="487"/>
      <c r="J29" s="487"/>
      <c r="K29" s="487"/>
    </row>
    <row r="30" spans="1:16" ht="15" customHeight="1">
      <c r="A30" s="120"/>
      <c r="B30" s="523"/>
      <c r="C30" s="523"/>
      <c r="D30" s="120"/>
      <c r="E30" s="120"/>
      <c r="F30" s="120"/>
      <c r="G30" s="120"/>
      <c r="H30" s="523"/>
      <c r="I30" s="523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14" t="str">
        <f>"6.11 Spotřeba zemního plynu a teplota ovzduší podle krajů: "&amp;(A3)</f>
        <v>6.11 Spotřeba zemního plynu a teplota ovzduší podle krajů: II. čtvrtletí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6" customHeight="1">
      <c r="A2" s="518"/>
      <c r="B2" s="518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541" t="str">
        <f>'3.1'!G5</f>
        <v>II. čtvrtletí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ht="20.100000000000001" customHeight="1">
      <c r="A4" s="128"/>
      <c r="B4" s="252">
        <f>'3.1'!A4</f>
        <v>2023</v>
      </c>
      <c r="C4" s="537" t="s">
        <v>60</v>
      </c>
      <c r="D4" s="538"/>
      <c r="E4" s="538"/>
      <c r="F4" s="539"/>
      <c r="G4" s="540" t="s">
        <v>186</v>
      </c>
      <c r="H4" s="540"/>
      <c r="I4" s="540"/>
      <c r="J4" s="540"/>
      <c r="K4" s="540"/>
    </row>
    <row r="5" spans="1:11" ht="49.5" customHeight="1">
      <c r="A5" s="272"/>
      <c r="B5" s="499" t="s">
        <v>185</v>
      </c>
      <c r="C5" s="345"/>
      <c r="D5" s="346"/>
      <c r="E5" s="499" t="s">
        <v>279</v>
      </c>
      <c r="F5" s="519" t="s">
        <v>282</v>
      </c>
      <c r="G5" s="369" t="s">
        <v>62</v>
      </c>
      <c r="H5" s="369" t="s">
        <v>173</v>
      </c>
      <c r="I5" s="369" t="s">
        <v>174</v>
      </c>
      <c r="J5" s="369" t="s">
        <v>284</v>
      </c>
      <c r="K5" s="369" t="s">
        <v>285</v>
      </c>
    </row>
    <row r="6" spans="1:11" ht="15" customHeight="1">
      <c r="A6" s="219" t="s">
        <v>187</v>
      </c>
      <c r="B6" s="486"/>
      <c r="C6" s="221" t="s">
        <v>261</v>
      </c>
      <c r="D6" s="219" t="s">
        <v>262</v>
      </c>
      <c r="E6" s="486"/>
      <c r="F6" s="520"/>
      <c r="G6" s="219" t="s">
        <v>230</v>
      </c>
      <c r="H6" s="219" t="s">
        <v>230</v>
      </c>
      <c r="I6" s="219" t="s">
        <v>230</v>
      </c>
      <c r="J6" s="219" t="s">
        <v>230</v>
      </c>
      <c r="K6" s="219" t="s">
        <v>230</v>
      </c>
    </row>
    <row r="7" spans="1:11" ht="14.1" customHeight="1">
      <c r="A7" s="154" t="s">
        <v>8</v>
      </c>
      <c r="B7" s="129">
        <f>'6.1'!D32</f>
        <v>102811</v>
      </c>
      <c r="C7" s="313">
        <f>'6.1'!E32</f>
        <v>45189.553160000003</v>
      </c>
      <c r="D7" s="129">
        <f>'6.1'!F32</f>
        <v>493582.79236999998</v>
      </c>
      <c r="E7" s="307">
        <f>D7/$D$21</f>
        <v>3.5401751525585001E-2</v>
      </c>
      <c r="F7" s="332">
        <f>'6.1'!H32</f>
        <v>-4.9610930180501306E-2</v>
      </c>
      <c r="G7" s="326">
        <f>AVERAGE('6.8'!G7,'6.9'!G7,'6.10'!G7)</f>
        <v>11.692867383512542</v>
      </c>
      <c r="H7" s="327">
        <f>MAX('6.8'!H7,'6.9'!H7,'6.10'!H7)</f>
        <v>23.4</v>
      </c>
      <c r="I7" s="327">
        <f>MIN('6.8'!I7,'6.9'!I7,'6.10'!I7)</f>
        <v>-0.7</v>
      </c>
      <c r="J7" s="327">
        <f>AVERAGE('6.8'!J7,'6.9'!J7,'6.10'!J7)</f>
        <v>11.666666666666663</v>
      </c>
      <c r="K7" s="326">
        <f>G7-J7</f>
        <v>2.6200716845879768E-2</v>
      </c>
    </row>
    <row r="8" spans="1:11" ht="14.1" customHeight="1">
      <c r="A8" s="154" t="s">
        <v>9</v>
      </c>
      <c r="B8" s="129">
        <f>'6.1'!D62</f>
        <v>375282</v>
      </c>
      <c r="C8" s="313">
        <f>'6.1'!E62</f>
        <v>143998.79999999999</v>
      </c>
      <c r="D8" s="129">
        <f>'6.1'!F62</f>
        <v>1573180.11151</v>
      </c>
      <c r="E8" s="307">
        <f t="shared" ref="E8:E20" si="0">D8/$D$21</f>
        <v>0.11283483191391372</v>
      </c>
      <c r="F8" s="332">
        <f>'6.1'!H62</f>
        <v>-7.5852597260906859E-2</v>
      </c>
      <c r="G8" s="326">
        <f>AVERAGE('6.8'!G8,'6.9'!G8,'6.10'!G8)</f>
        <v>13.626129032258065</v>
      </c>
      <c r="H8" s="327">
        <f>MAX('6.8'!H8,'6.9'!H8,'6.10'!H8)</f>
        <v>24.3</v>
      </c>
      <c r="I8" s="327">
        <f>MIN('6.8'!I8,'6.9'!I8,'6.10'!I8)</f>
        <v>0.8</v>
      </c>
      <c r="J8" s="327">
        <f>AVERAGE('6.8'!J8,'6.9'!J8,'6.10'!J8)</f>
        <v>13.366666666666665</v>
      </c>
      <c r="K8" s="326">
        <f t="shared" ref="K8:K23" si="1">G8-J8</f>
        <v>0.2594623655913999</v>
      </c>
    </row>
    <row r="9" spans="1:11" ht="14.1" customHeight="1">
      <c r="A9" s="154" t="s">
        <v>10</v>
      </c>
      <c r="B9" s="129">
        <f>'6.2'!D32</f>
        <v>82508</v>
      </c>
      <c r="C9" s="313">
        <f>'6.2'!E32</f>
        <v>36209.599999999999</v>
      </c>
      <c r="D9" s="129">
        <f>'6.2'!F32</f>
        <v>395742.27783000004</v>
      </c>
      <c r="E9" s="307">
        <f t="shared" si="0"/>
        <v>2.8384234629890665E-2</v>
      </c>
      <c r="F9" s="332">
        <f>'6.2'!H32</f>
        <v>-1.2226592976119798E-2</v>
      </c>
      <c r="G9" s="326">
        <f>AVERAGE('6.8'!G9,'6.9'!G9,'6.10'!G9)</f>
        <v>11.493333333333334</v>
      </c>
      <c r="H9" s="327">
        <f>MAX('6.8'!H9,'6.9'!H9,'6.10'!H9)</f>
        <v>24.5</v>
      </c>
      <c r="I9" s="327">
        <f>MIN('6.8'!I9,'6.9'!I9,'6.10'!I9)</f>
        <v>-0.6</v>
      </c>
      <c r="J9" s="327">
        <f>AVERAGE('6.8'!J9,'6.9'!J9,'6.10'!J9)</f>
        <v>10.96666666666667</v>
      </c>
      <c r="K9" s="326">
        <f t="shared" si="1"/>
        <v>0.52666666666666373</v>
      </c>
    </row>
    <row r="10" spans="1:11" ht="14.1" customHeight="1">
      <c r="A10" s="154" t="s">
        <v>92</v>
      </c>
      <c r="B10" s="129">
        <f>'6.2'!D62</f>
        <v>115720</v>
      </c>
      <c r="C10" s="313">
        <f>'6.2'!E62</f>
        <v>49673.499999999993</v>
      </c>
      <c r="D10" s="129">
        <f>'6.2'!F62</f>
        <v>542762.72255999979</v>
      </c>
      <c r="E10" s="307">
        <f t="shared" si="0"/>
        <v>3.8929134764113422E-2</v>
      </c>
      <c r="F10" s="332">
        <f>'6.2'!H62</f>
        <v>-8.7174483114744947E-2</v>
      </c>
      <c r="G10" s="326">
        <f>AVERAGE('6.8'!G10,'6.9'!G10,'6.10'!G10)</f>
        <v>11.941397849462367</v>
      </c>
      <c r="H10" s="327">
        <f>MAX('6.8'!H10,'6.9'!H10,'6.10'!H10)</f>
        <v>23.9</v>
      </c>
      <c r="I10" s="327">
        <f>MIN('6.8'!I10,'6.9'!I10,'6.10'!I10)</f>
        <v>-1.7</v>
      </c>
      <c r="J10" s="327">
        <f>AVERAGE('6.8'!J10,'6.9'!J10,'6.10'!J10)</f>
        <v>11.6</v>
      </c>
      <c r="K10" s="326">
        <f t="shared" si="1"/>
        <v>0.34139784946236773</v>
      </c>
    </row>
    <row r="11" spans="1:11" ht="14.1" customHeight="1">
      <c r="A11" s="154" t="s">
        <v>11</v>
      </c>
      <c r="B11" s="129">
        <f>'6.3'!D32</f>
        <v>91383</v>
      </c>
      <c r="C11" s="313">
        <f>'6.3'!E32</f>
        <v>48377.7</v>
      </c>
      <c r="D11" s="129">
        <f>'6.3'!F32</f>
        <v>528622.28383000009</v>
      </c>
      <c r="E11" s="307">
        <f t="shared" si="0"/>
        <v>3.7914925382991092E-2</v>
      </c>
      <c r="F11" s="332">
        <f>'6.3'!H32</f>
        <v>-6.3308123932666452E-2</v>
      </c>
      <c r="G11" s="326">
        <f>AVERAGE('6.8'!G11,'6.9'!G11,'6.10'!G11)</f>
        <v>12.062974910394265</v>
      </c>
      <c r="H11" s="327">
        <f>MAX('6.8'!H11,'6.9'!H11,'6.10'!H11)</f>
        <v>24.8</v>
      </c>
      <c r="I11" s="327">
        <f>MIN('6.8'!I11,'6.9'!I11,'6.10'!I11)</f>
        <v>-0.8</v>
      </c>
      <c r="J11" s="327">
        <f>AVERAGE('6.8'!J11,'6.9'!J11,'6.10'!J11)</f>
        <v>11.466666666666669</v>
      </c>
      <c r="K11" s="326">
        <f t="shared" si="1"/>
        <v>0.59630824372759683</v>
      </c>
    </row>
    <row r="12" spans="1:11" ht="14.1" customHeight="1">
      <c r="A12" s="154" t="s">
        <v>12</v>
      </c>
      <c r="B12" s="129">
        <f>'6.3'!D62</f>
        <v>370505</v>
      </c>
      <c r="C12" s="313">
        <f>'6.3'!E62</f>
        <v>151248.87199999997</v>
      </c>
      <c r="D12" s="129">
        <f>'6.3'!F62</f>
        <v>1652211.4073099999</v>
      </c>
      <c r="E12" s="307">
        <f t="shared" si="0"/>
        <v>0.11850327566824802</v>
      </c>
      <c r="F12" s="332">
        <f>'6.3'!H62</f>
        <v>-4.9898592486349924E-2</v>
      </c>
      <c r="G12" s="326">
        <f>AVERAGE('6.8'!G12,'6.9'!G12,'6.10'!G12)</f>
        <v>12.073870967741934</v>
      </c>
      <c r="H12" s="327">
        <f>MAX('6.8'!H12,'6.9'!H12,'6.10'!H12)</f>
        <v>23.2</v>
      </c>
      <c r="I12" s="327">
        <f>MIN('6.8'!I12,'6.9'!I12,'6.10'!I12)</f>
        <v>-1.2</v>
      </c>
      <c r="J12" s="327">
        <f>AVERAGE('6.8'!J12,'6.9'!J12,'6.10'!J12)</f>
        <v>11.833333333333334</v>
      </c>
      <c r="K12" s="326">
        <f t="shared" si="1"/>
        <v>0.2405376344086001</v>
      </c>
    </row>
    <row r="13" spans="1:11" ht="14.1" customHeight="1">
      <c r="A13" s="154" t="s">
        <v>13</v>
      </c>
      <c r="B13" s="129">
        <f>'6.4'!D32</f>
        <v>183459</v>
      </c>
      <c r="C13" s="313">
        <f>'6.4'!E32</f>
        <v>73999.599999999991</v>
      </c>
      <c r="D13" s="129">
        <f>'6.4'!F32</f>
        <v>808592.66495999997</v>
      </c>
      <c r="E13" s="307">
        <f t="shared" si="0"/>
        <v>5.7995531961061914E-2</v>
      </c>
      <c r="F13" s="332">
        <f>'6.4'!H32</f>
        <v>-0.10449076107805375</v>
      </c>
      <c r="G13" s="326">
        <f>AVERAGE('6.8'!G13,'6.9'!G13,'6.10'!G13)</f>
        <v>12.197885304659499</v>
      </c>
      <c r="H13" s="327">
        <f>MAX('6.8'!H13,'6.9'!H13,'6.10'!H13)</f>
        <v>23.3</v>
      </c>
      <c r="I13" s="327">
        <f>MIN('6.8'!I13,'6.9'!I13,'6.10'!I13)</f>
        <v>-1.4</v>
      </c>
      <c r="J13" s="327">
        <f>AVERAGE('6.8'!J13,'6.9'!J13,'6.10'!J13)</f>
        <v>11.33333333333333</v>
      </c>
      <c r="K13" s="326">
        <f t="shared" si="1"/>
        <v>0.86455197132616846</v>
      </c>
    </row>
    <row r="14" spans="1:11" ht="14.1" customHeight="1">
      <c r="A14" s="154" t="s">
        <v>14</v>
      </c>
      <c r="B14" s="129">
        <f>'6.4'!D62</f>
        <v>134105</v>
      </c>
      <c r="C14" s="313">
        <f>'6.4'!E62</f>
        <v>57765.599999999999</v>
      </c>
      <c r="D14" s="129">
        <f>'6.4'!F62</f>
        <v>631213.0629299999</v>
      </c>
      <c r="E14" s="307">
        <f t="shared" si="0"/>
        <v>4.527315043997774E-2</v>
      </c>
      <c r="F14" s="332">
        <f>'6.4'!H62</f>
        <v>-6.6360224594885456E-2</v>
      </c>
      <c r="G14" s="326">
        <f>AVERAGE('6.8'!G14,'6.9'!G14,'6.10'!G14)</f>
        <v>12.28168458781362</v>
      </c>
      <c r="H14" s="327">
        <f>MAX('6.8'!H14,'6.9'!H14,'6.10'!H14)</f>
        <v>24.1</v>
      </c>
      <c r="I14" s="327">
        <f>MIN('6.8'!I14,'6.9'!I14,'6.10'!I14)</f>
        <v>-1.1000000000000001</v>
      </c>
      <c r="J14" s="327">
        <f>AVERAGE('6.8'!J14,'6.9'!J14,'6.10'!J14)</f>
        <v>12.466666666666669</v>
      </c>
      <c r="K14" s="326">
        <f t="shared" si="1"/>
        <v>-0.18498207885304829</v>
      </c>
    </row>
    <row r="15" spans="1:11" ht="14.1" customHeight="1">
      <c r="A15" s="154" t="s">
        <v>15</v>
      </c>
      <c r="B15" s="129">
        <f>'6.5'!D32</f>
        <v>157065</v>
      </c>
      <c r="C15" s="313">
        <f>'6.5'!E32</f>
        <v>59893</v>
      </c>
      <c r="D15" s="129">
        <f>'6.5'!F32</f>
        <v>654475.01760000002</v>
      </c>
      <c r="E15" s="307">
        <f t="shared" si="0"/>
        <v>4.6941591787522614E-2</v>
      </c>
      <c r="F15" s="332">
        <f>'6.5'!H32</f>
        <v>-9.3261189465461136E-2</v>
      </c>
      <c r="G15" s="326">
        <f>AVERAGE('6.8'!G15,'6.9'!G15,'6.10'!G15)</f>
        <v>12.539283154121867</v>
      </c>
      <c r="H15" s="327">
        <f>MAX('6.8'!H15,'6.9'!H15,'6.10'!H15)</f>
        <v>25.1</v>
      </c>
      <c r="I15" s="327">
        <f>MIN('6.8'!I15,'6.9'!I15,'6.10'!I15)</f>
        <v>0</v>
      </c>
      <c r="J15" s="327">
        <f>AVERAGE('6.8'!J15,'6.9'!J15,'6.10'!J15)</f>
        <v>11.833333333333334</v>
      </c>
      <c r="K15" s="326">
        <f t="shared" si="1"/>
        <v>0.70594982078853263</v>
      </c>
    </row>
    <row r="16" spans="1:11" ht="14.1" customHeight="1">
      <c r="A16" s="154" t="s">
        <v>1</v>
      </c>
      <c r="B16" s="129">
        <f>'6.5'!D62</f>
        <v>403992</v>
      </c>
      <c r="C16" s="313">
        <f>'6.5'!E62</f>
        <v>114633.75373448027</v>
      </c>
      <c r="D16" s="129">
        <f>'6.5'!F62</f>
        <v>1255703.3382927477</v>
      </c>
      <c r="E16" s="307">
        <f t="shared" si="0"/>
        <v>9.0064115401259248E-2</v>
      </c>
      <c r="F16" s="332">
        <f>'6.5'!H62</f>
        <v>-2.9381436243678515E-2</v>
      </c>
      <c r="G16" s="326">
        <f>AVERAGE('6.8'!G16,'6.9'!G16,'6.10'!G16)</f>
        <v>14.344731182795698</v>
      </c>
      <c r="H16" s="327">
        <f>MAX('6.8'!H16,'6.9'!H16,'6.10'!H16)</f>
        <v>26.4</v>
      </c>
      <c r="I16" s="327">
        <f>MIN('6.8'!I16,'6.9'!I16,'6.10'!I16)</f>
        <v>1.9</v>
      </c>
      <c r="J16" s="327">
        <f>AVERAGE('6.8'!J16,'6.9'!J16,'6.10'!J16)</f>
        <v>13.166666666666666</v>
      </c>
      <c r="K16" s="326">
        <f t="shared" si="1"/>
        <v>1.178064516129032</v>
      </c>
    </row>
    <row r="17" spans="1:16" ht="14.1" customHeight="1">
      <c r="A17" s="154" t="s">
        <v>16</v>
      </c>
      <c r="B17" s="129">
        <f>'6.6'!D32</f>
        <v>256133</v>
      </c>
      <c r="C17" s="313">
        <f>'6.6'!E32</f>
        <v>172539.41400000002</v>
      </c>
      <c r="D17" s="129">
        <f>'6.6'!F32</f>
        <v>1885233.660687</v>
      </c>
      <c r="E17" s="307">
        <f t="shared" si="0"/>
        <v>0.13521657289316535</v>
      </c>
      <c r="F17" s="332">
        <f>'6.6'!H32</f>
        <v>-0.16091378812164711</v>
      </c>
      <c r="G17" s="326">
        <f>AVERAGE('6.8'!G17,'6.9'!G17,'6.10'!G17)</f>
        <v>12.875627240143368</v>
      </c>
      <c r="H17" s="327">
        <f>MAX('6.8'!H17,'6.9'!H17,'6.10'!H17)</f>
        <v>24.8</v>
      </c>
      <c r="I17" s="327">
        <f>MIN('6.8'!I17,'6.9'!I17,'6.10'!I17)</f>
        <v>0.5</v>
      </c>
      <c r="J17" s="327">
        <f>AVERAGE('6.8'!J17,'6.9'!J17,'6.10'!J17)</f>
        <v>12.966666666666674</v>
      </c>
      <c r="K17" s="326">
        <f t="shared" si="1"/>
        <v>-9.1039426523305877E-2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'6.6'!D62</f>
        <v>218064</v>
      </c>
      <c r="C18" s="313">
        <f>'6.6'!E62</f>
        <v>212460.49000000002</v>
      </c>
      <c r="D18" s="129">
        <f>'6.6'!F62</f>
        <v>2324149.0193989999</v>
      </c>
      <c r="E18" s="307">
        <f t="shared" si="0"/>
        <v>0.16669735526662649</v>
      </c>
      <c r="F18" s="332">
        <f>'6.6'!H62</f>
        <v>-5.7906453740950097E-2</v>
      </c>
      <c r="G18" s="326">
        <f>AVERAGE('6.8'!G18,'6.9'!G18,'6.10'!G18)</f>
        <v>12.814157706093191</v>
      </c>
      <c r="H18" s="327">
        <f>MAX('6.8'!H18,'6.9'!H18,'6.10'!H18)</f>
        <v>25.4</v>
      </c>
      <c r="I18" s="327">
        <f>MIN('6.8'!I18,'6.9'!I18,'6.10'!I18)</f>
        <v>0.8</v>
      </c>
      <c r="J18" s="327">
        <f>AVERAGE('6.8'!J18,'6.9'!J18,'6.10'!J18)</f>
        <v>13.033333333333326</v>
      </c>
      <c r="K18" s="326">
        <f t="shared" si="1"/>
        <v>-0.21917562724013528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'6.7'!D32</f>
        <v>118627</v>
      </c>
      <c r="C19" s="313">
        <f>'6.7'!E32</f>
        <v>47927.40984</v>
      </c>
      <c r="D19" s="129">
        <f>'6.7'!F32</f>
        <v>523644.32539000007</v>
      </c>
      <c r="E19" s="307">
        <f t="shared" si="0"/>
        <v>3.755788609693457E-2</v>
      </c>
      <c r="F19" s="332">
        <f>'6.7'!H32</f>
        <v>-6.9851716759716589E-2</v>
      </c>
      <c r="G19" s="326">
        <f>AVERAGE('6.8'!G19,'6.9'!G19,'6.10'!G19)</f>
        <v>11.815663082437277</v>
      </c>
      <c r="H19" s="327">
        <f>MAX('6.8'!H19,'6.9'!H19,'6.10'!H19)</f>
        <v>23.6</v>
      </c>
      <c r="I19" s="327">
        <f>MIN('6.8'!I19,'6.9'!I19,'6.10'!I19)</f>
        <v>-1</v>
      </c>
      <c r="J19" s="327">
        <f>AVERAGE('6.8'!J19,'6.9'!J19,'6.10'!J19)</f>
        <v>11.499999999999995</v>
      </c>
      <c r="K19" s="326">
        <f t="shared" si="1"/>
        <v>0.31566308243728258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'6.7'!D62</f>
        <v>153518</v>
      </c>
      <c r="C20" s="314">
        <f>'6.7'!E62</f>
        <v>61609.3</v>
      </c>
      <c r="D20" s="310">
        <f>'6.7'!F62</f>
        <v>673214.20876999991</v>
      </c>
      <c r="E20" s="311">
        <f t="shared" si="0"/>
        <v>4.8285642268710127E-2</v>
      </c>
      <c r="F20" s="333">
        <f>'6.7'!H62</f>
        <v>-7.9107107891129735E-2</v>
      </c>
      <c r="G20" s="328">
        <f>AVERAGE('6.8'!G20,'6.9'!G20,'6.10'!G20)</f>
        <v>11.896523297491038</v>
      </c>
      <c r="H20" s="329">
        <f>MAX('6.8'!H20,'6.9'!H20,'6.10'!H20)</f>
        <v>22.5</v>
      </c>
      <c r="I20" s="329">
        <f>MIN('6.8'!I20,'6.9'!I20,'6.10'!I20)</f>
        <v>-1.4</v>
      </c>
      <c r="J20" s="329">
        <f>AVERAGE('6.8'!J20,'6.9'!J20,'6.10'!J20)</f>
        <v>12.933333333333337</v>
      </c>
      <c r="K20" s="328">
        <f t="shared" si="1"/>
        <v>-1.0368100358422989</v>
      </c>
      <c r="L20" s="93"/>
    </row>
    <row r="21" spans="1:16" ht="14.1" customHeight="1">
      <c r="A21" s="154" t="s">
        <v>0</v>
      </c>
      <c r="B21" s="156">
        <f>SUM(B7:B20)</f>
        <v>2763172</v>
      </c>
      <c r="C21" s="313">
        <f>SUM(C7:C20)</f>
        <v>1275526.5927344803</v>
      </c>
      <c r="D21" s="129">
        <f>SUM(D7:D20)</f>
        <v>13942326.893438747</v>
      </c>
      <c r="E21" s="367">
        <f>SUM(E7:E20)</f>
        <v>1</v>
      </c>
      <c r="F21" s="332"/>
      <c r="G21" s="256">
        <f>AVERAGE('6.8'!G21,'6.9'!G21,'6.10'!G21)</f>
        <v>12.317634408602148</v>
      </c>
      <c r="H21" s="256">
        <f>MAX('6.8'!H21,'6.9'!H21,'6.10'!H21)</f>
        <v>24</v>
      </c>
      <c r="I21" s="256">
        <f>MIN('6.8'!I21,'6.9'!I21,'6.10'!I21)</f>
        <v>-0.4</v>
      </c>
      <c r="J21" s="256">
        <f>AVERAGE('6.8'!J21,'6.9'!J21,'6.10'!J21)</f>
        <v>12.916415770609319</v>
      </c>
      <c r="K21" s="256">
        <f t="shared" si="1"/>
        <v>-0.59878136200717158</v>
      </c>
      <c r="M21" s="105"/>
    </row>
    <row r="22" spans="1:16" ht="14.1" customHeight="1">
      <c r="A22" s="204" t="s">
        <v>94</v>
      </c>
      <c r="B22" s="368"/>
      <c r="C22" s="314">
        <f>'5.1'!E34</f>
        <v>13748.475192326678</v>
      </c>
      <c r="D22" s="310">
        <f>'5.1'!F34</f>
        <v>150574.61225799995</v>
      </c>
      <c r="E22" s="368"/>
      <c r="F22" s="333">
        <f>'5.1'!H34</f>
        <v>5.0030574797668599E-2</v>
      </c>
      <c r="G22" s="262">
        <f>AVERAGE('6.8'!G22,'6.9'!G22,'6.10'!G22)</f>
        <v>12.317634408602148</v>
      </c>
      <c r="H22" s="262">
        <f>MAX('6.8'!H22,'6.9'!H22,'6.10'!H22)</f>
        <v>24</v>
      </c>
      <c r="I22" s="262">
        <f>MIN('6.8'!I22,'6.9'!I22,'6.10'!I22)</f>
        <v>-0.4</v>
      </c>
      <c r="J22" s="262">
        <f>AVERAGE('6.8'!J22,'6.9'!J22,'6.10'!J22)</f>
        <v>12.916415770609319</v>
      </c>
      <c r="K22" s="262">
        <f t="shared" si="1"/>
        <v>-0.59878136200717158</v>
      </c>
    </row>
    <row r="23" spans="1:16" ht="14.1" customHeight="1">
      <c r="A23" s="204" t="s">
        <v>55</v>
      </c>
      <c r="B23" s="161">
        <f>B21+B22</f>
        <v>2763172</v>
      </c>
      <c r="C23" s="314">
        <f t="shared" ref="C23:D23" si="2">C21+C22</f>
        <v>1289275.0679268069</v>
      </c>
      <c r="D23" s="310">
        <f t="shared" si="2"/>
        <v>14092901.505696747</v>
      </c>
      <c r="E23" s="368"/>
      <c r="F23" s="333">
        <f>'5.1'!H35</f>
        <v>-7.685579267684689E-2</v>
      </c>
      <c r="G23" s="262">
        <f>AVERAGE('6.8'!G23,'6.9'!G23,'6.10'!G23)</f>
        <v>12.317634408602148</v>
      </c>
      <c r="H23" s="262">
        <f>MAX('6.8'!H23,'6.9'!H23,'6.10'!H23)</f>
        <v>24</v>
      </c>
      <c r="I23" s="262">
        <f>MIN('6.8'!I23,'6.9'!I23,'6.10'!I23)</f>
        <v>-0.4</v>
      </c>
      <c r="J23" s="262">
        <f>AVERAGE('6.8'!J23,'6.9'!J23,'6.10'!J23)</f>
        <v>12.916415770609319</v>
      </c>
      <c r="K23" s="262">
        <f t="shared" si="1"/>
        <v>-0.59878136200717158</v>
      </c>
    </row>
    <row r="24" spans="1:16" ht="15" customHeight="1">
      <c r="A24" s="101"/>
      <c r="B24" s="94"/>
      <c r="C24" s="522" t="s">
        <v>244</v>
      </c>
      <c r="D24" s="522"/>
      <c r="E24" s="522"/>
      <c r="F24" s="522"/>
      <c r="G24" s="525" t="s">
        <v>242</v>
      </c>
      <c r="H24" s="525"/>
      <c r="I24" s="525"/>
      <c r="J24" s="525"/>
      <c r="K24" s="525"/>
    </row>
    <row r="25" spans="1:16" ht="15" customHeight="1">
      <c r="A25" s="94"/>
      <c r="B25" s="94"/>
      <c r="C25" s="522"/>
      <c r="D25" s="522"/>
      <c r="E25" s="522"/>
      <c r="F25" s="522"/>
      <c r="G25" s="525" t="s">
        <v>243</v>
      </c>
      <c r="H25" s="525"/>
      <c r="I25" s="525"/>
      <c r="J25" s="525"/>
      <c r="K25" s="525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7" t="s">
        <v>257</v>
      </c>
      <c r="B29" s="487"/>
      <c r="C29" s="487"/>
      <c r="D29" s="487"/>
      <c r="E29" s="487"/>
      <c r="F29" s="487" t="s">
        <v>61</v>
      </c>
      <c r="G29" s="487"/>
      <c r="H29" s="487"/>
      <c r="I29" s="487"/>
      <c r="J29" s="487"/>
      <c r="K29" s="487"/>
    </row>
    <row r="30" spans="1:16" ht="15" customHeight="1">
      <c r="A30" s="120"/>
      <c r="B30" s="528"/>
      <c r="C30" s="528"/>
      <c r="D30" s="120"/>
      <c r="E30" s="120"/>
      <c r="F30" s="120"/>
      <c r="G30" s="120"/>
      <c r="H30" s="528"/>
      <c r="I30" s="523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60" t="s">
        <v>310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22" ht="6" customHeight="1">
      <c r="A2" s="532"/>
      <c r="B2" s="533"/>
      <c r="C2" s="533"/>
      <c r="D2" s="533"/>
      <c r="E2" s="533"/>
      <c r="F2" s="533"/>
      <c r="G2" s="533"/>
      <c r="H2" s="533"/>
      <c r="I2" s="533"/>
      <c r="J2" s="208"/>
      <c r="K2" s="207"/>
      <c r="L2" s="207"/>
      <c r="M2" s="207"/>
      <c r="N2" s="207"/>
      <c r="O2" s="207"/>
      <c r="P2" s="207"/>
      <c r="Q2" s="207"/>
      <c r="R2" s="207"/>
    </row>
    <row r="3" spans="1:22" ht="35.1" customHeight="1">
      <c r="A3" s="456" t="s">
        <v>276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</row>
    <row r="4" spans="1:22" ht="84.95" customHeight="1">
      <c r="A4" s="218">
        <f>'3.1'!A4</f>
        <v>2023</v>
      </c>
      <c r="B4" s="370" t="s">
        <v>68</v>
      </c>
      <c r="C4" s="370" t="s">
        <v>69</v>
      </c>
      <c r="D4" s="370" t="s">
        <v>70</v>
      </c>
      <c r="E4" s="370" t="s">
        <v>91</v>
      </c>
      <c r="F4" s="370" t="s">
        <v>71</v>
      </c>
      <c r="G4" s="370" t="s">
        <v>72</v>
      </c>
      <c r="H4" s="370" t="s">
        <v>73</v>
      </c>
      <c r="I4" s="370" t="s">
        <v>74</v>
      </c>
      <c r="J4" s="370" t="s">
        <v>75</v>
      </c>
      <c r="K4" s="370" t="s">
        <v>76</v>
      </c>
      <c r="L4" s="370" t="s">
        <v>77</v>
      </c>
      <c r="M4" s="370" t="s">
        <v>78</v>
      </c>
      <c r="N4" s="370" t="s">
        <v>79</v>
      </c>
      <c r="O4" s="370" t="s">
        <v>80</v>
      </c>
      <c r="P4" s="370" t="s">
        <v>81</v>
      </c>
      <c r="Q4" s="370" t="s">
        <v>95</v>
      </c>
      <c r="R4" s="370" t="s">
        <v>82</v>
      </c>
    </row>
    <row r="5" spans="1:22" ht="20.100000000000001" customHeight="1">
      <c r="A5" s="176" t="s">
        <v>160</v>
      </c>
      <c r="B5" s="235">
        <v>31278.512580000002</v>
      </c>
      <c r="C5" s="235">
        <v>121713.4</v>
      </c>
      <c r="D5" s="236">
        <v>22877.1</v>
      </c>
      <c r="E5" s="236">
        <v>37291.100000000006</v>
      </c>
      <c r="F5" s="236">
        <v>35729.300000000003</v>
      </c>
      <c r="G5" s="236">
        <v>91279.186000000002</v>
      </c>
      <c r="H5" s="236">
        <v>55560.799999999996</v>
      </c>
      <c r="I5" s="236">
        <v>39408.800000000003</v>
      </c>
      <c r="J5" s="236">
        <v>41748.899999999994</v>
      </c>
      <c r="K5" s="235">
        <v>103020.06172704349</v>
      </c>
      <c r="L5" s="235">
        <v>115157.15700000001</v>
      </c>
      <c r="M5" s="236">
        <v>97307.651000000013</v>
      </c>
      <c r="N5" s="236">
        <v>36292.228410000003</v>
      </c>
      <c r="O5" s="236">
        <v>44962.6</v>
      </c>
      <c r="P5" s="236">
        <v>873626.79671704338</v>
      </c>
      <c r="Q5" s="236">
        <v>18152.813832539527</v>
      </c>
      <c r="R5" s="236">
        <v>891779.61054958287</v>
      </c>
      <c r="S5" s="56"/>
      <c r="T5" s="57"/>
      <c r="U5" s="57"/>
      <c r="V5" s="57"/>
    </row>
    <row r="6" spans="1:22" ht="20.100000000000001" customHeight="1">
      <c r="A6" s="176" t="s">
        <v>161</v>
      </c>
      <c r="B6" s="235">
        <v>29697.027830000003</v>
      </c>
      <c r="C6" s="236">
        <v>114628.9</v>
      </c>
      <c r="D6" s="236">
        <v>21745.399999999998</v>
      </c>
      <c r="E6" s="236">
        <v>36506.6</v>
      </c>
      <c r="F6" s="236">
        <v>34498.9</v>
      </c>
      <c r="G6" s="236">
        <v>90499.335000000006</v>
      </c>
      <c r="H6" s="236">
        <v>52460.2</v>
      </c>
      <c r="I6" s="236">
        <v>37843.1</v>
      </c>
      <c r="J6" s="236">
        <v>40190.899999999994</v>
      </c>
      <c r="K6" s="235">
        <v>97347.579894954179</v>
      </c>
      <c r="L6" s="236">
        <v>106198.262</v>
      </c>
      <c r="M6" s="236">
        <v>102391.95700000001</v>
      </c>
      <c r="N6" s="236">
        <v>34890.82518</v>
      </c>
      <c r="O6" s="236">
        <v>44072.6</v>
      </c>
      <c r="P6" s="236">
        <v>842971.58690495428</v>
      </c>
      <c r="Q6" s="236">
        <v>17795.721669949027</v>
      </c>
      <c r="R6" s="236">
        <v>860767.30857490329</v>
      </c>
      <c r="S6" s="58"/>
      <c r="T6" s="57"/>
      <c r="U6" s="57"/>
      <c r="V6" s="57"/>
    </row>
    <row r="7" spans="1:22" ht="20.100000000000001" customHeight="1">
      <c r="A7" s="179" t="s">
        <v>162</v>
      </c>
      <c r="B7" s="238">
        <v>26234.30948</v>
      </c>
      <c r="C7" s="239">
        <v>98264.2</v>
      </c>
      <c r="D7" s="239">
        <v>19665.7</v>
      </c>
      <c r="E7" s="239">
        <v>32068.100000000002</v>
      </c>
      <c r="F7" s="239">
        <v>30721.200000000001</v>
      </c>
      <c r="G7" s="239">
        <v>78450.795000000013</v>
      </c>
      <c r="H7" s="239">
        <v>45738.5</v>
      </c>
      <c r="I7" s="239">
        <v>33430.799999999996</v>
      </c>
      <c r="J7" s="239">
        <v>35734.199999999997</v>
      </c>
      <c r="K7" s="238">
        <v>84297.614414369527</v>
      </c>
      <c r="L7" s="239">
        <v>102911.54299999999</v>
      </c>
      <c r="M7" s="239">
        <v>94945.138999999996</v>
      </c>
      <c r="N7" s="239">
        <v>30362.961519999997</v>
      </c>
      <c r="O7" s="239">
        <v>39256.600000000006</v>
      </c>
      <c r="P7" s="239">
        <v>752081.66241436952</v>
      </c>
      <c r="Q7" s="239">
        <v>17186.378775875481</v>
      </c>
      <c r="R7" s="239">
        <v>769268.04119024496</v>
      </c>
      <c r="S7" s="59"/>
      <c r="T7" s="57"/>
      <c r="U7" s="57"/>
      <c r="V7" s="57"/>
    </row>
    <row r="8" spans="1:22" ht="20.100000000000001" customHeight="1">
      <c r="A8" s="176" t="s">
        <v>163</v>
      </c>
      <c r="B8" s="235">
        <v>21991.372780000002</v>
      </c>
      <c r="C8" s="236">
        <v>77526.3</v>
      </c>
      <c r="D8" s="236">
        <v>16023.3</v>
      </c>
      <c r="E8" s="236">
        <v>24866.100000000002</v>
      </c>
      <c r="F8" s="236">
        <v>23804.399999999998</v>
      </c>
      <c r="G8" s="236">
        <v>65941.516000000003</v>
      </c>
      <c r="H8" s="236">
        <v>36378.299999999996</v>
      </c>
      <c r="I8" s="236">
        <v>28294.5</v>
      </c>
      <c r="J8" s="236">
        <v>28927</v>
      </c>
      <c r="K8" s="235">
        <v>65162.508645217997</v>
      </c>
      <c r="L8" s="236">
        <v>85876.665999999983</v>
      </c>
      <c r="M8" s="236">
        <v>71233.026999999987</v>
      </c>
      <c r="N8" s="236">
        <v>24114.931219999999</v>
      </c>
      <c r="O8" s="236">
        <v>30116.100000000002</v>
      </c>
      <c r="P8" s="236">
        <v>600256.0216452179</v>
      </c>
      <c r="Q8" s="236">
        <v>6211.8862771392969</v>
      </c>
      <c r="R8" s="236">
        <v>606467.9079223572</v>
      </c>
      <c r="S8" s="58"/>
      <c r="T8" s="57"/>
      <c r="U8" s="57"/>
      <c r="V8" s="57"/>
    </row>
    <row r="9" spans="1:22" ht="20.100000000000001" customHeight="1">
      <c r="A9" s="176" t="s">
        <v>164</v>
      </c>
      <c r="B9" s="235">
        <v>13095.125610000001</v>
      </c>
      <c r="C9" s="236">
        <v>40291.800000000003</v>
      </c>
      <c r="D9" s="236">
        <v>10651.8</v>
      </c>
      <c r="E9" s="236">
        <v>14655.599999999999</v>
      </c>
      <c r="F9" s="236">
        <v>14502.2</v>
      </c>
      <c r="G9" s="236">
        <v>47854.303999999996</v>
      </c>
      <c r="H9" s="236">
        <v>21874.400000000001</v>
      </c>
      <c r="I9" s="236">
        <v>16739</v>
      </c>
      <c r="J9" s="236">
        <v>17804.300000000003</v>
      </c>
      <c r="K9" s="235">
        <v>31103.850063851471</v>
      </c>
      <c r="L9" s="236">
        <v>48817.525000000001</v>
      </c>
      <c r="M9" s="236">
        <v>53724.435999999994</v>
      </c>
      <c r="N9" s="236">
        <v>14148.167390000001</v>
      </c>
      <c r="O9" s="236">
        <v>17594.599999999999</v>
      </c>
      <c r="P9" s="236">
        <v>362857.10806385142</v>
      </c>
      <c r="Q9" s="236">
        <v>5996.9003121314117</v>
      </c>
      <c r="R9" s="236">
        <v>368854.00837598281</v>
      </c>
      <c r="S9" s="58"/>
      <c r="T9" s="57"/>
      <c r="U9" s="57"/>
      <c r="V9" s="57"/>
    </row>
    <row r="10" spans="1:22" ht="20.100000000000001" customHeight="1">
      <c r="A10" s="179" t="s">
        <v>165</v>
      </c>
      <c r="B10" s="238">
        <v>10103.054770000001</v>
      </c>
      <c r="C10" s="239">
        <v>26180.7</v>
      </c>
      <c r="D10" s="239">
        <v>9534.5000000000018</v>
      </c>
      <c r="E10" s="239">
        <v>10151.800000000001</v>
      </c>
      <c r="F10" s="239">
        <v>10071.1</v>
      </c>
      <c r="G10" s="239">
        <v>37453.051999999996</v>
      </c>
      <c r="H10" s="239">
        <v>15746.9</v>
      </c>
      <c r="I10" s="239">
        <v>12732.1</v>
      </c>
      <c r="J10" s="239">
        <v>13161.7</v>
      </c>
      <c r="K10" s="238">
        <v>18367.395025410795</v>
      </c>
      <c r="L10" s="239">
        <v>37845.222999999998</v>
      </c>
      <c r="M10" s="239">
        <v>87503.026999999987</v>
      </c>
      <c r="N10" s="239">
        <v>9664.3112300000012</v>
      </c>
      <c r="O10" s="239">
        <v>13898.6</v>
      </c>
      <c r="P10" s="239">
        <v>312413.46302541078</v>
      </c>
      <c r="Q10" s="239">
        <v>1539.6886030559683</v>
      </c>
      <c r="R10" s="239">
        <v>313953.15162846673</v>
      </c>
      <c r="S10" s="58"/>
      <c r="T10" s="57"/>
      <c r="U10" s="57"/>
      <c r="V10" s="57"/>
    </row>
    <row r="11" spans="1:22" ht="20.100000000000001" customHeight="1">
      <c r="A11" s="176" t="s">
        <v>166</v>
      </c>
      <c r="B11" s="235"/>
      <c r="C11" s="236"/>
      <c r="D11" s="236"/>
      <c r="E11" s="236"/>
      <c r="F11" s="236"/>
      <c r="G11" s="236"/>
      <c r="H11" s="236"/>
      <c r="I11" s="236"/>
      <c r="J11" s="236"/>
      <c r="K11" s="235"/>
      <c r="L11" s="236"/>
      <c r="M11" s="236"/>
      <c r="N11" s="236"/>
      <c r="O11" s="236"/>
      <c r="P11" s="236"/>
      <c r="Q11" s="236"/>
      <c r="R11" s="236"/>
      <c r="S11" s="58"/>
      <c r="T11" s="57"/>
      <c r="U11" s="57"/>
      <c r="V11" s="57"/>
    </row>
    <row r="12" spans="1:22" ht="20.100000000000001" customHeight="1">
      <c r="A12" s="176" t="s">
        <v>167</v>
      </c>
      <c r="B12" s="235"/>
      <c r="C12" s="236"/>
      <c r="D12" s="236"/>
      <c r="E12" s="236"/>
      <c r="F12" s="236"/>
      <c r="G12" s="236"/>
      <c r="H12" s="236"/>
      <c r="I12" s="236"/>
      <c r="J12" s="236"/>
      <c r="K12" s="235"/>
      <c r="L12" s="236"/>
      <c r="M12" s="236"/>
      <c r="N12" s="236"/>
      <c r="O12" s="236"/>
      <c r="P12" s="236"/>
      <c r="Q12" s="236"/>
      <c r="R12" s="236"/>
      <c r="S12" s="58"/>
      <c r="T12" s="57"/>
      <c r="U12" s="57"/>
      <c r="V12" s="57"/>
    </row>
    <row r="13" spans="1:22" ht="20.100000000000001" customHeight="1">
      <c r="A13" s="179" t="s">
        <v>168</v>
      </c>
      <c r="B13" s="238"/>
      <c r="C13" s="239"/>
      <c r="D13" s="239"/>
      <c r="E13" s="239"/>
      <c r="F13" s="239"/>
      <c r="G13" s="239"/>
      <c r="H13" s="239"/>
      <c r="I13" s="239"/>
      <c r="J13" s="239"/>
      <c r="K13" s="238"/>
      <c r="L13" s="239"/>
      <c r="M13" s="239"/>
      <c r="N13" s="239"/>
      <c r="O13" s="239"/>
      <c r="P13" s="239"/>
      <c r="Q13" s="239"/>
      <c r="R13" s="239"/>
      <c r="S13" s="58"/>
      <c r="T13" s="57"/>
      <c r="U13" s="57"/>
      <c r="V13" s="57"/>
    </row>
    <row r="14" spans="1:22" ht="20.100000000000001" customHeight="1">
      <c r="A14" s="176" t="s">
        <v>169</v>
      </c>
      <c r="B14" s="235"/>
      <c r="C14" s="236"/>
      <c r="D14" s="236"/>
      <c r="E14" s="236"/>
      <c r="F14" s="236"/>
      <c r="G14" s="236"/>
      <c r="H14" s="236"/>
      <c r="I14" s="236"/>
      <c r="J14" s="236"/>
      <c r="K14" s="235"/>
      <c r="L14" s="236"/>
      <c r="M14" s="236"/>
      <c r="N14" s="236"/>
      <c r="O14" s="236"/>
      <c r="P14" s="236"/>
      <c r="Q14" s="236"/>
      <c r="R14" s="236"/>
      <c r="S14" s="58"/>
      <c r="T14" s="57"/>
      <c r="U14" s="57"/>
      <c r="V14" s="57"/>
    </row>
    <row r="15" spans="1:22" ht="20.100000000000001" customHeight="1">
      <c r="A15" s="176" t="s">
        <v>170</v>
      </c>
      <c r="B15" s="235"/>
      <c r="C15" s="236"/>
      <c r="D15" s="236"/>
      <c r="E15" s="236"/>
      <c r="F15" s="236"/>
      <c r="G15" s="236"/>
      <c r="H15" s="236"/>
      <c r="I15" s="236"/>
      <c r="J15" s="236"/>
      <c r="K15" s="235"/>
      <c r="L15" s="236"/>
      <c r="M15" s="236"/>
      <c r="N15" s="236"/>
      <c r="O15" s="236"/>
      <c r="P15" s="236"/>
      <c r="Q15" s="236"/>
      <c r="R15" s="236"/>
      <c r="S15" s="58"/>
      <c r="T15" s="57"/>
      <c r="U15" s="57"/>
      <c r="V15" s="57"/>
    </row>
    <row r="16" spans="1:22" ht="20.100000000000001" customHeight="1">
      <c r="A16" s="179" t="s">
        <v>171</v>
      </c>
      <c r="B16" s="238"/>
      <c r="C16" s="239"/>
      <c r="D16" s="239"/>
      <c r="E16" s="239"/>
      <c r="F16" s="239"/>
      <c r="G16" s="239"/>
      <c r="H16" s="239"/>
      <c r="I16" s="239"/>
      <c r="J16" s="239"/>
      <c r="K16" s="238"/>
      <c r="L16" s="239"/>
      <c r="M16" s="239"/>
      <c r="N16" s="239"/>
      <c r="O16" s="239"/>
      <c r="P16" s="239"/>
      <c r="Q16" s="239"/>
      <c r="R16" s="239"/>
      <c r="S16" s="58"/>
      <c r="T16" s="57"/>
      <c r="U16" s="57"/>
      <c r="V16" s="57"/>
    </row>
    <row r="17" spans="1:22" ht="20.100000000000001" customHeight="1">
      <c r="A17" s="176" t="s">
        <v>48</v>
      </c>
      <c r="B17" s="235">
        <f>SUM(B5:B7)</f>
        <v>87209.849889999998</v>
      </c>
      <c r="C17" s="235">
        <f>SUM(C5:C7)</f>
        <v>334606.5</v>
      </c>
      <c r="D17" s="235">
        <f t="shared" ref="D17:J17" si="0">SUM(D5:D7)</f>
        <v>64288.2</v>
      </c>
      <c r="E17" s="235">
        <f t="shared" si="0"/>
        <v>105865.80000000002</v>
      </c>
      <c r="F17" s="235">
        <f t="shared" si="0"/>
        <v>100949.40000000001</v>
      </c>
      <c r="G17" s="235">
        <f t="shared" si="0"/>
        <v>260229.31600000002</v>
      </c>
      <c r="H17" s="235">
        <f t="shared" si="0"/>
        <v>153759.5</v>
      </c>
      <c r="I17" s="235">
        <f t="shared" si="0"/>
        <v>110682.69999999998</v>
      </c>
      <c r="J17" s="235">
        <f t="shared" si="0"/>
        <v>117673.99999999999</v>
      </c>
      <c r="K17" s="235">
        <f>SUM(K5:K7)</f>
        <v>284665.25603636721</v>
      </c>
      <c r="L17" s="235">
        <f t="shared" ref="L17:R17" si="1">SUM(L5:L7)</f>
        <v>324266.962</v>
      </c>
      <c r="M17" s="235">
        <f t="shared" si="1"/>
        <v>294644.74699999997</v>
      </c>
      <c r="N17" s="235">
        <f t="shared" si="1"/>
        <v>101546.01510999999</v>
      </c>
      <c r="O17" s="235">
        <f t="shared" si="1"/>
        <v>128291.8</v>
      </c>
      <c r="P17" s="235">
        <f t="shared" si="1"/>
        <v>2468680.0460363673</v>
      </c>
      <c r="Q17" s="235">
        <f t="shared" si="1"/>
        <v>53134.914278364027</v>
      </c>
      <c r="R17" s="235">
        <f t="shared" si="1"/>
        <v>2521814.9603147311</v>
      </c>
    </row>
    <row r="18" spans="1:22" ht="20.100000000000001" customHeight="1">
      <c r="A18" s="176" t="s">
        <v>56</v>
      </c>
      <c r="B18" s="235">
        <f>SUM(B8:B10)</f>
        <v>45189.553160000003</v>
      </c>
      <c r="C18" s="235">
        <f>SUM(C8:C10)</f>
        <v>143998.80000000002</v>
      </c>
      <c r="D18" s="235">
        <f t="shared" ref="D18:J18" si="2">SUM(D8:D10)</f>
        <v>36209.599999999999</v>
      </c>
      <c r="E18" s="235">
        <f t="shared" si="2"/>
        <v>49673.5</v>
      </c>
      <c r="F18" s="235">
        <f t="shared" si="2"/>
        <v>48377.7</v>
      </c>
      <c r="G18" s="235">
        <f t="shared" si="2"/>
        <v>151248.872</v>
      </c>
      <c r="H18" s="235">
        <f t="shared" si="2"/>
        <v>73999.599999999991</v>
      </c>
      <c r="I18" s="235">
        <f t="shared" si="2"/>
        <v>57765.599999999999</v>
      </c>
      <c r="J18" s="235">
        <f t="shared" si="2"/>
        <v>59893</v>
      </c>
      <c r="K18" s="235">
        <f>SUM(K8:K10)</f>
        <v>114633.75373448025</v>
      </c>
      <c r="L18" s="235">
        <f t="shared" ref="L18:R18" si="3">SUM(L8:L10)</f>
        <v>172539.41399999999</v>
      </c>
      <c r="M18" s="235">
        <f t="shared" si="3"/>
        <v>212460.49</v>
      </c>
      <c r="N18" s="235">
        <f t="shared" si="3"/>
        <v>47927.40984</v>
      </c>
      <c r="O18" s="235">
        <f t="shared" si="3"/>
        <v>61609.299999999996</v>
      </c>
      <c r="P18" s="235">
        <f t="shared" si="3"/>
        <v>1275526.5927344803</v>
      </c>
      <c r="Q18" s="235">
        <f t="shared" si="3"/>
        <v>13748.475192326678</v>
      </c>
      <c r="R18" s="235">
        <f t="shared" si="3"/>
        <v>1289275.0679268069</v>
      </c>
    </row>
    <row r="19" spans="1:22" ht="20.100000000000001" customHeight="1">
      <c r="A19" s="176" t="s">
        <v>63</v>
      </c>
      <c r="B19" s="408">
        <f>SUM(B11:B13)</f>
        <v>0</v>
      </c>
      <c r="C19" s="408">
        <f>SUM(C11:C13)</f>
        <v>0</v>
      </c>
      <c r="D19" s="408">
        <f t="shared" ref="D19:J19" si="4">SUM(D11:D13)</f>
        <v>0</v>
      </c>
      <c r="E19" s="408">
        <f t="shared" si="4"/>
        <v>0</v>
      </c>
      <c r="F19" s="408">
        <f t="shared" si="4"/>
        <v>0</v>
      </c>
      <c r="G19" s="408">
        <f t="shared" si="4"/>
        <v>0</v>
      </c>
      <c r="H19" s="408">
        <f t="shared" si="4"/>
        <v>0</v>
      </c>
      <c r="I19" s="408">
        <f t="shared" si="4"/>
        <v>0</v>
      </c>
      <c r="J19" s="408">
        <f t="shared" si="4"/>
        <v>0</v>
      </c>
      <c r="K19" s="408">
        <f>SUM(K11:K13)</f>
        <v>0</v>
      </c>
      <c r="L19" s="408">
        <f t="shared" ref="L19:R19" si="5">SUM(L11:L13)</f>
        <v>0</v>
      </c>
      <c r="M19" s="408">
        <f t="shared" si="5"/>
        <v>0</v>
      </c>
      <c r="N19" s="408">
        <f t="shared" si="5"/>
        <v>0</v>
      </c>
      <c r="O19" s="408">
        <f t="shared" si="5"/>
        <v>0</v>
      </c>
      <c r="P19" s="408">
        <f t="shared" si="5"/>
        <v>0</v>
      </c>
      <c r="Q19" s="408">
        <f t="shared" si="5"/>
        <v>0</v>
      </c>
      <c r="R19" s="408">
        <f t="shared" si="5"/>
        <v>0</v>
      </c>
    </row>
    <row r="20" spans="1:22" ht="20.100000000000001" customHeight="1">
      <c r="A20" s="179" t="s">
        <v>57</v>
      </c>
      <c r="B20" s="411">
        <f>SUM(B14:B16)</f>
        <v>0</v>
      </c>
      <c r="C20" s="411">
        <f>SUM(C14:C16)</f>
        <v>0</v>
      </c>
      <c r="D20" s="411">
        <f t="shared" ref="D20:J20" si="6">SUM(D14:D16)</f>
        <v>0</v>
      </c>
      <c r="E20" s="411">
        <f t="shared" si="6"/>
        <v>0</v>
      </c>
      <c r="F20" s="411">
        <f t="shared" si="6"/>
        <v>0</v>
      </c>
      <c r="G20" s="411">
        <f t="shared" si="6"/>
        <v>0</v>
      </c>
      <c r="H20" s="411">
        <f t="shared" si="6"/>
        <v>0</v>
      </c>
      <c r="I20" s="411">
        <f t="shared" si="6"/>
        <v>0</v>
      </c>
      <c r="J20" s="411">
        <f t="shared" si="6"/>
        <v>0</v>
      </c>
      <c r="K20" s="411">
        <f>SUM(K14:K16)</f>
        <v>0</v>
      </c>
      <c r="L20" s="411">
        <f t="shared" ref="L20:R20" si="7">SUM(L14:L16)</f>
        <v>0</v>
      </c>
      <c r="M20" s="411">
        <f t="shared" si="7"/>
        <v>0</v>
      </c>
      <c r="N20" s="411">
        <f t="shared" si="7"/>
        <v>0</v>
      </c>
      <c r="O20" s="411">
        <f t="shared" si="7"/>
        <v>0</v>
      </c>
      <c r="P20" s="411">
        <f t="shared" si="7"/>
        <v>0</v>
      </c>
      <c r="Q20" s="411">
        <f t="shared" si="7"/>
        <v>0</v>
      </c>
      <c r="R20" s="411">
        <f t="shared" si="7"/>
        <v>0</v>
      </c>
    </row>
    <row r="21" spans="1:22" ht="20.100000000000001" customHeight="1">
      <c r="A21" s="176" t="s">
        <v>58</v>
      </c>
      <c r="B21" s="235">
        <f>SUM(B5:B10)</f>
        <v>132399.40304999999</v>
      </c>
      <c r="C21" s="235">
        <f>SUM(C5:C10)</f>
        <v>478605.3</v>
      </c>
      <c r="D21" s="235">
        <f t="shared" ref="D21:J21" si="8">SUM(D5:D10)</f>
        <v>100497.8</v>
      </c>
      <c r="E21" s="235">
        <f t="shared" si="8"/>
        <v>155539.30000000002</v>
      </c>
      <c r="F21" s="235">
        <f t="shared" si="8"/>
        <v>149327.1</v>
      </c>
      <c r="G21" s="235">
        <f t="shared" si="8"/>
        <v>411478.18800000008</v>
      </c>
      <c r="H21" s="235">
        <f t="shared" si="8"/>
        <v>227759.09999999998</v>
      </c>
      <c r="I21" s="235">
        <f t="shared" si="8"/>
        <v>168448.3</v>
      </c>
      <c r="J21" s="235">
        <f t="shared" si="8"/>
        <v>177567</v>
      </c>
      <c r="K21" s="235">
        <f>SUM(K5:K10)</f>
        <v>399299.00977084745</v>
      </c>
      <c r="L21" s="235">
        <f t="shared" ref="L21:R21" si="9">SUM(L5:L10)</f>
        <v>496806.37599999999</v>
      </c>
      <c r="M21" s="235">
        <f t="shared" si="9"/>
        <v>507105.23699999996</v>
      </c>
      <c r="N21" s="235">
        <f t="shared" si="9"/>
        <v>149473.42494999999</v>
      </c>
      <c r="O21" s="235">
        <f t="shared" si="9"/>
        <v>189901.1</v>
      </c>
      <c r="P21" s="235">
        <f t="shared" si="9"/>
        <v>3744206.6387708476</v>
      </c>
      <c r="Q21" s="235">
        <f t="shared" si="9"/>
        <v>66883.389470690701</v>
      </c>
      <c r="R21" s="235">
        <f t="shared" si="9"/>
        <v>3811090.028241538</v>
      </c>
    </row>
    <row r="22" spans="1:22" ht="20.100000000000001" customHeight="1">
      <c r="A22" s="179" t="s">
        <v>59</v>
      </c>
      <c r="B22" s="411">
        <f>SUM(B11:B16)</f>
        <v>0</v>
      </c>
      <c r="C22" s="411">
        <f>SUM(C11:C16)</f>
        <v>0</v>
      </c>
      <c r="D22" s="411">
        <f t="shared" ref="D22:J22" si="10">SUM(D11:D16)</f>
        <v>0</v>
      </c>
      <c r="E22" s="411">
        <f t="shared" si="10"/>
        <v>0</v>
      </c>
      <c r="F22" s="411">
        <f t="shared" si="10"/>
        <v>0</v>
      </c>
      <c r="G22" s="411">
        <f t="shared" si="10"/>
        <v>0</v>
      </c>
      <c r="H22" s="411">
        <f t="shared" si="10"/>
        <v>0</v>
      </c>
      <c r="I22" s="411">
        <f t="shared" si="10"/>
        <v>0</v>
      </c>
      <c r="J22" s="411">
        <f t="shared" si="10"/>
        <v>0</v>
      </c>
      <c r="K22" s="411">
        <f>SUM(K11:K16)</f>
        <v>0</v>
      </c>
      <c r="L22" s="411">
        <f t="shared" ref="L22:R22" si="11">SUM(L11:L16)</f>
        <v>0</v>
      </c>
      <c r="M22" s="411">
        <f t="shared" si="11"/>
        <v>0</v>
      </c>
      <c r="N22" s="411">
        <f t="shared" si="11"/>
        <v>0</v>
      </c>
      <c r="O22" s="411">
        <f t="shared" si="11"/>
        <v>0</v>
      </c>
      <c r="P22" s="411">
        <f t="shared" si="11"/>
        <v>0</v>
      </c>
      <c r="Q22" s="411">
        <f t="shared" si="11"/>
        <v>0</v>
      </c>
      <c r="R22" s="411">
        <f t="shared" si="11"/>
        <v>0</v>
      </c>
    </row>
    <row r="23" spans="1:22" ht="20.100000000000001" customHeight="1">
      <c r="A23" s="216" t="s">
        <v>172</v>
      </c>
      <c r="B23" s="414">
        <f>SUM(B5:B16)</f>
        <v>132399.40304999999</v>
      </c>
      <c r="C23" s="414">
        <f>SUM(C5:C16)</f>
        <v>478605.3</v>
      </c>
      <c r="D23" s="414">
        <f t="shared" ref="D23:J23" si="12">SUM(D5:D16)</f>
        <v>100497.8</v>
      </c>
      <c r="E23" s="414">
        <f t="shared" si="12"/>
        <v>155539.30000000002</v>
      </c>
      <c r="F23" s="414">
        <f t="shared" si="12"/>
        <v>149327.1</v>
      </c>
      <c r="G23" s="414">
        <f t="shared" si="12"/>
        <v>411478.18800000008</v>
      </c>
      <c r="H23" s="414">
        <f t="shared" si="12"/>
        <v>227759.09999999998</v>
      </c>
      <c r="I23" s="414">
        <f t="shared" si="12"/>
        <v>168448.3</v>
      </c>
      <c r="J23" s="414">
        <f t="shared" si="12"/>
        <v>177567</v>
      </c>
      <c r="K23" s="414">
        <f>SUM(K5:K16)</f>
        <v>399299.00977084745</v>
      </c>
      <c r="L23" s="414">
        <f t="shared" ref="L23:R23" si="13">SUM(L5:L16)</f>
        <v>496806.37599999999</v>
      </c>
      <c r="M23" s="414">
        <f t="shared" si="13"/>
        <v>507105.23699999996</v>
      </c>
      <c r="N23" s="414">
        <f t="shared" si="13"/>
        <v>149473.42494999999</v>
      </c>
      <c r="O23" s="414">
        <f t="shared" si="13"/>
        <v>189901.1</v>
      </c>
      <c r="P23" s="414">
        <f t="shared" si="13"/>
        <v>3744206.6387708476</v>
      </c>
      <c r="Q23" s="414">
        <f t="shared" si="13"/>
        <v>66883.389470690701</v>
      </c>
      <c r="R23" s="414">
        <f t="shared" si="13"/>
        <v>3811090.028241538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56" t="s">
        <v>194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2" ht="84.95" customHeight="1">
      <c r="A30" s="218">
        <f>A4</f>
        <v>2023</v>
      </c>
      <c r="B30" s="370" t="s">
        <v>68</v>
      </c>
      <c r="C30" s="370" t="s">
        <v>69</v>
      </c>
      <c r="D30" s="370" t="s">
        <v>70</v>
      </c>
      <c r="E30" s="370" t="s">
        <v>91</v>
      </c>
      <c r="F30" s="370" t="s">
        <v>71</v>
      </c>
      <c r="G30" s="370" t="s">
        <v>72</v>
      </c>
      <c r="H30" s="370" t="s">
        <v>73</v>
      </c>
      <c r="I30" s="370" t="s">
        <v>74</v>
      </c>
      <c r="J30" s="370" t="s">
        <v>75</v>
      </c>
      <c r="K30" s="370" t="s">
        <v>76</v>
      </c>
      <c r="L30" s="370" t="s">
        <v>77</v>
      </c>
      <c r="M30" s="370" t="s">
        <v>78</v>
      </c>
      <c r="N30" s="370" t="s">
        <v>79</v>
      </c>
      <c r="O30" s="370" t="s">
        <v>80</v>
      </c>
      <c r="P30" s="370" t="s">
        <v>81</v>
      </c>
      <c r="Q30" s="370" t="s">
        <v>95</v>
      </c>
      <c r="R30" s="370" t="s">
        <v>82</v>
      </c>
    </row>
    <row r="31" spans="1:22" ht="20.100000000000001" customHeight="1">
      <c r="A31" s="176" t="s">
        <v>160</v>
      </c>
      <c r="B31" s="235">
        <v>342082.37362999999</v>
      </c>
      <c r="C31" s="235">
        <v>1325250.2110600001</v>
      </c>
      <c r="D31" s="236">
        <v>249092.99982999996</v>
      </c>
      <c r="E31" s="236">
        <v>406036.90437</v>
      </c>
      <c r="F31" s="236">
        <v>389031.01834000013</v>
      </c>
      <c r="G31" s="236">
        <v>993549.01579999994</v>
      </c>
      <c r="H31" s="236">
        <v>604961.31299000001</v>
      </c>
      <c r="I31" s="236">
        <v>429093.55025999999</v>
      </c>
      <c r="J31" s="236">
        <v>454573.99345999997</v>
      </c>
      <c r="K31" s="235">
        <v>1123199.00556</v>
      </c>
      <c r="L31" s="235">
        <v>1253933.2459799997</v>
      </c>
      <c r="M31" s="236">
        <v>1060984.26413</v>
      </c>
      <c r="N31" s="236">
        <v>395379.77189999993</v>
      </c>
      <c r="O31" s="236">
        <v>489565.96096</v>
      </c>
      <c r="P31" s="236">
        <v>9516733.6282700002</v>
      </c>
      <c r="Q31" s="236">
        <v>197829.66727999997</v>
      </c>
      <c r="R31" s="236">
        <v>9714563.2955499999</v>
      </c>
      <c r="S31" s="56"/>
      <c r="T31" s="57"/>
      <c r="U31" s="57"/>
      <c r="V31" s="57"/>
    </row>
    <row r="32" spans="1:22" ht="20.100000000000001" customHeight="1">
      <c r="A32" s="176" t="s">
        <v>161</v>
      </c>
      <c r="B32" s="235">
        <v>322292.52504000004</v>
      </c>
      <c r="C32" s="236">
        <v>1242631.3842999998</v>
      </c>
      <c r="D32" s="236">
        <v>235730.08976000003</v>
      </c>
      <c r="E32" s="236">
        <v>395748.6593</v>
      </c>
      <c r="F32" s="236">
        <v>373984.91698000004</v>
      </c>
      <c r="G32" s="236">
        <v>980756.02682999999</v>
      </c>
      <c r="H32" s="236">
        <v>568693.48241000006</v>
      </c>
      <c r="I32" s="236">
        <v>410236.84523999994</v>
      </c>
      <c r="J32" s="236">
        <v>435689.14918000001</v>
      </c>
      <c r="K32" s="235">
        <v>1060509.0729099999</v>
      </c>
      <c r="L32" s="236">
        <v>1151242.9951269999</v>
      </c>
      <c r="M32" s="236">
        <v>1114683.33161</v>
      </c>
      <c r="N32" s="236">
        <v>378285.47201999993</v>
      </c>
      <c r="O32" s="236">
        <v>477768.37594000006</v>
      </c>
      <c r="P32" s="236">
        <v>9148252.3266470004</v>
      </c>
      <c r="Q32" s="236">
        <v>193137.02434900001</v>
      </c>
      <c r="R32" s="236">
        <v>9341389.3509960007</v>
      </c>
      <c r="S32" s="58"/>
      <c r="T32" s="57"/>
      <c r="U32" s="57"/>
      <c r="V32" s="57"/>
    </row>
    <row r="33" spans="1:22" ht="20.100000000000001" customHeight="1">
      <c r="A33" s="179" t="s">
        <v>162</v>
      </c>
      <c r="B33" s="238">
        <v>286703.54693000001</v>
      </c>
      <c r="C33" s="239">
        <v>1064220.4136000001</v>
      </c>
      <c r="D33" s="239">
        <v>212983.22906000001</v>
      </c>
      <c r="E33" s="239">
        <v>347304.72019000002</v>
      </c>
      <c r="F33" s="239">
        <v>332717.10668000003</v>
      </c>
      <c r="G33" s="239">
        <v>849349.03387999989</v>
      </c>
      <c r="H33" s="239">
        <v>495356.79458000005</v>
      </c>
      <c r="I33" s="239">
        <v>362061.79564999999</v>
      </c>
      <c r="J33" s="239">
        <v>387008.15719</v>
      </c>
      <c r="K33" s="238">
        <v>916113.72104895429</v>
      </c>
      <c r="L33" s="239">
        <v>1114817.1192209998</v>
      </c>
      <c r="M33" s="239">
        <v>1030673.1590299999</v>
      </c>
      <c r="N33" s="239">
        <v>329213.30933999998</v>
      </c>
      <c r="O33" s="239">
        <v>425158.09473000001</v>
      </c>
      <c r="P33" s="239">
        <v>8153680.2011299534</v>
      </c>
      <c r="Q33" s="239">
        <v>186339.213552</v>
      </c>
      <c r="R33" s="239">
        <v>8340019.4146819534</v>
      </c>
      <c r="S33" s="59"/>
      <c r="T33" s="57"/>
      <c r="U33" s="57"/>
      <c r="V33" s="57"/>
    </row>
    <row r="34" spans="1:22" ht="20.100000000000001" customHeight="1">
      <c r="A34" s="176" t="s">
        <v>163</v>
      </c>
      <c r="B34" s="235">
        <v>239755.45045</v>
      </c>
      <c r="C34" s="236">
        <v>845423.80909999995</v>
      </c>
      <c r="D34" s="236">
        <v>174733.95210999998</v>
      </c>
      <c r="E34" s="236">
        <v>271164.48214999994</v>
      </c>
      <c r="F34" s="236">
        <v>259586.97500000003</v>
      </c>
      <c r="G34" s="236">
        <v>718801.64271000016</v>
      </c>
      <c r="H34" s="236">
        <v>396704.14453999995</v>
      </c>
      <c r="I34" s="236">
        <v>308552.05262999999</v>
      </c>
      <c r="J34" s="236">
        <v>315448.53175000002</v>
      </c>
      <c r="K34" s="235">
        <v>712579.62659095961</v>
      </c>
      <c r="L34" s="236">
        <v>936420.20528900018</v>
      </c>
      <c r="M34" s="236">
        <v>777106.9124309998</v>
      </c>
      <c r="N34" s="236">
        <v>262963.93136000005</v>
      </c>
      <c r="O34" s="236">
        <v>328415.35399999999</v>
      </c>
      <c r="P34" s="236">
        <v>6547657.070110959</v>
      </c>
      <c r="Q34" s="236">
        <v>67858.734327000042</v>
      </c>
      <c r="R34" s="236">
        <v>6615515.8044379586</v>
      </c>
      <c r="S34" s="58"/>
      <c r="T34" s="57"/>
      <c r="U34" s="57"/>
      <c r="V34" s="57"/>
    </row>
    <row r="35" spans="1:22" ht="20.100000000000001" customHeight="1">
      <c r="A35" s="176" t="s">
        <v>164</v>
      </c>
      <c r="B35" s="235">
        <v>143054.44702999998</v>
      </c>
      <c r="C35" s="236">
        <v>441082.93212000001</v>
      </c>
      <c r="D35" s="236">
        <v>116607.30124999997</v>
      </c>
      <c r="E35" s="236">
        <v>160437.61641999992</v>
      </c>
      <c r="F35" s="236">
        <v>158758.61791999999</v>
      </c>
      <c r="G35" s="236">
        <v>523563.95371000009</v>
      </c>
      <c r="H35" s="236">
        <v>239463.31960999995</v>
      </c>
      <c r="I35" s="236">
        <v>183247.01032999999</v>
      </c>
      <c r="J35" s="236">
        <v>194907.31607999996</v>
      </c>
      <c r="K35" s="235">
        <v>341444.84026691742</v>
      </c>
      <c r="L35" s="236">
        <v>534371.03752399993</v>
      </c>
      <c r="M35" s="236">
        <v>588279.57665500022</v>
      </c>
      <c r="N35" s="236">
        <v>154838.44375999999</v>
      </c>
      <c r="O35" s="236">
        <v>192612.06093000001</v>
      </c>
      <c r="P35" s="236">
        <v>3972668.4736059173</v>
      </c>
      <c r="Q35" s="236">
        <v>65703.314756999927</v>
      </c>
      <c r="R35" s="236">
        <v>4038371.788362917</v>
      </c>
      <c r="S35" s="58"/>
      <c r="T35" s="57"/>
      <c r="U35" s="57"/>
      <c r="V35" s="57"/>
    </row>
    <row r="36" spans="1:22" ht="20.100000000000001" customHeight="1">
      <c r="A36" s="179" t="s">
        <v>165</v>
      </c>
      <c r="B36" s="238">
        <v>110772.89489000001</v>
      </c>
      <c r="C36" s="239">
        <v>286673.37029000011</v>
      </c>
      <c r="D36" s="239">
        <v>104401.02447000002</v>
      </c>
      <c r="E36" s="239">
        <v>111160.62399000001</v>
      </c>
      <c r="F36" s="239">
        <v>110276.69091000002</v>
      </c>
      <c r="G36" s="239">
        <v>409845.81089000002</v>
      </c>
      <c r="H36" s="239">
        <v>172425.20081000001</v>
      </c>
      <c r="I36" s="239">
        <v>139413.99996999998</v>
      </c>
      <c r="J36" s="239">
        <v>144119.16976999998</v>
      </c>
      <c r="K36" s="238">
        <v>201678.87143487085</v>
      </c>
      <c r="L36" s="239">
        <v>414442.41787399992</v>
      </c>
      <c r="M36" s="239">
        <v>958762.53031299997</v>
      </c>
      <c r="N36" s="239">
        <v>105841.95027000002</v>
      </c>
      <c r="O36" s="239">
        <v>152186.79384</v>
      </c>
      <c r="P36" s="239">
        <v>3422001.3497218709</v>
      </c>
      <c r="Q36" s="239">
        <v>17012.563173999992</v>
      </c>
      <c r="R36" s="239">
        <v>3439013.9128958709</v>
      </c>
      <c r="S36" s="58"/>
      <c r="T36" s="57"/>
      <c r="U36" s="57"/>
      <c r="V36" s="57"/>
    </row>
    <row r="37" spans="1:22" ht="20.100000000000001" customHeight="1">
      <c r="A37" s="176" t="s">
        <v>166</v>
      </c>
      <c r="B37" s="235"/>
      <c r="C37" s="236"/>
      <c r="D37" s="236"/>
      <c r="E37" s="236"/>
      <c r="F37" s="236"/>
      <c r="G37" s="236"/>
      <c r="H37" s="236"/>
      <c r="I37" s="236"/>
      <c r="J37" s="236"/>
      <c r="K37" s="235"/>
      <c r="L37" s="236"/>
      <c r="M37" s="236"/>
      <c r="N37" s="236"/>
      <c r="O37" s="236"/>
      <c r="P37" s="236"/>
      <c r="Q37" s="236"/>
      <c r="R37" s="236"/>
      <c r="S37" s="58"/>
      <c r="T37" s="57"/>
      <c r="U37" s="57"/>
      <c r="V37" s="57"/>
    </row>
    <row r="38" spans="1:22" ht="20.100000000000001" customHeight="1">
      <c r="A38" s="176" t="s">
        <v>167</v>
      </c>
      <c r="B38" s="235"/>
      <c r="C38" s="236"/>
      <c r="D38" s="236"/>
      <c r="E38" s="236"/>
      <c r="F38" s="236"/>
      <c r="G38" s="236"/>
      <c r="H38" s="236"/>
      <c r="I38" s="236"/>
      <c r="J38" s="236"/>
      <c r="K38" s="235"/>
      <c r="L38" s="236"/>
      <c r="M38" s="236"/>
      <c r="N38" s="236"/>
      <c r="O38" s="236"/>
      <c r="P38" s="236"/>
      <c r="Q38" s="236"/>
      <c r="R38" s="236"/>
      <c r="S38" s="58"/>
      <c r="T38" s="57"/>
      <c r="U38" s="57"/>
      <c r="V38" s="57"/>
    </row>
    <row r="39" spans="1:22" ht="20.100000000000001" customHeight="1">
      <c r="A39" s="179" t="s">
        <v>168</v>
      </c>
      <c r="B39" s="238"/>
      <c r="C39" s="239"/>
      <c r="D39" s="239"/>
      <c r="E39" s="239"/>
      <c r="F39" s="239"/>
      <c r="G39" s="239"/>
      <c r="H39" s="239"/>
      <c r="I39" s="239"/>
      <c r="J39" s="239"/>
      <c r="K39" s="238"/>
      <c r="L39" s="239"/>
      <c r="M39" s="239"/>
      <c r="N39" s="239"/>
      <c r="O39" s="239"/>
      <c r="P39" s="239"/>
      <c r="Q39" s="239"/>
      <c r="R39" s="239"/>
      <c r="S39" s="58"/>
      <c r="T39" s="57"/>
      <c r="U39" s="57"/>
      <c r="V39" s="57"/>
    </row>
    <row r="40" spans="1:22" ht="20.100000000000001" customHeight="1">
      <c r="A40" s="176" t="s">
        <v>169</v>
      </c>
      <c r="B40" s="235"/>
      <c r="C40" s="236"/>
      <c r="D40" s="236"/>
      <c r="E40" s="236"/>
      <c r="F40" s="236"/>
      <c r="G40" s="236"/>
      <c r="H40" s="236"/>
      <c r="I40" s="236"/>
      <c r="J40" s="236"/>
      <c r="K40" s="235"/>
      <c r="L40" s="236"/>
      <c r="M40" s="236"/>
      <c r="N40" s="236"/>
      <c r="O40" s="236"/>
      <c r="P40" s="236"/>
      <c r="Q40" s="236"/>
      <c r="R40" s="236"/>
      <c r="S40" s="58"/>
      <c r="T40" s="57"/>
      <c r="U40" s="57"/>
      <c r="V40" s="57"/>
    </row>
    <row r="41" spans="1:22" ht="20.100000000000001" customHeight="1">
      <c r="A41" s="176" t="s">
        <v>170</v>
      </c>
      <c r="B41" s="235"/>
      <c r="C41" s="236"/>
      <c r="D41" s="236"/>
      <c r="E41" s="236"/>
      <c r="F41" s="236"/>
      <c r="G41" s="236"/>
      <c r="H41" s="236"/>
      <c r="I41" s="236"/>
      <c r="J41" s="236"/>
      <c r="K41" s="235"/>
      <c r="L41" s="236"/>
      <c r="M41" s="236"/>
      <c r="N41" s="236"/>
      <c r="O41" s="236"/>
      <c r="P41" s="236"/>
      <c r="Q41" s="236"/>
      <c r="R41" s="236"/>
      <c r="S41" s="58"/>
      <c r="T41" s="57"/>
      <c r="U41" s="57"/>
      <c r="V41" s="57"/>
    </row>
    <row r="42" spans="1:22" ht="20.100000000000001" customHeight="1">
      <c r="A42" s="179" t="s">
        <v>171</v>
      </c>
      <c r="B42" s="238"/>
      <c r="C42" s="239"/>
      <c r="D42" s="239"/>
      <c r="E42" s="239"/>
      <c r="F42" s="239"/>
      <c r="G42" s="239"/>
      <c r="H42" s="239"/>
      <c r="I42" s="239"/>
      <c r="J42" s="239"/>
      <c r="K42" s="238"/>
      <c r="L42" s="239"/>
      <c r="M42" s="239"/>
      <c r="N42" s="239"/>
      <c r="O42" s="239"/>
      <c r="P42" s="239"/>
      <c r="Q42" s="239"/>
      <c r="R42" s="239"/>
      <c r="S42" s="58"/>
      <c r="T42" s="57"/>
      <c r="U42" s="57"/>
      <c r="V42" s="57"/>
    </row>
    <row r="43" spans="1:22" ht="20.100000000000001" customHeight="1">
      <c r="A43" s="176" t="s">
        <v>48</v>
      </c>
      <c r="B43" s="235">
        <f>SUM(B31:B33)</f>
        <v>951078.44559999998</v>
      </c>
      <c r="C43" s="235">
        <f>SUM(C31:C33)</f>
        <v>3632102.0089599998</v>
      </c>
      <c r="D43" s="235">
        <f t="shared" ref="D43:J43" si="14">SUM(D31:D33)</f>
        <v>697806.31865000003</v>
      </c>
      <c r="E43" s="235">
        <f t="shared" si="14"/>
        <v>1149090.2838600001</v>
      </c>
      <c r="F43" s="235">
        <f t="shared" si="14"/>
        <v>1095733.0420000001</v>
      </c>
      <c r="G43" s="235">
        <f t="shared" si="14"/>
        <v>2823654.07651</v>
      </c>
      <c r="H43" s="235">
        <f t="shared" si="14"/>
        <v>1669011.5899800002</v>
      </c>
      <c r="I43" s="235">
        <f t="shared" si="14"/>
        <v>1201392.1911499999</v>
      </c>
      <c r="J43" s="235">
        <f t="shared" si="14"/>
        <v>1277271.2998299999</v>
      </c>
      <c r="K43" s="235">
        <f>SUM(K31:K33)</f>
        <v>3099821.7995189545</v>
      </c>
      <c r="L43" s="235">
        <f t="shared" ref="L43:Q43" si="15">SUM(L31:L33)</f>
        <v>3519993.3603279991</v>
      </c>
      <c r="M43" s="235">
        <f t="shared" si="15"/>
        <v>3206340.7547699995</v>
      </c>
      <c r="N43" s="235">
        <f t="shared" si="15"/>
        <v>1102878.5532599997</v>
      </c>
      <c r="O43" s="235">
        <f t="shared" si="15"/>
        <v>1392492.43163</v>
      </c>
      <c r="P43" s="235">
        <f t="shared" si="15"/>
        <v>26818666.156046953</v>
      </c>
      <c r="Q43" s="235">
        <f t="shared" si="15"/>
        <v>577305.90518100001</v>
      </c>
      <c r="R43" s="235">
        <f>SUM(R31:R33)</f>
        <v>27395972.061227951</v>
      </c>
    </row>
    <row r="44" spans="1:22" ht="20.100000000000001" customHeight="1">
      <c r="A44" s="176" t="s">
        <v>56</v>
      </c>
      <c r="B44" s="235">
        <f>SUM(B34:B36)</f>
        <v>493582.79236999998</v>
      </c>
      <c r="C44" s="235">
        <f>SUM(C34:C36)</f>
        <v>1573180.1115100002</v>
      </c>
      <c r="D44" s="235">
        <f t="shared" ref="D44:J44" si="16">SUM(D34:D36)</f>
        <v>395742.27782999998</v>
      </c>
      <c r="E44" s="235">
        <f t="shared" si="16"/>
        <v>542762.72255999991</v>
      </c>
      <c r="F44" s="235">
        <f t="shared" si="16"/>
        <v>528622.28383000009</v>
      </c>
      <c r="G44" s="235">
        <f t="shared" si="16"/>
        <v>1652211.4073100004</v>
      </c>
      <c r="H44" s="235">
        <f t="shared" si="16"/>
        <v>808592.66495999997</v>
      </c>
      <c r="I44" s="235">
        <f t="shared" si="16"/>
        <v>631213.06293000001</v>
      </c>
      <c r="J44" s="235">
        <f t="shared" si="16"/>
        <v>654475.0175999999</v>
      </c>
      <c r="K44" s="235">
        <f>SUM(K34:K36)</f>
        <v>1255703.338292748</v>
      </c>
      <c r="L44" s="235">
        <f t="shared" ref="L44:Q44" si="17">SUM(L34:L36)</f>
        <v>1885233.660687</v>
      </c>
      <c r="M44" s="235">
        <f t="shared" si="17"/>
        <v>2324149.0193989999</v>
      </c>
      <c r="N44" s="235">
        <f t="shared" si="17"/>
        <v>523644.32539000007</v>
      </c>
      <c r="O44" s="235">
        <f t="shared" si="17"/>
        <v>673214.20876999991</v>
      </c>
      <c r="P44" s="235">
        <f t="shared" si="17"/>
        <v>13942326.893438747</v>
      </c>
      <c r="Q44" s="235">
        <f t="shared" si="17"/>
        <v>150574.61225799995</v>
      </c>
      <c r="R44" s="235">
        <f>SUM(R34:R36)</f>
        <v>14092901.505696747</v>
      </c>
    </row>
    <row r="45" spans="1:22" ht="20.100000000000001" customHeight="1">
      <c r="A45" s="176" t="s">
        <v>63</v>
      </c>
      <c r="B45" s="408">
        <f>SUM(B37:B39)</f>
        <v>0</v>
      </c>
      <c r="C45" s="408">
        <f>SUM(C37:C39)</f>
        <v>0</v>
      </c>
      <c r="D45" s="408">
        <f t="shared" ref="D45:J45" si="18">SUM(D37:D39)</f>
        <v>0</v>
      </c>
      <c r="E45" s="408">
        <f t="shared" si="18"/>
        <v>0</v>
      </c>
      <c r="F45" s="408">
        <f t="shared" si="18"/>
        <v>0</v>
      </c>
      <c r="G45" s="408">
        <f t="shared" si="18"/>
        <v>0</v>
      </c>
      <c r="H45" s="408">
        <f t="shared" si="18"/>
        <v>0</v>
      </c>
      <c r="I45" s="408">
        <f t="shared" si="18"/>
        <v>0</v>
      </c>
      <c r="J45" s="408">
        <f t="shared" si="18"/>
        <v>0</v>
      </c>
      <c r="K45" s="408">
        <f>SUM(K37:K39)</f>
        <v>0</v>
      </c>
      <c r="L45" s="408">
        <f t="shared" ref="L45:R45" si="19">SUM(L37:L39)</f>
        <v>0</v>
      </c>
      <c r="M45" s="408">
        <f t="shared" si="19"/>
        <v>0</v>
      </c>
      <c r="N45" s="408">
        <f t="shared" si="19"/>
        <v>0</v>
      </c>
      <c r="O45" s="408">
        <f t="shared" si="19"/>
        <v>0</v>
      </c>
      <c r="P45" s="408">
        <f t="shared" si="19"/>
        <v>0</v>
      </c>
      <c r="Q45" s="408">
        <f t="shared" si="19"/>
        <v>0</v>
      </c>
      <c r="R45" s="408">
        <f t="shared" si="19"/>
        <v>0</v>
      </c>
    </row>
    <row r="46" spans="1:22" ht="20.100000000000001" customHeight="1">
      <c r="A46" s="179" t="s">
        <v>57</v>
      </c>
      <c r="B46" s="411">
        <f>SUM(B40:B42)</f>
        <v>0</v>
      </c>
      <c r="C46" s="411">
        <f>SUM(C40:C42)</f>
        <v>0</v>
      </c>
      <c r="D46" s="411">
        <f t="shared" ref="D46:J46" si="20">SUM(D40:D42)</f>
        <v>0</v>
      </c>
      <c r="E46" s="411">
        <f t="shared" si="20"/>
        <v>0</v>
      </c>
      <c r="F46" s="411">
        <f t="shared" si="20"/>
        <v>0</v>
      </c>
      <c r="G46" s="411">
        <f t="shared" si="20"/>
        <v>0</v>
      </c>
      <c r="H46" s="411">
        <f t="shared" si="20"/>
        <v>0</v>
      </c>
      <c r="I46" s="411">
        <f t="shared" si="20"/>
        <v>0</v>
      </c>
      <c r="J46" s="411">
        <f t="shared" si="20"/>
        <v>0</v>
      </c>
      <c r="K46" s="411">
        <f>SUM(K40:K42)</f>
        <v>0</v>
      </c>
      <c r="L46" s="411">
        <f t="shared" ref="L46:R46" si="21">SUM(L40:L42)</f>
        <v>0</v>
      </c>
      <c r="M46" s="411">
        <f t="shared" si="21"/>
        <v>0</v>
      </c>
      <c r="N46" s="411">
        <f t="shared" si="21"/>
        <v>0</v>
      </c>
      <c r="O46" s="411">
        <f t="shared" si="21"/>
        <v>0</v>
      </c>
      <c r="P46" s="411">
        <f t="shared" si="21"/>
        <v>0</v>
      </c>
      <c r="Q46" s="411">
        <f t="shared" si="21"/>
        <v>0</v>
      </c>
      <c r="R46" s="411">
        <f t="shared" si="21"/>
        <v>0</v>
      </c>
    </row>
    <row r="47" spans="1:22" ht="20.100000000000001" customHeight="1">
      <c r="A47" s="176" t="s">
        <v>58</v>
      </c>
      <c r="B47" s="235">
        <f>SUM(B31:B36)</f>
        <v>1444661.2379700001</v>
      </c>
      <c r="C47" s="235">
        <f>SUM(C31:C36)</f>
        <v>5205282.1204699995</v>
      </c>
      <c r="D47" s="235">
        <f t="shared" ref="D47:J47" si="22">SUM(D31:D36)</f>
        <v>1093548.5964800001</v>
      </c>
      <c r="E47" s="235">
        <f t="shared" si="22"/>
        <v>1691853.0064199998</v>
      </c>
      <c r="F47" s="235">
        <f t="shared" si="22"/>
        <v>1624355.3258300002</v>
      </c>
      <c r="G47" s="235">
        <f t="shared" si="22"/>
        <v>4475865.4838200007</v>
      </c>
      <c r="H47" s="235">
        <f t="shared" si="22"/>
        <v>2477604.2549399999</v>
      </c>
      <c r="I47" s="235">
        <f t="shared" si="22"/>
        <v>1832605.2540799999</v>
      </c>
      <c r="J47" s="235">
        <f t="shared" si="22"/>
        <v>1931746.3174300001</v>
      </c>
      <c r="K47" s="235">
        <f>SUM(K31:K36)</f>
        <v>4355525.1378117027</v>
      </c>
      <c r="L47" s="235">
        <f t="shared" ref="L47:R47" si="23">SUM(L31:L36)</f>
        <v>5405227.0210149987</v>
      </c>
      <c r="M47" s="235">
        <f t="shared" si="23"/>
        <v>5530489.7741689999</v>
      </c>
      <c r="N47" s="235">
        <f t="shared" si="23"/>
        <v>1626522.8786499996</v>
      </c>
      <c r="O47" s="235">
        <f t="shared" si="23"/>
        <v>2065706.6403999999</v>
      </c>
      <c r="P47" s="235">
        <f t="shared" si="23"/>
        <v>40760993.049485698</v>
      </c>
      <c r="Q47" s="235">
        <f t="shared" si="23"/>
        <v>727880.51743900008</v>
      </c>
      <c r="R47" s="235">
        <f t="shared" si="23"/>
        <v>41488873.566924706</v>
      </c>
    </row>
    <row r="48" spans="1:22" ht="20.100000000000001" customHeight="1">
      <c r="A48" s="179" t="s">
        <v>59</v>
      </c>
      <c r="B48" s="411">
        <f>SUM(B37:B42)</f>
        <v>0</v>
      </c>
      <c r="C48" s="411">
        <f>SUM(C37:C42)</f>
        <v>0</v>
      </c>
      <c r="D48" s="411">
        <f t="shared" ref="D48:J48" si="24">SUM(D37:D42)</f>
        <v>0</v>
      </c>
      <c r="E48" s="411">
        <f t="shared" si="24"/>
        <v>0</v>
      </c>
      <c r="F48" s="411">
        <f t="shared" si="24"/>
        <v>0</v>
      </c>
      <c r="G48" s="411">
        <f t="shared" si="24"/>
        <v>0</v>
      </c>
      <c r="H48" s="411">
        <f t="shared" si="24"/>
        <v>0</v>
      </c>
      <c r="I48" s="411">
        <f t="shared" si="24"/>
        <v>0</v>
      </c>
      <c r="J48" s="411">
        <f t="shared" si="24"/>
        <v>0</v>
      </c>
      <c r="K48" s="411">
        <f>SUM(K37:K42)</f>
        <v>0</v>
      </c>
      <c r="L48" s="411">
        <f t="shared" ref="L48:R48" si="25">SUM(L37:L42)</f>
        <v>0</v>
      </c>
      <c r="M48" s="411">
        <f t="shared" si="25"/>
        <v>0</v>
      </c>
      <c r="N48" s="411">
        <f t="shared" si="25"/>
        <v>0</v>
      </c>
      <c r="O48" s="411">
        <f t="shared" si="25"/>
        <v>0</v>
      </c>
      <c r="P48" s="411">
        <f t="shared" si="25"/>
        <v>0</v>
      </c>
      <c r="Q48" s="411">
        <f t="shared" si="25"/>
        <v>0</v>
      </c>
      <c r="R48" s="411">
        <f t="shared" si="25"/>
        <v>0</v>
      </c>
    </row>
    <row r="49" spans="1:18" ht="20.100000000000001" customHeight="1">
      <c r="A49" s="179" t="s">
        <v>172</v>
      </c>
      <c r="B49" s="411">
        <f>SUM(B31:B42)</f>
        <v>1444661.2379700001</v>
      </c>
      <c r="C49" s="411">
        <f>SUM(C31:C42)</f>
        <v>5205282.1204699995</v>
      </c>
      <c r="D49" s="411">
        <f t="shared" ref="D49:J49" si="26">SUM(D31:D42)</f>
        <v>1093548.5964800001</v>
      </c>
      <c r="E49" s="411">
        <f t="shared" si="26"/>
        <v>1691853.0064199998</v>
      </c>
      <c r="F49" s="411">
        <f t="shared" si="26"/>
        <v>1624355.3258300002</v>
      </c>
      <c r="G49" s="411">
        <f t="shared" si="26"/>
        <v>4475865.4838200007</v>
      </c>
      <c r="H49" s="411">
        <f t="shared" si="26"/>
        <v>2477604.2549399999</v>
      </c>
      <c r="I49" s="411">
        <f t="shared" si="26"/>
        <v>1832605.2540799999</v>
      </c>
      <c r="J49" s="411">
        <f t="shared" si="26"/>
        <v>1931746.3174300001</v>
      </c>
      <c r="K49" s="411">
        <f>SUM(K31:K42)</f>
        <v>4355525.1378117027</v>
      </c>
      <c r="L49" s="411">
        <f t="shared" ref="L49:R49" si="27">SUM(L31:L42)</f>
        <v>5405227.0210149987</v>
      </c>
      <c r="M49" s="411">
        <f t="shared" si="27"/>
        <v>5530489.7741689999</v>
      </c>
      <c r="N49" s="411">
        <f t="shared" si="27"/>
        <v>1626522.8786499996</v>
      </c>
      <c r="O49" s="411">
        <f t="shared" si="27"/>
        <v>2065706.6403999999</v>
      </c>
      <c r="P49" s="411">
        <f t="shared" si="27"/>
        <v>40760993.049485698</v>
      </c>
      <c r="Q49" s="411">
        <f t="shared" si="27"/>
        <v>727880.51743900008</v>
      </c>
      <c r="R49" s="411">
        <f t="shared" si="27"/>
        <v>41488873.566924706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107" customWidth="1"/>
    <col min="2" max="6" width="4.7109375" style="107" customWidth="1"/>
    <col min="7" max="9" width="4.85546875" style="107" customWidth="1"/>
    <col min="10" max="14" width="4.7109375" style="107" customWidth="1"/>
    <col min="15" max="15" width="3.7109375" style="107" customWidth="1"/>
    <col min="16" max="19" width="4.7109375" style="107" customWidth="1"/>
    <col min="20" max="20" width="3.7109375" style="107" customWidth="1"/>
    <col min="21" max="21" width="5" style="107" customWidth="1"/>
    <col min="22" max="16384" width="9.140625" style="107"/>
  </cols>
  <sheetData>
    <row r="1" spans="1:20" ht="20.25">
      <c r="A1" s="117" t="s">
        <v>291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>
      <c r="E2" s="108"/>
      <c r="F2" s="108"/>
    </row>
    <row r="3" spans="1:20" ht="15" customHeight="1">
      <c r="A3" s="542" t="s">
        <v>188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</row>
    <row r="4" spans="1:20" ht="15" customHeight="1">
      <c r="A4" s="72"/>
      <c r="C4" s="109"/>
      <c r="D4" s="109"/>
      <c r="E4" s="109"/>
      <c r="F4" s="109"/>
      <c r="G4" s="109"/>
      <c r="H4" s="61"/>
      <c r="I4" s="61"/>
    </row>
    <row r="5" spans="1:20" ht="15" customHeight="1">
      <c r="A5" s="72"/>
      <c r="C5" s="109"/>
      <c r="D5" s="109"/>
      <c r="E5" s="109"/>
      <c r="F5" s="109"/>
      <c r="G5" s="109"/>
      <c r="H5" s="61"/>
      <c r="I5" s="61"/>
    </row>
    <row r="6" spans="1:20" ht="15" customHeight="1">
      <c r="A6" s="72"/>
      <c r="B6" s="110"/>
      <c r="C6" s="110"/>
      <c r="D6" s="109"/>
      <c r="E6" s="109"/>
      <c r="F6" s="109"/>
      <c r="G6" s="110"/>
      <c r="H6" s="12"/>
      <c r="I6" s="61"/>
    </row>
    <row r="7" spans="1:20" ht="15" customHeight="1">
      <c r="A7" s="72"/>
      <c r="B7" s="110"/>
      <c r="C7" s="110"/>
      <c r="D7" s="109"/>
      <c r="E7" s="109"/>
      <c r="F7" s="109"/>
      <c r="G7" s="110"/>
      <c r="H7" s="12"/>
      <c r="I7" s="61"/>
    </row>
    <row r="8" spans="1:20" ht="15" customHeight="1">
      <c r="A8" s="72"/>
      <c r="B8" s="110"/>
      <c r="C8" s="110"/>
      <c r="D8" s="109"/>
      <c r="E8" s="109"/>
      <c r="F8" s="109"/>
      <c r="G8" s="110"/>
      <c r="H8" s="12"/>
      <c r="I8" s="61"/>
    </row>
    <row r="9" spans="1:20" ht="15" customHeight="1">
      <c r="A9" s="72"/>
      <c r="B9" s="109"/>
      <c r="C9" s="109"/>
      <c r="D9" s="109"/>
      <c r="E9" s="109"/>
      <c r="F9" s="109"/>
      <c r="G9" s="110"/>
      <c r="H9" s="12"/>
      <c r="I9" s="61"/>
    </row>
    <row r="10" spans="1:20" ht="15" customHeight="1">
      <c r="A10" s="72"/>
      <c r="B10" s="109"/>
      <c r="C10" s="109"/>
      <c r="D10" s="109"/>
      <c r="E10" s="109"/>
      <c r="F10" s="109"/>
      <c r="G10" s="109"/>
      <c r="H10" s="61"/>
      <c r="I10" s="61"/>
    </row>
    <row r="11" spans="1:20" ht="15" customHeight="1">
      <c r="A11" s="72"/>
      <c r="B11" s="109"/>
      <c r="C11" s="109"/>
      <c r="D11" s="109"/>
      <c r="E11" s="109"/>
      <c r="F11" s="109"/>
      <c r="G11" s="109"/>
      <c r="H11" s="61"/>
      <c r="I11" s="61"/>
    </row>
    <row r="12" spans="1:20" ht="15" customHeight="1">
      <c r="A12" s="72"/>
      <c r="B12" s="109"/>
      <c r="C12" s="109"/>
      <c r="D12" s="109"/>
      <c r="E12" s="109"/>
      <c r="F12" s="109"/>
      <c r="G12" s="109"/>
      <c r="H12" s="61"/>
      <c r="I12" s="61"/>
    </row>
    <row r="13" spans="1:20" ht="15" customHeight="1">
      <c r="A13" s="72"/>
      <c r="B13" s="109"/>
      <c r="C13" s="109"/>
      <c r="D13" s="109"/>
      <c r="E13" s="109"/>
      <c r="F13" s="109"/>
      <c r="G13" s="109"/>
      <c r="H13" s="61"/>
      <c r="I13" s="61"/>
    </row>
    <row r="14" spans="1:20" ht="15" customHeight="1">
      <c r="A14" s="72"/>
      <c r="B14" s="109"/>
      <c r="C14" s="109"/>
      <c r="D14" s="109"/>
      <c r="E14" s="109"/>
      <c r="F14" s="109"/>
      <c r="G14" s="109"/>
      <c r="H14" s="111"/>
      <c r="I14" s="111"/>
    </row>
    <row r="15" spans="1:20" ht="15" customHeight="1">
      <c r="A15" s="112"/>
      <c r="B15" s="112"/>
      <c r="C15" s="112"/>
      <c r="D15" s="112"/>
      <c r="E15" s="112"/>
      <c r="F15" s="112"/>
      <c r="G15" s="113"/>
      <c r="H15" s="114"/>
      <c r="I15" s="114"/>
    </row>
    <row r="16" spans="1:20" ht="15" customHeight="1">
      <c r="A16" s="112"/>
      <c r="B16" s="112"/>
      <c r="C16" s="112"/>
      <c r="D16" s="112"/>
      <c r="E16" s="112"/>
      <c r="F16" s="112"/>
    </row>
    <row r="17" spans="1:21" ht="15" customHeight="1">
      <c r="A17" s="112"/>
      <c r="B17" s="112"/>
      <c r="C17" s="112"/>
      <c r="D17" s="112"/>
      <c r="E17" s="112"/>
      <c r="F17" s="112"/>
    </row>
    <row r="18" spans="1:21" ht="15" customHeight="1">
      <c r="A18" s="112"/>
      <c r="B18" s="112"/>
      <c r="C18" s="112"/>
      <c r="D18" s="112"/>
      <c r="E18" s="112"/>
      <c r="F18" s="112"/>
    </row>
    <row r="19" spans="1:21" ht="15" customHeight="1">
      <c r="A19" s="112"/>
      <c r="B19" s="112"/>
      <c r="C19" s="112"/>
      <c r="D19" s="112"/>
      <c r="E19" s="112"/>
      <c r="F19" s="112"/>
    </row>
    <row r="20" spans="1:21" ht="15" customHeight="1">
      <c r="A20" s="112"/>
      <c r="B20" s="112"/>
      <c r="C20" s="112"/>
      <c r="D20" s="112"/>
      <c r="E20" s="112"/>
      <c r="F20" s="112"/>
    </row>
    <row r="21" spans="1:21" ht="12.95" customHeight="1">
      <c r="B21" s="115"/>
      <c r="C21" s="115"/>
      <c r="D21" s="115"/>
      <c r="E21" s="112"/>
      <c r="F21" s="113"/>
      <c r="G21" s="113"/>
      <c r="H21" s="113"/>
    </row>
    <row r="22" spans="1:21" ht="12.95" customHeight="1">
      <c r="B22" s="115"/>
      <c r="C22" s="115"/>
      <c r="D22" s="115"/>
      <c r="G22" s="543"/>
      <c r="H22" s="543"/>
      <c r="I22" s="543"/>
      <c r="K22" s="543"/>
      <c r="L22" s="543"/>
      <c r="M22" s="543"/>
      <c r="N22" s="543"/>
      <c r="P22" s="543"/>
      <c r="Q22" s="543"/>
      <c r="R22" s="543"/>
      <c r="S22" s="543"/>
      <c r="T22" s="543"/>
      <c r="U22" s="543"/>
    </row>
    <row r="23" spans="1:21" ht="12.95" customHeight="1">
      <c r="B23" s="115"/>
      <c r="C23" s="115"/>
      <c r="D23" s="115"/>
      <c r="G23" s="543"/>
      <c r="H23" s="543"/>
      <c r="I23" s="543"/>
      <c r="K23" s="544"/>
      <c r="L23" s="544"/>
      <c r="M23" s="544"/>
      <c r="N23" s="544"/>
      <c r="P23" s="543"/>
      <c r="Q23" s="543"/>
      <c r="R23" s="543"/>
      <c r="S23" s="543"/>
      <c r="T23" s="543"/>
      <c r="U23" s="543"/>
    </row>
    <row r="24" spans="1:21" ht="12.95" customHeight="1">
      <c r="B24" s="115"/>
      <c r="C24" s="115"/>
      <c r="D24" s="115"/>
      <c r="G24" s="543"/>
      <c r="H24" s="543"/>
      <c r="I24" s="543"/>
      <c r="K24" s="544"/>
      <c r="L24" s="544"/>
      <c r="M24" s="544"/>
      <c r="N24" s="544"/>
      <c r="P24" s="544"/>
      <c r="Q24" s="544"/>
      <c r="R24" s="544"/>
      <c r="S24" s="544"/>
      <c r="T24" s="544"/>
      <c r="U24" s="544"/>
    </row>
    <row r="25" spans="1:21" ht="12" customHeight="1">
      <c r="A25" s="112"/>
      <c r="B25" s="112"/>
      <c r="C25" s="112"/>
      <c r="D25" s="112"/>
      <c r="E25" s="112"/>
      <c r="F25" s="112"/>
      <c r="H25" s="116"/>
      <c r="I25" s="116"/>
      <c r="P25" s="544"/>
      <c r="Q25" s="544"/>
      <c r="R25" s="544"/>
      <c r="S25" s="544"/>
      <c r="T25" s="544"/>
      <c r="U25" s="544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43" zoomScaleNormal="100" workbookViewId="0">
      <selection activeCell="C1" sqref="C1"/>
    </sheetView>
  </sheetViews>
  <sheetFormatPr defaultColWidth="9.140625" defaultRowHeight="12.75"/>
  <cols>
    <col min="1" max="1" width="9.140625" style="380"/>
    <col min="2" max="2" width="11.28515625" style="380" bestFit="1" customWidth="1"/>
    <col min="3" max="16384" width="9.140625" style="380"/>
  </cols>
  <sheetData>
    <row r="25" spans="6:6">
      <c r="F25" s="379"/>
    </row>
    <row r="26" spans="6:6">
      <c r="F26" s="379"/>
    </row>
    <row r="27" spans="6:6">
      <c r="F27" s="379"/>
    </row>
    <row r="28" spans="6:6">
      <c r="F28" s="379"/>
    </row>
    <row r="47" spans="1:3" ht="15">
      <c r="A47" s="381" t="s">
        <v>312</v>
      </c>
    </row>
    <row r="48" spans="1:3" ht="14.25">
      <c r="A48" s="382" t="s">
        <v>313</v>
      </c>
      <c r="B48" s="383"/>
      <c r="C48" s="383"/>
    </row>
    <row r="50" spans="1:2" ht="14.25">
      <c r="A50" s="384" t="s">
        <v>315</v>
      </c>
      <c r="B50" s="385">
        <f ca="1">TODAY()</f>
        <v>45139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286</v>
      </c>
      <c r="B1" s="21"/>
    </row>
    <row r="2" spans="1:2" ht="6" customHeight="1">
      <c r="B2" s="21"/>
    </row>
    <row r="3" spans="1:2" ht="39.950000000000003" customHeight="1">
      <c r="A3" s="13" t="s">
        <v>240</v>
      </c>
      <c r="B3" s="14" t="s">
        <v>316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211</v>
      </c>
      <c r="B9" s="16" t="s">
        <v>210</v>
      </c>
    </row>
    <row r="10" spans="1:2" ht="24.95" customHeight="1">
      <c r="A10" s="15" t="s">
        <v>87</v>
      </c>
      <c r="B10" s="18" t="s">
        <v>203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213</v>
      </c>
      <c r="B14" s="16" t="s">
        <v>214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204</v>
      </c>
    </row>
    <row r="17" spans="1:2" ht="24.95" customHeight="1">
      <c r="A17" s="15" t="s">
        <v>113</v>
      </c>
      <c r="B17" s="16" t="s">
        <v>205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206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201</v>
      </c>
      <c r="B33" s="16" t="s">
        <v>207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6" zoomScaleNormal="100" zoomScaleSheetLayoutView="100" workbookViewId="0">
      <selection activeCell="C1" sqref="C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II. ČTVRTLETÍ 2023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35" t="s">
        <v>215</v>
      </c>
      <c r="B3" s="435"/>
      <c r="C3" s="435"/>
      <c r="D3" s="435"/>
      <c r="E3" s="435"/>
      <c r="F3" s="435"/>
      <c r="G3" s="435"/>
      <c r="H3" s="435"/>
      <c r="I3" s="435"/>
    </row>
    <row r="4" spans="1:10" ht="15" customHeight="1">
      <c r="A4" s="435"/>
      <c r="B4" s="435"/>
      <c r="C4" s="435"/>
      <c r="D4" s="435"/>
      <c r="E4" s="435"/>
      <c r="F4" s="435"/>
      <c r="G4" s="435"/>
      <c r="H4" s="435"/>
      <c r="I4" s="435"/>
    </row>
    <row r="5" spans="1:10" ht="15" customHeight="1">
      <c r="A5" s="435"/>
      <c r="B5" s="435"/>
      <c r="C5" s="435"/>
      <c r="D5" s="435"/>
      <c r="E5" s="435"/>
      <c r="F5" s="435"/>
      <c r="G5" s="435"/>
      <c r="H5" s="435"/>
      <c r="I5" s="435"/>
    </row>
    <row r="6" spans="1:10" ht="15" customHeight="1">
      <c r="A6" s="435"/>
      <c r="B6" s="435"/>
      <c r="C6" s="435"/>
      <c r="D6" s="435"/>
      <c r="E6" s="435"/>
      <c r="F6" s="435"/>
      <c r="G6" s="435"/>
      <c r="H6" s="435"/>
      <c r="I6" s="435"/>
    </row>
    <row r="7" spans="1:10" ht="30" customHeight="1">
      <c r="A7" s="436" t="s">
        <v>251</v>
      </c>
      <c r="B7" s="436"/>
      <c r="C7" s="436"/>
      <c r="D7" s="436"/>
      <c r="E7" s="436"/>
      <c r="F7" s="436"/>
      <c r="G7" s="436"/>
      <c r="H7" s="436"/>
      <c r="I7" s="436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32" t="s">
        <v>216</v>
      </c>
      <c r="B9" s="432"/>
      <c r="C9" s="432"/>
      <c r="D9" s="432"/>
      <c r="E9" s="31">
        <f>'3.1'!G8/1000</f>
        <v>2600.5591427598797</v>
      </c>
      <c r="F9" s="32" t="s">
        <v>258</v>
      </c>
      <c r="G9" s="32" t="s">
        <v>217</v>
      </c>
      <c r="H9" s="31">
        <f>'3.1'!K8/1000</f>
        <v>28418.069236795</v>
      </c>
      <c r="I9" s="32" t="s">
        <v>218</v>
      </c>
    </row>
    <row r="10" spans="1:10" ht="15.95" customHeight="1">
      <c r="A10" s="433" t="s">
        <v>219</v>
      </c>
      <c r="B10" s="433"/>
      <c r="C10" s="433"/>
      <c r="D10" s="433"/>
      <c r="E10" s="31">
        <f>'3.1'!G11/1000</f>
        <v>151.41981866830105</v>
      </c>
      <c r="F10" s="32" t="s">
        <v>258</v>
      </c>
      <c r="G10" s="32" t="s">
        <v>217</v>
      </c>
      <c r="H10" s="31">
        <f>'3.1'!K11/1000</f>
        <v>1649.3369359455</v>
      </c>
      <c r="I10" s="32" t="s">
        <v>218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33" t="s">
        <v>220</v>
      </c>
      <c r="B12" s="433"/>
      <c r="C12" s="433"/>
      <c r="D12" s="433"/>
      <c r="E12" s="31">
        <f>'3.1'!G18/1000</f>
        <v>79.652301999999992</v>
      </c>
      <c r="F12" s="32" t="s">
        <v>258</v>
      </c>
      <c r="G12" s="32" t="s">
        <v>217</v>
      </c>
      <c r="H12" s="31">
        <f>'3.1'!K18/1000</f>
        <v>857.16981400000009</v>
      </c>
      <c r="I12" s="32" t="s">
        <v>218</v>
      </c>
    </row>
    <row r="13" spans="1:10" ht="15.95" customHeight="1">
      <c r="A13" s="433" t="s">
        <v>221</v>
      </c>
      <c r="B13" s="433"/>
      <c r="C13" s="433"/>
      <c r="D13" s="433"/>
      <c r="E13" s="31">
        <f>'3.1'!G22/1000</f>
        <v>1273.7243470000001</v>
      </c>
      <c r="F13" s="32" t="s">
        <v>258</v>
      </c>
      <c r="G13" s="32" t="s">
        <v>217</v>
      </c>
      <c r="H13" s="31">
        <f>'3.1'!K22/1000</f>
        <v>13928.48604183</v>
      </c>
      <c r="I13" s="32" t="s">
        <v>218</v>
      </c>
    </row>
    <row r="14" spans="1:10" ht="15.95" customHeight="1">
      <c r="A14" s="433" t="s">
        <v>222</v>
      </c>
      <c r="B14" s="433"/>
      <c r="C14" s="433"/>
      <c r="D14" s="433"/>
      <c r="E14" s="31">
        <f>'3.1'!G27/1000</f>
        <v>2883.8733507324901</v>
      </c>
      <c r="F14" s="32" t="s">
        <v>258</v>
      </c>
      <c r="G14" s="32" t="s">
        <v>217</v>
      </c>
      <c r="H14" s="31">
        <f>'3.1'!K27/1000</f>
        <v>31313.903894883919</v>
      </c>
      <c r="I14" s="32" t="s">
        <v>218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33" t="s">
        <v>223</v>
      </c>
      <c r="B16" s="433"/>
      <c r="C16" s="433"/>
      <c r="D16" s="433"/>
      <c r="E16" s="31">
        <f>'3.1'!G36/1000</f>
        <v>24.792631999999998</v>
      </c>
      <c r="F16" s="32" t="s">
        <v>258</v>
      </c>
      <c r="G16" s="32" t="s">
        <v>217</v>
      </c>
      <c r="H16" s="31">
        <f>'3.1'!K36/1000</f>
        <v>269.58753876859998</v>
      </c>
      <c r="I16" s="32" t="s">
        <v>218</v>
      </c>
    </row>
    <row r="17" spans="1:9" ht="30" customHeight="1">
      <c r="A17" s="436" t="s">
        <v>252</v>
      </c>
      <c r="B17" s="436"/>
      <c r="C17" s="436"/>
      <c r="D17" s="436"/>
      <c r="E17" s="436"/>
      <c r="F17" s="436"/>
      <c r="G17" s="436"/>
      <c r="H17" s="436"/>
      <c r="I17" s="436"/>
    </row>
    <row r="18" spans="1:9" ht="9.9499999999999993" customHeight="1">
      <c r="A18" s="29"/>
      <c r="B18" s="29"/>
      <c r="C18" s="30"/>
      <c r="D18" s="30"/>
    </row>
    <row r="19" spans="1:9" ht="15.95" customHeight="1">
      <c r="A19" s="432" t="s">
        <v>224</v>
      </c>
      <c r="B19" s="432"/>
      <c r="C19" s="432"/>
      <c r="D19" s="432"/>
      <c r="E19" s="31">
        <f>'4.1'!B20</f>
        <v>1289.2744394996469</v>
      </c>
      <c r="F19" s="32" t="s">
        <v>258</v>
      </c>
      <c r="G19" s="32" t="s">
        <v>217</v>
      </c>
      <c r="H19" s="31">
        <f>'4.1'!I20</f>
        <v>14092.901379225999</v>
      </c>
      <c r="I19" s="32" t="s">
        <v>218</v>
      </c>
    </row>
    <row r="20" spans="1:9" ht="15.95" customHeight="1">
      <c r="A20" s="433" t="s">
        <v>225</v>
      </c>
      <c r="B20" s="433"/>
      <c r="C20" s="433"/>
      <c r="D20" s="433"/>
      <c r="E20" s="36">
        <f>'4.1'!D20*100</f>
        <v>-7.6856242642030104</v>
      </c>
      <c r="F20" s="32" t="s">
        <v>226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33" t="s">
        <v>227</v>
      </c>
      <c r="B22" s="433"/>
      <c r="C22" s="433"/>
      <c r="D22" s="433"/>
      <c r="E22" s="31">
        <f>'4.1'!E20</f>
        <v>1212.6048440833029</v>
      </c>
      <c r="F22" s="32" t="s">
        <v>258</v>
      </c>
      <c r="G22" s="32" t="s">
        <v>217</v>
      </c>
      <c r="H22" s="31">
        <f>'4.1'!K20</f>
        <v>13256.08512602796</v>
      </c>
      <c r="I22" s="32" t="s">
        <v>218</v>
      </c>
    </row>
    <row r="23" spans="1:9" ht="15.95" customHeight="1">
      <c r="A23" s="433" t="s">
        <v>228</v>
      </c>
      <c r="B23" s="433"/>
      <c r="C23" s="433"/>
      <c r="D23" s="433"/>
      <c r="E23" s="36">
        <f>'4.1'!G20*100</f>
        <v>-10.643881771620059</v>
      </c>
      <c r="F23" s="32" t="s">
        <v>226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33" t="s">
        <v>229</v>
      </c>
      <c r="B25" s="433"/>
      <c r="C25" s="433"/>
      <c r="D25" s="433"/>
      <c r="E25" s="36">
        <f>'4.1'!N20</f>
        <v>12.317634408602148</v>
      </c>
      <c r="F25" s="32" t="s">
        <v>230</v>
      </c>
      <c r="G25" s="32"/>
      <c r="H25" s="31"/>
      <c r="I25" s="32"/>
    </row>
    <row r="26" spans="1:9" ht="15.95" customHeight="1">
      <c r="A26" s="433" t="s">
        <v>231</v>
      </c>
      <c r="B26" s="433"/>
      <c r="C26" s="433"/>
      <c r="D26" s="433"/>
      <c r="E26" s="36">
        <f>'4.1'!Q20</f>
        <v>12.916415770609319</v>
      </c>
      <c r="F26" s="32" t="s">
        <v>230</v>
      </c>
      <c r="G26" s="32"/>
      <c r="H26" s="31"/>
      <c r="I26" s="32"/>
    </row>
    <row r="27" spans="1:9" ht="15.95" customHeight="1">
      <c r="A27" s="433" t="s">
        <v>232</v>
      </c>
      <c r="B27" s="433"/>
      <c r="C27" s="433"/>
      <c r="D27" s="433"/>
      <c r="E27" s="36">
        <f>'4.1'!R20</f>
        <v>-0.59878136200717158</v>
      </c>
      <c r="F27" s="32" t="s">
        <v>230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33" t="s">
        <v>233</v>
      </c>
      <c r="B29" s="433"/>
      <c r="C29" s="433"/>
      <c r="D29" s="433"/>
      <c r="E29" s="38">
        <f>MAX('4.3'!B38,'4.3'!E38,'4.3'!H38)/1000</f>
        <v>29.977184981210051</v>
      </c>
      <c r="F29" s="32" t="s">
        <v>258</v>
      </c>
      <c r="G29" s="32" t="s">
        <v>217</v>
      </c>
      <c r="H29" s="38">
        <f>MAX('4.3'!C38,'4.3'!F38,'4.3'!I38)/1000</f>
        <v>327.01943854889998</v>
      </c>
      <c r="I29" s="32" t="s">
        <v>218</v>
      </c>
    </row>
    <row r="30" spans="1:9" ht="15.95" customHeight="1">
      <c r="A30" s="433" t="s">
        <v>234</v>
      </c>
      <c r="B30" s="433"/>
      <c r="C30" s="433"/>
      <c r="D30" s="433"/>
      <c r="E30" s="38">
        <f>MIN('4.3'!B39,'4.3'!E39,'4.3'!H39)/1000</f>
        <v>7.5400808956570335</v>
      </c>
      <c r="F30" s="32" t="s">
        <v>258</v>
      </c>
      <c r="G30" s="32" t="s">
        <v>217</v>
      </c>
      <c r="H30" s="38">
        <f>MIN('4.3'!C39,'4.3'!F39,'4.3'!I39)/1000</f>
        <v>82.589194980700015</v>
      </c>
      <c r="I30" s="32" t="s">
        <v>218</v>
      </c>
    </row>
    <row r="31" spans="1:9" ht="30" customHeight="1">
      <c r="A31" s="431" t="s">
        <v>253</v>
      </c>
      <c r="B31" s="431"/>
      <c r="C31" s="431"/>
      <c r="D31" s="431"/>
      <c r="E31" s="431"/>
      <c r="F31" s="431"/>
      <c r="G31" s="431"/>
      <c r="H31" s="431"/>
      <c r="I31" s="431"/>
    </row>
    <row r="32" spans="1:9" ht="9.9499999999999993" customHeight="1"/>
    <row r="33" spans="1:9" ht="15.95" customHeight="1">
      <c r="A33" s="432" t="s">
        <v>235</v>
      </c>
      <c r="B33" s="432"/>
      <c r="C33" s="432"/>
      <c r="D33" s="432"/>
      <c r="E33" s="38">
        <f>'5.9'!E7*100</f>
        <v>9.1319516249678419</v>
      </c>
      <c r="F33" s="32" t="s">
        <v>226</v>
      </c>
      <c r="H33" s="38">
        <f>'5.9'!F7*100</f>
        <v>-3.1156249121318504</v>
      </c>
      <c r="I33" s="32" t="s">
        <v>226</v>
      </c>
    </row>
    <row r="34" spans="1:9" ht="15.95" customHeight="1">
      <c r="A34" s="433" t="s">
        <v>236</v>
      </c>
      <c r="B34" s="433"/>
      <c r="C34" s="433"/>
      <c r="D34" s="433"/>
      <c r="E34" s="38">
        <f>'5.9'!E8*100</f>
        <v>81.107060247621604</v>
      </c>
      <c r="F34" s="32" t="s">
        <v>226</v>
      </c>
      <c r="H34" s="38">
        <f>'5.9'!F8*100</f>
        <v>-7.9622999135822869</v>
      </c>
      <c r="I34" s="32" t="s">
        <v>226</v>
      </c>
    </row>
    <row r="35" spans="1:9" ht="15.95" customHeight="1">
      <c r="A35" s="433" t="s">
        <v>237</v>
      </c>
      <c r="B35" s="433"/>
      <c r="C35" s="433"/>
      <c r="D35" s="433"/>
      <c r="E35" s="38">
        <f>'5.9'!E9*100</f>
        <v>4.0514459869292532</v>
      </c>
      <c r="F35" s="32" t="s">
        <v>226</v>
      </c>
      <c r="H35" s="38">
        <f>'5.9'!F9*100</f>
        <v>-4.6384488073529289</v>
      </c>
      <c r="I35" s="32" t="s">
        <v>226</v>
      </c>
    </row>
    <row r="36" spans="1:9" ht="15.95" customHeight="1">
      <c r="A36" s="433" t="s">
        <v>238</v>
      </c>
      <c r="B36" s="433"/>
      <c r="C36" s="433"/>
      <c r="D36" s="433"/>
      <c r="E36" s="38">
        <f>'5.9'!E10*100</f>
        <v>5.7095421404813056</v>
      </c>
      <c r="F36" s="32" t="s">
        <v>226</v>
      </c>
      <c r="H36" s="38">
        <f>'5.9'!F10*100</f>
        <v>-12.531907968606676</v>
      </c>
      <c r="I36" s="32" t="s">
        <v>226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33" t="s">
        <v>239</v>
      </c>
      <c r="B38" s="433"/>
      <c r="C38" s="433"/>
      <c r="D38" s="433"/>
      <c r="E38" s="430">
        <f>'5.1'!D35</f>
        <v>2763172</v>
      </c>
      <c r="F38" s="430"/>
      <c r="H38" s="38"/>
      <c r="I38" s="32"/>
    </row>
    <row r="39" spans="1:9" ht="30" customHeight="1">
      <c r="A39" s="434"/>
      <c r="B39" s="434"/>
      <c r="C39" s="434"/>
      <c r="D39" s="434"/>
      <c r="E39" s="434"/>
      <c r="F39" s="434"/>
      <c r="G39" s="434"/>
      <c r="H39" s="434"/>
      <c r="I39" s="434"/>
    </row>
    <row r="40" spans="1:9" ht="15.95" customHeight="1">
      <c r="A40" s="29"/>
      <c r="B40" s="29"/>
    </row>
    <row r="41" spans="1:9" ht="15.95" customHeight="1">
      <c r="A41" s="429"/>
      <c r="B41" s="429"/>
      <c r="C41" s="429"/>
      <c r="D41" s="429"/>
      <c r="E41" s="429"/>
      <c r="F41" s="429"/>
      <c r="G41" s="429"/>
      <c r="H41" s="429"/>
      <c r="I41" s="429"/>
    </row>
    <row r="42" spans="1:9" ht="15.95" customHeight="1">
      <c r="A42" s="429"/>
      <c r="B42" s="429"/>
      <c r="C42" s="429"/>
      <c r="D42" s="429"/>
      <c r="E42" s="429"/>
      <c r="F42" s="429"/>
      <c r="G42" s="429"/>
      <c r="H42" s="429"/>
      <c r="I42" s="429"/>
    </row>
    <row r="43" spans="1:9" ht="15.95" customHeight="1">
      <c r="A43" s="429"/>
      <c r="B43" s="429"/>
      <c r="C43" s="429"/>
      <c r="D43" s="429"/>
      <c r="E43" s="429"/>
      <c r="F43" s="429"/>
      <c r="G43" s="429"/>
      <c r="H43" s="429"/>
      <c r="I43" s="429"/>
    </row>
    <row r="44" spans="1:9" ht="15.95" customHeight="1">
      <c r="A44" s="429"/>
      <c r="B44" s="429"/>
      <c r="C44" s="429"/>
      <c r="D44" s="429"/>
      <c r="E44" s="429"/>
      <c r="F44" s="429"/>
      <c r="G44" s="429"/>
      <c r="H44" s="429"/>
      <c r="I44" s="429"/>
    </row>
    <row r="45" spans="1:9" ht="15.95" customHeight="1">
      <c r="A45" s="429"/>
      <c r="B45" s="429"/>
      <c r="C45" s="429"/>
      <c r="D45" s="429"/>
      <c r="E45" s="429"/>
      <c r="F45" s="429"/>
      <c r="G45" s="429"/>
      <c r="H45" s="429"/>
      <c r="I45" s="429"/>
    </row>
    <row r="46" spans="1:9" ht="15.95" customHeight="1">
      <c r="A46" s="429"/>
      <c r="B46" s="429"/>
      <c r="C46" s="429"/>
      <c r="D46" s="429"/>
      <c r="E46" s="429"/>
      <c r="F46" s="429"/>
      <c r="G46" s="429"/>
      <c r="H46" s="429"/>
      <c r="I46" s="429"/>
    </row>
    <row r="47" spans="1:9" ht="15.95" customHeight="1">
      <c r="A47" s="429"/>
      <c r="B47" s="429"/>
      <c r="C47" s="429"/>
      <c r="D47" s="429"/>
      <c r="E47" s="429"/>
      <c r="F47" s="429"/>
      <c r="G47" s="429"/>
      <c r="H47" s="429"/>
      <c r="I47" s="429"/>
    </row>
    <row r="48" spans="1:9" ht="15" customHeight="1">
      <c r="A48" s="429"/>
      <c r="B48" s="429"/>
      <c r="C48" s="429"/>
      <c r="D48" s="429"/>
      <c r="E48" s="429"/>
      <c r="F48" s="429"/>
      <c r="G48" s="429"/>
      <c r="H48" s="429"/>
      <c r="I48" s="429"/>
    </row>
    <row r="49" spans="1:9" ht="15" customHeight="1">
      <c r="A49" s="429"/>
      <c r="B49" s="429"/>
      <c r="C49" s="429"/>
      <c r="D49" s="429"/>
      <c r="E49" s="429"/>
      <c r="F49" s="429"/>
      <c r="G49" s="429"/>
      <c r="H49" s="429"/>
      <c r="I49" s="429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287</v>
      </c>
    </row>
    <row r="2" spans="1:18" ht="18">
      <c r="A2" s="446" t="s">
        <v>292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8" ht="6" customHeight="1">
      <c r="A3" s="229"/>
      <c r="B3" s="229"/>
      <c r="C3" s="230"/>
      <c r="D3" s="447"/>
      <c r="E3" s="448"/>
      <c r="F3" s="448"/>
      <c r="G3" s="448"/>
      <c r="H3" s="448"/>
      <c r="I3" s="448"/>
      <c r="J3" s="448"/>
      <c r="K3" s="448"/>
    </row>
    <row r="4" spans="1:18" s="40" customFormat="1" ht="20.100000000000001" customHeight="1">
      <c r="A4" s="377">
        <v>2023</v>
      </c>
      <c r="B4" s="150"/>
      <c r="C4" s="198"/>
      <c r="D4" s="449" t="s">
        <v>261</v>
      </c>
      <c r="E4" s="450"/>
      <c r="F4" s="450"/>
      <c r="G4" s="451"/>
      <c r="H4" s="449" t="s">
        <v>262</v>
      </c>
      <c r="I4" s="450"/>
      <c r="J4" s="450"/>
      <c r="K4" s="450"/>
    </row>
    <row r="5" spans="1:18" ht="20.100000000000001" customHeight="1">
      <c r="A5" s="153"/>
      <c r="B5" s="153"/>
      <c r="C5" s="199"/>
      <c r="D5" s="200" t="s">
        <v>163</v>
      </c>
      <c r="E5" s="201" t="s">
        <v>164</v>
      </c>
      <c r="F5" s="201" t="s">
        <v>165</v>
      </c>
      <c r="G5" s="202" t="s">
        <v>56</v>
      </c>
      <c r="H5" s="200" t="str">
        <f>D5</f>
        <v>Duben</v>
      </c>
      <c r="I5" s="201" t="str">
        <f>E5</f>
        <v>Květen</v>
      </c>
      <c r="J5" s="201" t="str">
        <f>F5</f>
        <v>Červen</v>
      </c>
      <c r="K5" s="203" t="str">
        <f>G5</f>
        <v>II. čtvrtletí</v>
      </c>
    </row>
    <row r="6" spans="1:18" ht="15" customHeight="1">
      <c r="A6" s="439" t="s">
        <v>49</v>
      </c>
      <c r="B6" s="452" t="s">
        <v>21</v>
      </c>
      <c r="C6" s="154" t="s">
        <v>23</v>
      </c>
      <c r="D6" s="155">
        <v>678760.95299999998</v>
      </c>
      <c r="E6" s="156">
        <v>1032099.504</v>
      </c>
      <c r="F6" s="156">
        <v>889443.7790000001</v>
      </c>
      <c r="G6" s="157">
        <f>SUM(D6:F6)</f>
        <v>2600304.236</v>
      </c>
      <c r="H6" s="155">
        <v>7416586.6410000008</v>
      </c>
      <c r="I6" s="156">
        <v>11280498.444</v>
      </c>
      <c r="J6" s="156">
        <v>9718052.7510000002</v>
      </c>
      <c r="K6" s="158">
        <f>SUM(H6:J6)</f>
        <v>28415137.836000003</v>
      </c>
      <c r="L6" s="42"/>
      <c r="M6" s="42"/>
      <c r="N6" s="42"/>
      <c r="O6" s="42"/>
      <c r="P6" s="42"/>
      <c r="Q6" s="42"/>
      <c r="R6" s="42"/>
    </row>
    <row r="7" spans="1:18" ht="15" customHeight="1">
      <c r="A7" s="439"/>
      <c r="B7" s="452"/>
      <c r="C7" s="154" t="s">
        <v>24</v>
      </c>
      <c r="D7" s="155">
        <v>134.91336549588914</v>
      </c>
      <c r="E7" s="156">
        <v>80.549922676744515</v>
      </c>
      <c r="F7" s="156">
        <v>39.443471706793829</v>
      </c>
      <c r="G7" s="157">
        <f>SUM(D7:F7)</f>
        <v>254.90675987942751</v>
      </c>
      <c r="H7" s="155">
        <v>1551.9850719999993</v>
      </c>
      <c r="I7" s="156">
        <v>924.74243100000024</v>
      </c>
      <c r="J7" s="156">
        <v>454.673292</v>
      </c>
      <c r="K7" s="158">
        <f t="shared" ref="K7:K47" si="0">SUM(H7:J7)</f>
        <v>2931.4007949999996</v>
      </c>
      <c r="L7" s="42"/>
      <c r="M7" s="42"/>
      <c r="N7" s="42"/>
      <c r="O7" s="42"/>
      <c r="P7" s="42"/>
      <c r="Q7" s="42"/>
    </row>
    <row r="8" spans="1:18" ht="15" customHeight="1">
      <c r="A8" s="439"/>
      <c r="B8" s="453"/>
      <c r="C8" s="159" t="s">
        <v>25</v>
      </c>
      <c r="D8" s="160">
        <v>678895.86636549584</v>
      </c>
      <c r="E8" s="161">
        <v>1032180.0539226767</v>
      </c>
      <c r="F8" s="161">
        <v>889483.22247170692</v>
      </c>
      <c r="G8" s="162">
        <f t="shared" ref="G8" si="1">SUM(D8:F8)</f>
        <v>2600559.1427598796</v>
      </c>
      <c r="H8" s="160">
        <v>7418138.6260720007</v>
      </c>
      <c r="I8" s="161">
        <v>11281423.186431</v>
      </c>
      <c r="J8" s="161">
        <v>9718507.424292</v>
      </c>
      <c r="K8" s="163">
        <f t="shared" si="0"/>
        <v>28418069.236795001</v>
      </c>
      <c r="L8" s="42"/>
      <c r="M8" s="42"/>
      <c r="N8" s="42"/>
      <c r="O8" s="42"/>
      <c r="P8" s="42"/>
      <c r="Q8" s="42"/>
    </row>
    <row r="9" spans="1:18" ht="15" customHeight="1">
      <c r="A9" s="439"/>
      <c r="B9" s="454" t="s">
        <v>22</v>
      </c>
      <c r="C9" s="164" t="s">
        <v>23</v>
      </c>
      <c r="D9" s="165">
        <v>59770.481999999996</v>
      </c>
      <c r="E9" s="166">
        <v>66082.046000000002</v>
      </c>
      <c r="F9" s="166">
        <v>25514.076000000001</v>
      </c>
      <c r="G9" s="167">
        <f>SUM(D9:F9)</f>
        <v>151366.60399999999</v>
      </c>
      <c r="H9" s="165">
        <v>650046.59090099996</v>
      </c>
      <c r="I9" s="166">
        <v>720623.17201599991</v>
      </c>
      <c r="J9" s="166">
        <v>278085.86790100002</v>
      </c>
      <c r="K9" s="168">
        <f t="shared" si="0"/>
        <v>1648755.6308179998</v>
      </c>
      <c r="L9" s="42"/>
      <c r="M9" s="42"/>
      <c r="N9" s="42"/>
      <c r="O9" s="42"/>
      <c r="P9" s="42"/>
      <c r="Q9" s="42"/>
    </row>
    <row r="10" spans="1:18" ht="15" customHeight="1">
      <c r="A10" s="439"/>
      <c r="B10" s="452"/>
      <c r="C10" s="154" t="s">
        <v>24</v>
      </c>
      <c r="D10" s="155">
        <v>30.056558553118442</v>
      </c>
      <c r="E10" s="156">
        <v>14.783012414342519</v>
      </c>
      <c r="F10" s="156">
        <v>8.375097333595118</v>
      </c>
      <c r="G10" s="157">
        <f>SUM(D10:F10)</f>
        <v>53.214668301056079</v>
      </c>
      <c r="H10" s="155">
        <v>327.76629830000002</v>
      </c>
      <c r="I10" s="156">
        <v>161.83294750000002</v>
      </c>
      <c r="J10" s="156">
        <v>91.705881700000006</v>
      </c>
      <c r="K10" s="158">
        <f t="shared" si="0"/>
        <v>581.30512750000003</v>
      </c>
      <c r="L10" s="42"/>
      <c r="M10" s="42"/>
      <c r="N10" s="42"/>
      <c r="O10" s="42"/>
      <c r="P10" s="42"/>
      <c r="Q10" s="42"/>
    </row>
    <row r="11" spans="1:18" ht="15" customHeight="1">
      <c r="A11" s="439"/>
      <c r="B11" s="453"/>
      <c r="C11" s="159" t="s">
        <v>25</v>
      </c>
      <c r="D11" s="160">
        <v>59800.538558553111</v>
      </c>
      <c r="E11" s="161">
        <v>66096.829012414339</v>
      </c>
      <c r="F11" s="161">
        <v>25522.451097333596</v>
      </c>
      <c r="G11" s="162">
        <f t="shared" ref="G11" si="2">SUM(D11:F11)</f>
        <v>151419.81866830104</v>
      </c>
      <c r="H11" s="160">
        <v>650374.35719929996</v>
      </c>
      <c r="I11" s="161">
        <v>720785.00496349996</v>
      </c>
      <c r="J11" s="161">
        <v>278177.5737827</v>
      </c>
      <c r="K11" s="163">
        <f t="shared" si="0"/>
        <v>1649336.9359455002</v>
      </c>
      <c r="L11" s="42"/>
      <c r="M11" s="42"/>
      <c r="N11" s="42"/>
      <c r="O11" s="42"/>
      <c r="P11" s="42"/>
      <c r="Q11" s="42"/>
    </row>
    <row r="12" spans="1:18" ht="15" customHeight="1">
      <c r="A12" s="439"/>
      <c r="B12" s="442" t="s">
        <v>51</v>
      </c>
      <c r="C12" s="154" t="s">
        <v>23</v>
      </c>
      <c r="D12" s="155">
        <v>618990.47100000002</v>
      </c>
      <c r="E12" s="156">
        <v>966017.45799999998</v>
      </c>
      <c r="F12" s="156">
        <v>863929.7030000001</v>
      </c>
      <c r="G12" s="157">
        <f>SUM(D12:F12)</f>
        <v>2448937.6320000002</v>
      </c>
      <c r="H12" s="155">
        <v>6766540.0500990003</v>
      </c>
      <c r="I12" s="156">
        <v>10559875.271984</v>
      </c>
      <c r="J12" s="156">
        <v>9439966.8830990009</v>
      </c>
      <c r="K12" s="158">
        <f t="shared" si="0"/>
        <v>26766382.205182001</v>
      </c>
      <c r="L12" s="42"/>
      <c r="M12" s="42"/>
      <c r="N12" s="42"/>
      <c r="O12" s="42"/>
      <c r="P12" s="42"/>
      <c r="Q12" s="42"/>
    </row>
    <row r="13" spans="1:18" ht="15" customHeight="1">
      <c r="A13" s="439"/>
      <c r="B13" s="452"/>
      <c r="C13" s="154" t="s">
        <v>24</v>
      </c>
      <c r="D13" s="155">
        <v>104.8568069427707</v>
      </c>
      <c r="E13" s="156">
        <v>65.766910262401993</v>
      </c>
      <c r="F13" s="156">
        <v>31.068374373198711</v>
      </c>
      <c r="G13" s="157">
        <f>SUM(D13:F13)</f>
        <v>201.69209157837139</v>
      </c>
      <c r="H13" s="155">
        <v>1224.2187736999992</v>
      </c>
      <c r="I13" s="156">
        <v>762.90948350000019</v>
      </c>
      <c r="J13" s="156">
        <v>362.96741029999998</v>
      </c>
      <c r="K13" s="158">
        <f t="shared" si="0"/>
        <v>2350.0956674999998</v>
      </c>
      <c r="L13" s="42"/>
      <c r="M13" s="42"/>
      <c r="N13" s="42"/>
      <c r="O13" s="42"/>
      <c r="P13" s="42"/>
      <c r="Q13" s="42"/>
    </row>
    <row r="14" spans="1:18" ht="15" customHeight="1">
      <c r="A14" s="440"/>
      <c r="B14" s="453"/>
      <c r="C14" s="159" t="s">
        <v>25</v>
      </c>
      <c r="D14" s="160">
        <v>619095.32780694275</v>
      </c>
      <c r="E14" s="161">
        <v>966083.22491026239</v>
      </c>
      <c r="F14" s="161">
        <v>863960.77137437335</v>
      </c>
      <c r="G14" s="162">
        <f t="shared" ref="G14:G51" si="3">SUM(D14:F14)</f>
        <v>2449139.3240915784</v>
      </c>
      <c r="H14" s="160">
        <v>6767764.2688727006</v>
      </c>
      <c r="I14" s="161">
        <v>10560638.1814675</v>
      </c>
      <c r="J14" s="161">
        <v>9440329.8505093008</v>
      </c>
      <c r="K14" s="163">
        <f t="shared" si="0"/>
        <v>26768732.300849501</v>
      </c>
      <c r="L14" s="42"/>
      <c r="M14" s="42"/>
      <c r="N14" s="42"/>
      <c r="O14" s="42"/>
      <c r="P14" s="42"/>
      <c r="Q14" s="42"/>
    </row>
    <row r="15" spans="1:18" ht="15" customHeight="1">
      <c r="A15" s="438" t="s">
        <v>150</v>
      </c>
      <c r="B15" s="454" t="s">
        <v>26</v>
      </c>
      <c r="C15" s="164" t="s">
        <v>201</v>
      </c>
      <c r="D15" s="165">
        <v>62906.489000000001</v>
      </c>
      <c r="E15" s="166">
        <v>25.809000000000001</v>
      </c>
      <c r="F15" s="166">
        <v>235.01400000000001</v>
      </c>
      <c r="G15" s="167">
        <f t="shared" si="3"/>
        <v>63167.312000000005</v>
      </c>
      <c r="H15" s="165">
        <v>676974.33900000004</v>
      </c>
      <c r="I15" s="166">
        <v>281.95600000000002</v>
      </c>
      <c r="J15" s="166">
        <v>2545.069</v>
      </c>
      <c r="K15" s="168">
        <f t="shared" si="0"/>
        <v>679801.36400000006</v>
      </c>
      <c r="L15" s="42"/>
      <c r="M15" s="42"/>
      <c r="N15" s="42"/>
      <c r="O15" s="42"/>
      <c r="P15" s="42"/>
      <c r="Q15" s="42"/>
    </row>
    <row r="16" spans="1:18" ht="15" customHeight="1">
      <c r="A16" s="439"/>
      <c r="B16" s="452"/>
      <c r="C16" s="154" t="s">
        <v>213</v>
      </c>
      <c r="D16" s="155">
        <v>16484.990000000002</v>
      </c>
      <c r="E16" s="156">
        <v>0</v>
      </c>
      <c r="F16" s="156">
        <v>0</v>
      </c>
      <c r="G16" s="157">
        <f>SUM(D16:F16)</f>
        <v>16484.990000000002</v>
      </c>
      <c r="H16" s="155">
        <v>177368.45</v>
      </c>
      <c r="I16" s="156">
        <v>0</v>
      </c>
      <c r="J16" s="156">
        <v>0</v>
      </c>
      <c r="K16" s="158">
        <f t="shared" si="0"/>
        <v>177368.45</v>
      </c>
      <c r="L16" s="42"/>
      <c r="M16" s="42"/>
      <c r="N16" s="42"/>
      <c r="O16" s="42"/>
      <c r="P16" s="42"/>
      <c r="Q16" s="42"/>
    </row>
    <row r="17" spans="1:17" ht="15" customHeight="1">
      <c r="A17" s="439"/>
      <c r="B17" s="452"/>
      <c r="C17" s="154" t="s">
        <v>65</v>
      </c>
      <c r="D17" s="155">
        <v>0</v>
      </c>
      <c r="E17" s="156">
        <v>0</v>
      </c>
      <c r="F17" s="156">
        <v>0</v>
      </c>
      <c r="G17" s="157">
        <f>SUM(D17:F17)</f>
        <v>0</v>
      </c>
      <c r="H17" s="155">
        <v>0</v>
      </c>
      <c r="I17" s="156">
        <v>0</v>
      </c>
      <c r="J17" s="156">
        <v>0</v>
      </c>
      <c r="K17" s="158">
        <f t="shared" si="0"/>
        <v>0</v>
      </c>
      <c r="L17" s="42"/>
      <c r="M17" s="42"/>
      <c r="N17" s="42"/>
      <c r="O17" s="42"/>
      <c r="P17" s="42"/>
      <c r="Q17" s="42"/>
    </row>
    <row r="18" spans="1:17" ht="15" customHeight="1">
      <c r="A18" s="439"/>
      <c r="B18" s="453"/>
      <c r="C18" s="159" t="s">
        <v>25</v>
      </c>
      <c r="D18" s="160">
        <v>79391.479000000007</v>
      </c>
      <c r="E18" s="161">
        <v>25.809000000000001</v>
      </c>
      <c r="F18" s="161">
        <v>235.01400000000001</v>
      </c>
      <c r="G18" s="162">
        <f>SUM(D18:F18)</f>
        <v>79652.301999999996</v>
      </c>
      <c r="H18" s="160">
        <v>854342.78900000011</v>
      </c>
      <c r="I18" s="161">
        <v>281.95600000000002</v>
      </c>
      <c r="J18" s="161">
        <v>2545.069</v>
      </c>
      <c r="K18" s="163">
        <f>SUM(H18:J18)</f>
        <v>857169.81400000013</v>
      </c>
      <c r="L18" s="42"/>
      <c r="M18" s="42"/>
      <c r="N18" s="42"/>
      <c r="O18" s="42"/>
      <c r="P18" s="42"/>
      <c r="Q18" s="42"/>
    </row>
    <row r="19" spans="1:17" ht="15" customHeight="1">
      <c r="A19" s="439"/>
      <c r="B19" s="454" t="s">
        <v>27</v>
      </c>
      <c r="C19" s="164" t="s">
        <v>201</v>
      </c>
      <c r="D19" s="165">
        <v>57406.58</v>
      </c>
      <c r="E19" s="166">
        <v>438987.52100000001</v>
      </c>
      <c r="F19" s="166">
        <v>353127.48200000002</v>
      </c>
      <c r="G19" s="167">
        <f t="shared" si="3"/>
        <v>849521.5830000001</v>
      </c>
      <c r="H19" s="165">
        <v>627679.03175099997</v>
      </c>
      <c r="I19" s="166">
        <v>4796305.0588170001</v>
      </c>
      <c r="J19" s="166">
        <v>3855038.4122620001</v>
      </c>
      <c r="K19" s="168">
        <f t="shared" si="0"/>
        <v>9279022.5028300006</v>
      </c>
      <c r="L19" s="42"/>
      <c r="M19" s="42"/>
      <c r="N19" s="42"/>
      <c r="O19" s="42"/>
      <c r="P19" s="42"/>
      <c r="Q19" s="42"/>
    </row>
    <row r="20" spans="1:17" ht="15" customHeight="1">
      <c r="A20" s="439"/>
      <c r="B20" s="452"/>
      <c r="C20" s="154" t="s">
        <v>213</v>
      </c>
      <c r="D20" s="155">
        <v>14040.843999999999</v>
      </c>
      <c r="E20" s="156">
        <v>117336.20700000001</v>
      </c>
      <c r="F20" s="156">
        <v>88869.006999999983</v>
      </c>
      <c r="G20" s="157">
        <f t="shared" si="3"/>
        <v>220246.05799999999</v>
      </c>
      <c r="H20" s="155">
        <v>153638.07843170001</v>
      </c>
      <c r="I20" s="156">
        <v>1285662.9273518997</v>
      </c>
      <c r="J20" s="156">
        <v>974698.35425800004</v>
      </c>
      <c r="K20" s="158">
        <f t="shared" si="0"/>
        <v>2413999.3600415997</v>
      </c>
      <c r="L20" s="42"/>
      <c r="M20" s="42"/>
      <c r="N20" s="42"/>
      <c r="O20" s="42"/>
      <c r="P20" s="42"/>
      <c r="Q20" s="42"/>
    </row>
    <row r="21" spans="1:17" ht="15" customHeight="1">
      <c r="A21" s="439"/>
      <c r="B21" s="452"/>
      <c r="C21" s="154" t="s">
        <v>65</v>
      </c>
      <c r="D21" s="155">
        <v>31122.383000000002</v>
      </c>
      <c r="E21" s="156">
        <v>56450.088999999993</v>
      </c>
      <c r="F21" s="156">
        <v>116384.23400000003</v>
      </c>
      <c r="G21" s="157">
        <f t="shared" si="3"/>
        <v>203956.70600000001</v>
      </c>
      <c r="H21" s="155">
        <v>340028.68256829999</v>
      </c>
      <c r="I21" s="156">
        <v>618863.20364810037</v>
      </c>
      <c r="J21" s="156">
        <v>1276572.292742</v>
      </c>
      <c r="K21" s="158">
        <f t="shared" si="0"/>
        <v>2235464.1789584002</v>
      </c>
      <c r="L21" s="42"/>
      <c r="M21" s="42"/>
      <c r="N21" s="42"/>
      <c r="O21" s="42"/>
      <c r="P21" s="42"/>
      <c r="Q21" s="42"/>
    </row>
    <row r="22" spans="1:17" ht="15" customHeight="1">
      <c r="A22" s="439"/>
      <c r="B22" s="453"/>
      <c r="C22" s="159" t="s">
        <v>25</v>
      </c>
      <c r="D22" s="160">
        <v>102569.807</v>
      </c>
      <c r="E22" s="161">
        <v>612773.81700000004</v>
      </c>
      <c r="F22" s="161">
        <v>558380.723</v>
      </c>
      <c r="G22" s="162">
        <f t="shared" si="3"/>
        <v>1273724.3470000001</v>
      </c>
      <c r="H22" s="160">
        <v>1121345.792751</v>
      </c>
      <c r="I22" s="161">
        <v>6700831.1898170002</v>
      </c>
      <c r="J22" s="161">
        <v>6106309.059262</v>
      </c>
      <c r="K22" s="163">
        <f t="shared" si="0"/>
        <v>13928486.04183</v>
      </c>
      <c r="L22" s="42"/>
      <c r="M22" s="42"/>
      <c r="N22" s="42"/>
      <c r="O22" s="42"/>
      <c r="P22" s="42"/>
      <c r="Q22" s="42"/>
    </row>
    <row r="23" spans="1:17" ht="15" customHeight="1">
      <c r="A23" s="439"/>
      <c r="B23" s="442" t="s">
        <v>52</v>
      </c>
      <c r="C23" s="154" t="s">
        <v>201</v>
      </c>
      <c r="D23" s="155">
        <v>5499.9089999999997</v>
      </c>
      <c r="E23" s="156">
        <v>-438961.712</v>
      </c>
      <c r="F23" s="156">
        <v>-352892.46799999999</v>
      </c>
      <c r="G23" s="157">
        <f t="shared" si="3"/>
        <v>-786354.27099999995</v>
      </c>
      <c r="H23" s="155">
        <v>49295.307249000063</v>
      </c>
      <c r="I23" s="156">
        <v>-4796023.1028169999</v>
      </c>
      <c r="J23" s="156">
        <v>-3852493.343262</v>
      </c>
      <c r="K23" s="158">
        <f t="shared" si="0"/>
        <v>-8599221.1388299987</v>
      </c>
      <c r="L23" s="42"/>
      <c r="M23" s="42"/>
      <c r="N23" s="42"/>
      <c r="O23" s="42"/>
      <c r="P23" s="42"/>
      <c r="Q23" s="42"/>
    </row>
    <row r="24" spans="1:17" ht="15" customHeight="1">
      <c r="A24" s="439"/>
      <c r="B24" s="452"/>
      <c r="C24" s="154" t="s">
        <v>213</v>
      </c>
      <c r="D24" s="155">
        <v>2444.1460000000025</v>
      </c>
      <c r="E24" s="156">
        <v>-117336.20700000001</v>
      </c>
      <c r="F24" s="156">
        <v>-88869.006999999983</v>
      </c>
      <c r="G24" s="157">
        <f t="shared" si="3"/>
        <v>-203761.06799999997</v>
      </c>
      <c r="H24" s="155">
        <v>23730.371568300005</v>
      </c>
      <c r="I24" s="156">
        <v>-1285662.9273518997</v>
      </c>
      <c r="J24" s="156">
        <v>-974698.35425800004</v>
      </c>
      <c r="K24" s="158">
        <f t="shared" si="0"/>
        <v>-2236630.9100415995</v>
      </c>
      <c r="L24" s="42"/>
      <c r="M24" s="42"/>
      <c r="N24" s="42"/>
      <c r="O24" s="42"/>
      <c r="P24" s="42"/>
      <c r="Q24" s="42"/>
    </row>
    <row r="25" spans="1:17" ht="15" customHeight="1">
      <c r="A25" s="439"/>
      <c r="B25" s="452"/>
      <c r="C25" s="154" t="s">
        <v>65</v>
      </c>
      <c r="D25" s="155">
        <v>-31122.383000000002</v>
      </c>
      <c r="E25" s="156">
        <v>-56450.088999999993</v>
      </c>
      <c r="F25" s="156">
        <v>-116384.23400000003</v>
      </c>
      <c r="G25" s="157">
        <f t="shared" si="3"/>
        <v>-203956.70600000001</v>
      </c>
      <c r="H25" s="155">
        <v>-340028.68256829999</v>
      </c>
      <c r="I25" s="156">
        <v>-618863.20364810037</v>
      </c>
      <c r="J25" s="156">
        <v>-1276572.292742</v>
      </c>
      <c r="K25" s="158">
        <f t="shared" si="0"/>
        <v>-2235464.1789584002</v>
      </c>
      <c r="L25" s="42"/>
      <c r="M25" s="42"/>
      <c r="N25" s="42"/>
      <c r="O25" s="42"/>
      <c r="P25" s="42"/>
      <c r="Q25" s="42"/>
    </row>
    <row r="26" spans="1:17" ht="15" customHeight="1">
      <c r="A26" s="439"/>
      <c r="B26" s="453"/>
      <c r="C26" s="159" t="s">
        <v>25</v>
      </c>
      <c r="D26" s="160">
        <v>-23178.328000000001</v>
      </c>
      <c r="E26" s="161">
        <v>-612748.00800000003</v>
      </c>
      <c r="F26" s="161">
        <v>-558145.70900000003</v>
      </c>
      <c r="G26" s="162">
        <f t="shared" si="3"/>
        <v>-1194072.0449999999</v>
      </c>
      <c r="H26" s="160">
        <v>-267003.00375099992</v>
      </c>
      <c r="I26" s="161">
        <v>-6700549.2338169999</v>
      </c>
      <c r="J26" s="161">
        <v>-6103763.9902619999</v>
      </c>
      <c r="K26" s="163">
        <f t="shared" si="0"/>
        <v>-13071316.22783</v>
      </c>
      <c r="L26" s="42"/>
      <c r="M26" s="42"/>
      <c r="N26" s="42"/>
      <c r="O26" s="42"/>
      <c r="P26" s="42"/>
      <c r="Q26" s="42"/>
    </row>
    <row r="27" spans="1:17" ht="15" customHeight="1">
      <c r="A27" s="440"/>
      <c r="B27" s="437" t="s">
        <v>54</v>
      </c>
      <c r="C27" s="437"/>
      <c r="D27" s="160">
        <v>1717848.78273249</v>
      </c>
      <c r="E27" s="161">
        <v>2328389.1807324905</v>
      </c>
      <c r="F27" s="161">
        <v>2883873.35073249</v>
      </c>
      <c r="G27" s="162">
        <f>F27</f>
        <v>2883873.35073249</v>
      </c>
      <c r="H27" s="160">
        <v>18563056.232966315</v>
      </c>
      <c r="I27" s="161">
        <v>25239418.467075922</v>
      </c>
      <c r="J27" s="161">
        <v>31313903.89488392</v>
      </c>
      <c r="K27" s="163">
        <f>J27</f>
        <v>31313903.89488392</v>
      </c>
      <c r="L27" s="42"/>
      <c r="M27" s="42"/>
      <c r="N27" s="42"/>
      <c r="O27" s="42"/>
      <c r="P27" s="42"/>
      <c r="Q27" s="42"/>
    </row>
    <row r="28" spans="1:17" ht="15" customHeight="1">
      <c r="A28" s="438" t="s">
        <v>50</v>
      </c>
      <c r="B28" s="441" t="s">
        <v>195</v>
      </c>
      <c r="C28" s="164" t="s">
        <v>28</v>
      </c>
      <c r="D28" s="165">
        <v>7062.6289999999999</v>
      </c>
      <c r="E28" s="166">
        <v>8018.9920000000011</v>
      </c>
      <c r="F28" s="166">
        <v>6930.0719999999992</v>
      </c>
      <c r="G28" s="167">
        <f t="shared" si="3"/>
        <v>22011.692999999999</v>
      </c>
      <c r="H28" s="165">
        <v>76719.930446300001</v>
      </c>
      <c r="I28" s="166">
        <v>87508.961273099994</v>
      </c>
      <c r="J28" s="166">
        <v>75737.4342492</v>
      </c>
      <c r="K28" s="168">
        <f t="shared" si="0"/>
        <v>239966.32596859999</v>
      </c>
      <c r="L28" s="42"/>
      <c r="M28" s="42"/>
      <c r="N28" s="42"/>
      <c r="O28" s="42"/>
      <c r="P28" s="42"/>
      <c r="Q28" s="42"/>
    </row>
    <row r="29" spans="1:17" ht="15" customHeight="1">
      <c r="A29" s="439"/>
      <c r="B29" s="442"/>
      <c r="C29" s="154" t="s">
        <v>31</v>
      </c>
      <c r="D29" s="155">
        <v>184.2639999999974</v>
      </c>
      <c r="E29" s="156">
        <v>155.33199999999943</v>
      </c>
      <c r="F29" s="156">
        <v>117.93000000000029</v>
      </c>
      <c r="G29" s="157">
        <f t="shared" si="3"/>
        <v>457.52599999999711</v>
      </c>
      <c r="H29" s="155">
        <v>2087.2753999999841</v>
      </c>
      <c r="I29" s="156">
        <v>1733.7989000000234</v>
      </c>
      <c r="J29" s="156">
        <v>1413.5969999999943</v>
      </c>
      <c r="K29" s="158">
        <f t="shared" si="0"/>
        <v>5234.6713000000018</v>
      </c>
      <c r="L29" s="42"/>
      <c r="M29" s="42"/>
      <c r="N29" s="42"/>
      <c r="O29" s="42"/>
      <c r="P29" s="42"/>
      <c r="Q29" s="42"/>
    </row>
    <row r="30" spans="1:17" ht="15" customHeight="1">
      <c r="A30" s="439"/>
      <c r="B30" s="443"/>
      <c r="C30" s="159" t="s">
        <v>25</v>
      </c>
      <c r="D30" s="160">
        <v>7246.8929999999973</v>
      </c>
      <c r="E30" s="161">
        <v>8174.3240000000005</v>
      </c>
      <c r="F30" s="161">
        <v>7048.0019999999995</v>
      </c>
      <c r="G30" s="162">
        <f t="shared" si="3"/>
        <v>22469.218999999997</v>
      </c>
      <c r="H30" s="160">
        <v>78807.205846299985</v>
      </c>
      <c r="I30" s="161">
        <v>89242.760173100018</v>
      </c>
      <c r="J30" s="161">
        <v>77151.031249199994</v>
      </c>
      <c r="K30" s="163">
        <f t="shared" si="0"/>
        <v>245200.99726859998</v>
      </c>
      <c r="L30" s="42"/>
      <c r="M30" s="42"/>
      <c r="N30" s="42"/>
      <c r="O30" s="42"/>
      <c r="P30" s="42"/>
      <c r="Q30" s="42"/>
    </row>
    <row r="31" spans="1:17" ht="15" customHeight="1">
      <c r="A31" s="439"/>
      <c r="B31" s="442" t="s">
        <v>196</v>
      </c>
      <c r="C31" s="154" t="s">
        <v>28</v>
      </c>
      <c r="D31" s="155">
        <v>841.32999999999993</v>
      </c>
      <c r="E31" s="156">
        <v>774.03700000000003</v>
      </c>
      <c r="F31" s="156">
        <v>708.04600000000005</v>
      </c>
      <c r="G31" s="157">
        <f t="shared" si="3"/>
        <v>2323.413</v>
      </c>
      <c r="H31" s="155">
        <v>8841.1730000000007</v>
      </c>
      <c r="I31" s="156">
        <v>8109.7079999999996</v>
      </c>
      <c r="J31" s="156">
        <v>7435.6605</v>
      </c>
      <c r="K31" s="158">
        <f t="shared" si="0"/>
        <v>24386.541499999999</v>
      </c>
      <c r="L31" s="42"/>
      <c r="M31" s="42"/>
      <c r="N31" s="42"/>
      <c r="O31" s="42"/>
      <c r="P31" s="42"/>
      <c r="Q31" s="42"/>
    </row>
    <row r="32" spans="1:17" ht="15" customHeight="1">
      <c r="A32" s="439"/>
      <c r="B32" s="442"/>
      <c r="C32" s="154" t="s">
        <v>31</v>
      </c>
      <c r="D32" s="155">
        <v>0</v>
      </c>
      <c r="E32" s="156">
        <v>0</v>
      </c>
      <c r="F32" s="156">
        <v>0</v>
      </c>
      <c r="G32" s="157">
        <f t="shared" si="3"/>
        <v>0</v>
      </c>
      <c r="H32" s="155">
        <v>0</v>
      </c>
      <c r="I32" s="156">
        <v>0</v>
      </c>
      <c r="J32" s="156">
        <v>0</v>
      </c>
      <c r="K32" s="158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39"/>
      <c r="B33" s="443"/>
      <c r="C33" s="159" t="s">
        <v>25</v>
      </c>
      <c r="D33" s="160">
        <v>841.32999999999993</v>
      </c>
      <c r="E33" s="161">
        <v>774.03700000000003</v>
      </c>
      <c r="F33" s="161">
        <v>708.04600000000005</v>
      </c>
      <c r="G33" s="162">
        <f t="shared" si="3"/>
        <v>2323.413</v>
      </c>
      <c r="H33" s="160">
        <v>8841.1730000000007</v>
      </c>
      <c r="I33" s="161">
        <v>8109.7079999999996</v>
      </c>
      <c r="J33" s="161">
        <v>7435.6605</v>
      </c>
      <c r="K33" s="163">
        <f t="shared" si="0"/>
        <v>24386.541499999999</v>
      </c>
      <c r="L33" s="42"/>
      <c r="M33" s="42"/>
      <c r="N33" s="42"/>
      <c r="O33" s="42"/>
      <c r="P33" s="42"/>
      <c r="Q33" s="42"/>
    </row>
    <row r="34" spans="1:17" ht="15" customHeight="1">
      <c r="A34" s="439"/>
      <c r="B34" s="442" t="s">
        <v>25</v>
      </c>
      <c r="C34" s="154" t="s">
        <v>28</v>
      </c>
      <c r="D34" s="155">
        <v>7903.9589999999998</v>
      </c>
      <c r="E34" s="156">
        <v>8793.0290000000005</v>
      </c>
      <c r="F34" s="156">
        <v>7638.1179999999995</v>
      </c>
      <c r="G34" s="157">
        <f t="shared" si="3"/>
        <v>24335.106</v>
      </c>
      <c r="H34" s="155">
        <v>85561.103446299996</v>
      </c>
      <c r="I34" s="156">
        <v>95618.669273099993</v>
      </c>
      <c r="J34" s="156">
        <v>83173.094749199998</v>
      </c>
      <c r="K34" s="158">
        <f t="shared" si="0"/>
        <v>264352.86746859999</v>
      </c>
      <c r="L34" s="42"/>
      <c r="M34" s="42"/>
      <c r="N34" s="42"/>
      <c r="O34" s="42"/>
      <c r="P34" s="42"/>
      <c r="Q34" s="42"/>
    </row>
    <row r="35" spans="1:17" ht="15" customHeight="1">
      <c r="A35" s="439"/>
      <c r="B35" s="442"/>
      <c r="C35" s="154" t="s">
        <v>31</v>
      </c>
      <c r="D35" s="155">
        <v>184.2639999999974</v>
      </c>
      <c r="E35" s="156">
        <v>155.33199999999943</v>
      </c>
      <c r="F35" s="156">
        <v>117.93000000000029</v>
      </c>
      <c r="G35" s="157">
        <f t="shared" si="3"/>
        <v>457.52599999999711</v>
      </c>
      <c r="H35" s="155">
        <v>2087.2753999999841</v>
      </c>
      <c r="I35" s="156">
        <v>1733.7989000000234</v>
      </c>
      <c r="J35" s="156">
        <v>1413.5969999999943</v>
      </c>
      <c r="K35" s="158">
        <f t="shared" si="0"/>
        <v>5234.6713000000018</v>
      </c>
      <c r="L35" s="42"/>
      <c r="M35" s="42"/>
      <c r="N35" s="42"/>
      <c r="O35" s="42"/>
      <c r="P35" s="42"/>
      <c r="Q35" s="42"/>
    </row>
    <row r="36" spans="1:17" ht="15" customHeight="1">
      <c r="A36" s="440"/>
      <c r="B36" s="443"/>
      <c r="C36" s="159" t="s">
        <v>25</v>
      </c>
      <c r="D36" s="160">
        <v>8088.2229999999972</v>
      </c>
      <c r="E36" s="161">
        <v>8948.3610000000008</v>
      </c>
      <c r="F36" s="161">
        <v>7756.0479999999998</v>
      </c>
      <c r="G36" s="162">
        <f t="shared" si="3"/>
        <v>24792.631999999998</v>
      </c>
      <c r="H36" s="160">
        <v>87648.37884629998</v>
      </c>
      <c r="I36" s="161">
        <v>97352.468173100016</v>
      </c>
      <c r="J36" s="161">
        <v>84586.691749199992</v>
      </c>
      <c r="K36" s="163">
        <f t="shared" si="0"/>
        <v>269587.53876859997</v>
      </c>
      <c r="L36" s="42"/>
      <c r="M36" s="42"/>
      <c r="N36" s="42"/>
      <c r="O36" s="42"/>
      <c r="P36" s="42"/>
      <c r="Q36" s="42"/>
    </row>
    <row r="37" spans="1:17" ht="15" customHeight="1">
      <c r="A37" s="438" t="s">
        <v>64</v>
      </c>
      <c r="B37" s="441" t="s">
        <v>53</v>
      </c>
      <c r="C37" s="164" t="s">
        <v>67</v>
      </c>
      <c r="D37" s="165">
        <v>585489.398645218</v>
      </c>
      <c r="E37" s="166">
        <v>353565.24206385144</v>
      </c>
      <c r="F37" s="166">
        <v>263376.11502541078</v>
      </c>
      <c r="G37" s="167">
        <f t="shared" si="3"/>
        <v>1202430.7557344802</v>
      </c>
      <c r="H37" s="165">
        <v>6386667.318340959</v>
      </c>
      <c r="I37" s="166">
        <v>3871155.5010569175</v>
      </c>
      <c r="J37" s="166">
        <v>2884648.4786648708</v>
      </c>
      <c r="K37" s="168">
        <f t="shared" si="0"/>
        <v>13142471.298062747</v>
      </c>
      <c r="L37" s="42"/>
      <c r="M37" s="42"/>
      <c r="N37" s="42"/>
      <c r="O37" s="42"/>
      <c r="P37" s="42"/>
      <c r="Q37" s="42"/>
    </row>
    <row r="38" spans="1:17" ht="15" customHeight="1">
      <c r="A38" s="439"/>
      <c r="B38" s="442"/>
      <c r="C38" s="154" t="s">
        <v>29</v>
      </c>
      <c r="D38" s="155">
        <v>5984.2069871392996</v>
      </c>
      <c r="E38" s="156">
        <v>5828.7522921314121</v>
      </c>
      <c r="F38" s="156">
        <v>1419.6496030559679</v>
      </c>
      <c r="G38" s="157">
        <f t="shared" si="3"/>
        <v>13232.60888232668</v>
      </c>
      <c r="H38" s="155">
        <v>65298.217860000063</v>
      </c>
      <c r="I38" s="156">
        <v>63829.007418999914</v>
      </c>
      <c r="J38" s="156">
        <v>15575.838253</v>
      </c>
      <c r="K38" s="158">
        <f t="shared" si="0"/>
        <v>144703.06353199997</v>
      </c>
      <c r="L38" s="42"/>
      <c r="M38" s="42"/>
      <c r="N38" s="42"/>
      <c r="O38" s="42"/>
      <c r="P38" s="42"/>
      <c r="Q38" s="42"/>
    </row>
    <row r="39" spans="1:17" ht="15" customHeight="1">
      <c r="A39" s="439"/>
      <c r="B39" s="443"/>
      <c r="C39" s="159" t="s">
        <v>25</v>
      </c>
      <c r="D39" s="160">
        <v>591473.6056323573</v>
      </c>
      <c r="E39" s="161">
        <v>359393.99435598287</v>
      </c>
      <c r="F39" s="161">
        <v>264795.76462846674</v>
      </c>
      <c r="G39" s="162">
        <f t="shared" si="3"/>
        <v>1215663.3646168069</v>
      </c>
      <c r="H39" s="160">
        <v>6451965.5362009592</v>
      </c>
      <c r="I39" s="161">
        <v>3934984.5084759174</v>
      </c>
      <c r="J39" s="161">
        <v>2900224.3169178707</v>
      </c>
      <c r="K39" s="163">
        <f t="shared" si="0"/>
        <v>13287174.361594748</v>
      </c>
      <c r="L39" s="42"/>
      <c r="M39" s="42"/>
      <c r="N39" s="42"/>
      <c r="O39" s="42"/>
      <c r="P39" s="42"/>
      <c r="Q39" s="42"/>
    </row>
    <row r="40" spans="1:17" ht="15" customHeight="1">
      <c r="A40" s="439"/>
      <c r="B40" s="441" t="s">
        <v>314</v>
      </c>
      <c r="C40" s="164" t="s">
        <v>67</v>
      </c>
      <c r="D40" s="165">
        <v>841.33</v>
      </c>
      <c r="E40" s="166">
        <v>774.03700000000003</v>
      </c>
      <c r="F40" s="166">
        <v>689.30700000000002</v>
      </c>
      <c r="G40" s="167">
        <f t="shared" si="3"/>
        <v>2304.674</v>
      </c>
      <c r="H40" s="165">
        <v>8841.1729999999989</v>
      </c>
      <c r="I40" s="166">
        <v>8109.7079999999996</v>
      </c>
      <c r="J40" s="166">
        <v>7232.3044999999993</v>
      </c>
      <c r="K40" s="168">
        <f t="shared" si="0"/>
        <v>24183.185499999996</v>
      </c>
      <c r="L40" s="42"/>
      <c r="M40" s="42"/>
      <c r="N40" s="42"/>
      <c r="O40" s="42"/>
      <c r="P40" s="42"/>
      <c r="Q40" s="42"/>
    </row>
    <row r="41" spans="1:17" ht="15" customHeight="1">
      <c r="A41" s="439"/>
      <c r="B41" s="442"/>
      <c r="C41" s="154" t="s">
        <v>29</v>
      </c>
      <c r="D41" s="155">
        <v>0</v>
      </c>
      <c r="E41" s="156">
        <v>0</v>
      </c>
      <c r="F41" s="156">
        <v>0</v>
      </c>
      <c r="G41" s="157">
        <f t="shared" si="3"/>
        <v>0</v>
      </c>
      <c r="H41" s="155">
        <v>0</v>
      </c>
      <c r="I41" s="156">
        <v>0</v>
      </c>
      <c r="J41" s="156">
        <v>0</v>
      </c>
      <c r="K41" s="158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39"/>
      <c r="B42" s="443"/>
      <c r="C42" s="159" t="s">
        <v>25</v>
      </c>
      <c r="D42" s="160">
        <v>841.33</v>
      </c>
      <c r="E42" s="161">
        <v>774.03700000000003</v>
      </c>
      <c r="F42" s="161">
        <v>689.30700000000002</v>
      </c>
      <c r="G42" s="162">
        <f t="shared" si="3"/>
        <v>2304.674</v>
      </c>
      <c r="H42" s="160">
        <v>8841.1729999999989</v>
      </c>
      <c r="I42" s="161">
        <v>8109.7079999999996</v>
      </c>
      <c r="J42" s="161">
        <v>7232.3044999999993</v>
      </c>
      <c r="K42" s="163">
        <f t="shared" si="0"/>
        <v>24183.185499999996</v>
      </c>
      <c r="L42" s="42"/>
      <c r="M42" s="42"/>
      <c r="N42" s="42"/>
      <c r="O42" s="42"/>
      <c r="P42" s="42"/>
      <c r="Q42" s="42"/>
    </row>
    <row r="43" spans="1:17" ht="15" customHeight="1">
      <c r="A43" s="439"/>
      <c r="B43" s="444" t="s">
        <v>86</v>
      </c>
      <c r="C43" s="444"/>
      <c r="D43" s="169">
        <v>184.2639999999974</v>
      </c>
      <c r="E43" s="170">
        <v>155.33199999999943</v>
      </c>
      <c r="F43" s="170">
        <v>117.93000000000029</v>
      </c>
      <c r="G43" s="171">
        <f t="shared" si="3"/>
        <v>457.52599999999711</v>
      </c>
      <c r="H43" s="169">
        <v>2087.2753999999841</v>
      </c>
      <c r="I43" s="170">
        <v>1733.7989000000234</v>
      </c>
      <c r="J43" s="170">
        <v>1413.5969999999943</v>
      </c>
      <c r="K43" s="172">
        <f t="shared" si="0"/>
        <v>5234.6713000000018</v>
      </c>
      <c r="L43" s="42"/>
      <c r="M43" s="42"/>
      <c r="N43" s="42"/>
      <c r="O43" s="42"/>
      <c r="P43" s="42"/>
      <c r="Q43" s="42"/>
    </row>
    <row r="44" spans="1:17" ht="15" customHeight="1">
      <c r="A44" s="439"/>
      <c r="B44" s="444" t="s">
        <v>85</v>
      </c>
      <c r="C44" s="444"/>
      <c r="D44" s="169">
        <v>13925.293000000001</v>
      </c>
      <c r="E44" s="170">
        <v>8517.8289999999997</v>
      </c>
      <c r="F44" s="170">
        <v>48348.040999999997</v>
      </c>
      <c r="G44" s="171">
        <f t="shared" si="3"/>
        <v>70791.163</v>
      </c>
      <c r="H44" s="169">
        <v>152148.57876999999</v>
      </c>
      <c r="I44" s="170">
        <v>93403.264549000014</v>
      </c>
      <c r="J44" s="170">
        <v>530120.56655700004</v>
      </c>
      <c r="K44" s="172">
        <f t="shared" si="0"/>
        <v>775672.40987600002</v>
      </c>
      <c r="L44" s="42"/>
      <c r="M44" s="42"/>
      <c r="N44" s="42"/>
      <c r="O44" s="42"/>
      <c r="P44" s="42"/>
      <c r="Q44" s="42"/>
    </row>
    <row r="45" spans="1:17" ht="15" customHeight="1">
      <c r="A45" s="439"/>
      <c r="B45" s="442" t="s">
        <v>30</v>
      </c>
      <c r="C45" s="154" t="s">
        <v>67</v>
      </c>
      <c r="D45" s="155">
        <v>600256.0216452179</v>
      </c>
      <c r="E45" s="156">
        <v>362857.10806385148</v>
      </c>
      <c r="F45" s="156">
        <v>312413.46302541078</v>
      </c>
      <c r="G45" s="157">
        <f t="shared" si="3"/>
        <v>1275526.5927344803</v>
      </c>
      <c r="H45" s="155">
        <v>6547657.070110959</v>
      </c>
      <c r="I45" s="156">
        <v>3972668.4736059178</v>
      </c>
      <c r="J45" s="156">
        <v>3422001.3497218709</v>
      </c>
      <c r="K45" s="158">
        <f t="shared" si="0"/>
        <v>13942326.893438749</v>
      </c>
      <c r="L45" s="42"/>
      <c r="M45" s="42"/>
      <c r="N45" s="42"/>
      <c r="O45" s="42"/>
      <c r="P45" s="42"/>
      <c r="Q45" s="42"/>
    </row>
    <row r="46" spans="1:17" ht="15" customHeight="1">
      <c r="A46" s="439"/>
      <c r="B46" s="442"/>
      <c r="C46" s="154" t="s">
        <v>94</v>
      </c>
      <c r="D46" s="155">
        <v>6211.8862771392969</v>
      </c>
      <c r="E46" s="156">
        <v>5996.9003121314117</v>
      </c>
      <c r="F46" s="156">
        <v>1539.6886030559681</v>
      </c>
      <c r="G46" s="157">
        <f t="shared" si="3"/>
        <v>13748.475192326678</v>
      </c>
      <c r="H46" s="155">
        <v>67858.734327000042</v>
      </c>
      <c r="I46" s="156">
        <v>65703.314756999927</v>
      </c>
      <c r="J46" s="156">
        <v>17012.563173999995</v>
      </c>
      <c r="K46" s="158">
        <f t="shared" si="0"/>
        <v>150574.61225799995</v>
      </c>
      <c r="L46" s="42"/>
      <c r="M46" s="42"/>
      <c r="N46" s="42"/>
      <c r="O46" s="42"/>
      <c r="P46" s="42"/>
      <c r="Q46" s="42"/>
    </row>
    <row r="47" spans="1:17" ht="15" customHeight="1">
      <c r="A47" s="440"/>
      <c r="B47" s="443"/>
      <c r="C47" s="159" t="s">
        <v>25</v>
      </c>
      <c r="D47" s="160">
        <v>606467.9079223572</v>
      </c>
      <c r="E47" s="161">
        <v>368854.00837598287</v>
      </c>
      <c r="F47" s="161">
        <v>313953.15162846673</v>
      </c>
      <c r="G47" s="162">
        <f>SUM(D47:F47)</f>
        <v>1289275.0679268069</v>
      </c>
      <c r="H47" s="160">
        <v>6615515.8044379586</v>
      </c>
      <c r="I47" s="161">
        <v>4038371.7883629175</v>
      </c>
      <c r="J47" s="161">
        <v>3439013.9128958709</v>
      </c>
      <c r="K47" s="163">
        <f t="shared" si="0"/>
        <v>14092901.505696747</v>
      </c>
      <c r="L47" s="42"/>
      <c r="M47" s="42"/>
      <c r="N47" s="42"/>
      <c r="O47" s="42"/>
      <c r="P47" s="42"/>
      <c r="Q47" s="42"/>
    </row>
    <row r="48" spans="1:17" ht="0.95" customHeight="1">
      <c r="A48" s="151"/>
      <c r="B48" s="152"/>
      <c r="C48" s="173"/>
      <c r="D48" s="155"/>
      <c r="E48" s="156"/>
      <c r="F48" s="156"/>
      <c r="G48" s="157"/>
      <c r="H48" s="155"/>
      <c r="I48" s="156"/>
      <c r="J48" s="156"/>
      <c r="K48" s="158"/>
      <c r="L48" s="42"/>
      <c r="M48" s="42"/>
      <c r="N48" s="42"/>
      <c r="O48" s="42"/>
      <c r="P48" s="42"/>
      <c r="Q48" s="42"/>
    </row>
    <row r="49" spans="1:17" ht="0.95" customHeight="1">
      <c r="A49" s="151"/>
      <c r="B49" s="152"/>
      <c r="C49" s="173"/>
      <c r="D49" s="155"/>
      <c r="E49" s="156"/>
      <c r="F49" s="156"/>
      <c r="G49" s="157"/>
      <c r="H49" s="155"/>
      <c r="I49" s="156"/>
      <c r="J49" s="156"/>
      <c r="K49" s="158"/>
      <c r="L49" s="42"/>
      <c r="M49" s="42"/>
      <c r="N49" s="42"/>
      <c r="O49" s="42"/>
      <c r="P49" s="42"/>
      <c r="Q49" s="42"/>
    </row>
    <row r="50" spans="1:17" ht="0.95" customHeight="1">
      <c r="A50" s="151"/>
      <c r="B50" s="152"/>
      <c r="C50" s="173"/>
      <c r="D50" s="155"/>
      <c r="E50" s="156"/>
      <c r="F50" s="156"/>
      <c r="G50" s="157"/>
      <c r="H50" s="155"/>
      <c r="I50" s="156"/>
      <c r="J50" s="156"/>
      <c r="K50" s="158"/>
      <c r="L50" s="42"/>
      <c r="M50" s="42"/>
      <c r="N50" s="42"/>
      <c r="O50" s="42"/>
      <c r="P50" s="42"/>
      <c r="Q50" s="42"/>
    </row>
    <row r="51" spans="1:17" ht="15" customHeight="1">
      <c r="A51" s="437" t="s">
        <v>97</v>
      </c>
      <c r="B51" s="437"/>
      <c r="C51" s="437"/>
      <c r="D51" s="160">
        <v>2462.6851154144388</v>
      </c>
      <c r="E51" s="161">
        <v>6570.4304657205357</v>
      </c>
      <c r="F51" s="161">
        <v>382.04125409340486</v>
      </c>
      <c r="G51" s="162">
        <f t="shared" si="3"/>
        <v>9415.1568352283794</v>
      </c>
      <c r="H51" s="160">
        <v>27106.160469958559</v>
      </c>
      <c r="I51" s="161">
        <v>80930.372539317701</v>
      </c>
      <c r="J51" s="161">
        <v>17861.360899369698</v>
      </c>
      <c r="K51" s="163">
        <f>SUM(H51:J51)</f>
        <v>125897.89390864596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45" t="s">
        <v>317</v>
      </c>
      <c r="B53" s="445"/>
      <c r="C53" s="445"/>
      <c r="D53" s="445"/>
      <c r="E53" s="445"/>
      <c r="F53" s="445"/>
      <c r="G53" s="445"/>
      <c r="H53" s="445"/>
      <c r="I53" s="445"/>
      <c r="J53" s="445"/>
      <c r="K53" s="445"/>
    </row>
    <row r="54" spans="1:17">
      <c r="A54" s="445"/>
      <c r="B54" s="445"/>
      <c r="C54" s="445"/>
      <c r="D54" s="445"/>
      <c r="E54" s="445"/>
      <c r="F54" s="445"/>
      <c r="G54" s="445"/>
      <c r="H54" s="445"/>
      <c r="I54" s="445"/>
      <c r="J54" s="445"/>
      <c r="K54" s="445"/>
    </row>
    <row r="55" spans="1:17">
      <c r="A55" s="445"/>
      <c r="B55" s="445"/>
      <c r="C55" s="445"/>
      <c r="D55" s="445"/>
      <c r="E55" s="445"/>
      <c r="F55" s="445"/>
      <c r="G55" s="445"/>
      <c r="H55" s="445"/>
      <c r="I55" s="445"/>
      <c r="J55" s="445"/>
      <c r="K55" s="445"/>
    </row>
    <row r="56" spans="1:17">
      <c r="A56" s="445"/>
      <c r="B56" s="445"/>
      <c r="C56" s="445"/>
      <c r="D56" s="445"/>
      <c r="E56" s="445"/>
      <c r="F56" s="445"/>
      <c r="G56" s="445"/>
      <c r="H56" s="445"/>
      <c r="I56" s="445"/>
      <c r="J56" s="445"/>
      <c r="K56" s="445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60" t="s">
        <v>293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1:23" ht="6" customHeight="1">
      <c r="A2" s="175"/>
      <c r="B2" s="458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</row>
    <row r="3" spans="1:23" ht="15.95" customHeight="1">
      <c r="A3" s="205">
        <f>'3.1'!A4</f>
        <v>2023</v>
      </c>
      <c r="B3" s="466" t="s">
        <v>260</v>
      </c>
      <c r="C3" s="467"/>
      <c r="D3" s="467"/>
      <c r="E3" s="467"/>
      <c r="F3" s="467"/>
      <c r="G3" s="467"/>
      <c r="H3" s="467"/>
      <c r="I3" s="467"/>
      <c r="J3" s="468"/>
      <c r="K3" s="467" t="s">
        <v>218</v>
      </c>
      <c r="L3" s="467"/>
      <c r="M3" s="467"/>
      <c r="N3" s="467"/>
      <c r="O3" s="467"/>
      <c r="P3" s="467"/>
      <c r="Q3" s="467"/>
      <c r="R3" s="467"/>
      <c r="S3" s="467"/>
    </row>
    <row r="4" spans="1:23" ht="34.5" customHeight="1">
      <c r="A4" s="191"/>
      <c r="B4" s="455" t="s">
        <v>192</v>
      </c>
      <c r="C4" s="456"/>
      <c r="D4" s="456"/>
      <c r="E4" s="455" t="s">
        <v>193</v>
      </c>
      <c r="F4" s="456"/>
      <c r="G4" s="461"/>
      <c r="H4" s="462" t="s">
        <v>247</v>
      </c>
      <c r="I4" s="462" t="s">
        <v>189</v>
      </c>
      <c r="J4" s="464" t="s">
        <v>64</v>
      </c>
      <c r="K4" s="455" t="s">
        <v>192</v>
      </c>
      <c r="L4" s="456"/>
      <c r="M4" s="456"/>
      <c r="N4" s="455" t="s">
        <v>193</v>
      </c>
      <c r="O4" s="456"/>
      <c r="P4" s="461"/>
      <c r="Q4" s="462" t="s">
        <v>247</v>
      </c>
      <c r="R4" s="462" t="s">
        <v>189</v>
      </c>
      <c r="S4" s="462" t="s">
        <v>64</v>
      </c>
    </row>
    <row r="5" spans="1:23" ht="33.75">
      <c r="A5" s="192"/>
      <c r="B5" s="193" t="s">
        <v>21</v>
      </c>
      <c r="C5" s="194" t="s">
        <v>22</v>
      </c>
      <c r="D5" s="194" t="s">
        <v>191</v>
      </c>
      <c r="E5" s="193" t="s">
        <v>26</v>
      </c>
      <c r="F5" s="194" t="s">
        <v>27</v>
      </c>
      <c r="G5" s="195" t="s">
        <v>190</v>
      </c>
      <c r="H5" s="463"/>
      <c r="I5" s="463"/>
      <c r="J5" s="465"/>
      <c r="K5" s="194" t="s">
        <v>21</v>
      </c>
      <c r="L5" s="194" t="s">
        <v>22</v>
      </c>
      <c r="M5" s="194" t="s">
        <v>191</v>
      </c>
      <c r="N5" s="193" t="s">
        <v>26</v>
      </c>
      <c r="O5" s="194" t="s">
        <v>27</v>
      </c>
      <c r="P5" s="195" t="s">
        <v>190</v>
      </c>
      <c r="Q5" s="463"/>
      <c r="R5" s="463"/>
      <c r="S5" s="463"/>
    </row>
    <row r="6" spans="1:23" ht="12" customHeight="1">
      <c r="A6" s="176" t="s">
        <v>160</v>
      </c>
      <c r="B6" s="183">
        <v>611.86680951218455</v>
      </c>
      <c r="C6" s="177">
        <v>171.69380494119213</v>
      </c>
      <c r="D6" s="178">
        <v>440.17300457099242</v>
      </c>
      <c r="E6" s="189">
        <v>484.49456099999998</v>
      </c>
      <c r="F6" s="178">
        <v>50.764979000000004</v>
      </c>
      <c r="G6" s="185">
        <v>433.72958199999999</v>
      </c>
      <c r="H6" s="178">
        <v>11.429833030000001</v>
      </c>
      <c r="I6" s="178">
        <v>6.4471909485906362</v>
      </c>
      <c r="J6" s="185">
        <v>891.77961054958303</v>
      </c>
      <c r="K6" s="177">
        <v>6703.0347359069992</v>
      </c>
      <c r="L6" s="177">
        <v>1877.7108948210991</v>
      </c>
      <c r="M6" s="178">
        <v>4825.3238410859003</v>
      </c>
      <c r="N6" s="189">
        <v>5235.5694960000001</v>
      </c>
      <c r="O6" s="178">
        <v>556.08799066200004</v>
      </c>
      <c r="P6" s="185">
        <v>4679.4815053379998</v>
      </c>
      <c r="Q6" s="178">
        <v>124.53157613861373</v>
      </c>
      <c r="R6" s="178">
        <v>85.226372987484552</v>
      </c>
      <c r="S6" s="178">
        <v>9714.5632955500005</v>
      </c>
      <c r="T6" s="56"/>
      <c r="U6" s="57"/>
      <c r="V6" s="57"/>
      <c r="W6" s="57"/>
    </row>
    <row r="7" spans="1:23" ht="12" customHeight="1">
      <c r="A7" s="176" t="s">
        <v>161</v>
      </c>
      <c r="B7" s="183">
        <v>541.66979960431695</v>
      </c>
      <c r="C7" s="178">
        <v>191.63640082004457</v>
      </c>
      <c r="D7" s="178">
        <v>350.03339878427238</v>
      </c>
      <c r="E7" s="189">
        <v>502.731177</v>
      </c>
      <c r="F7" s="178">
        <v>0.45966299999999999</v>
      </c>
      <c r="G7" s="185">
        <v>502.27151400000002</v>
      </c>
      <c r="H7" s="178">
        <v>9.5859170000000002</v>
      </c>
      <c r="I7" s="178">
        <v>-1.1235212093694136</v>
      </c>
      <c r="J7" s="185">
        <v>860.76730857490304</v>
      </c>
      <c r="K7" s="177">
        <v>5941.867697744</v>
      </c>
      <c r="L7" s="178">
        <v>2104.3301660154002</v>
      </c>
      <c r="M7" s="178">
        <v>3837.5375317285998</v>
      </c>
      <c r="N7" s="189">
        <v>5409.0646379999998</v>
      </c>
      <c r="O7" s="178">
        <v>4.9343472260000008</v>
      </c>
      <c r="P7" s="185">
        <v>5404.1302907740001</v>
      </c>
      <c r="Q7" s="178">
        <v>104.29196078706303</v>
      </c>
      <c r="R7" s="178">
        <v>-4.5704322936646644</v>
      </c>
      <c r="S7" s="178">
        <v>9341.389350995998</v>
      </c>
      <c r="T7" s="58"/>
      <c r="U7" s="57"/>
      <c r="V7" s="57"/>
      <c r="W7" s="57"/>
    </row>
    <row r="8" spans="1:23" ht="12" customHeight="1">
      <c r="A8" s="179" t="s">
        <v>162</v>
      </c>
      <c r="B8" s="184">
        <v>558.67411079116368</v>
      </c>
      <c r="C8" s="181">
        <v>85.842169319862464</v>
      </c>
      <c r="D8" s="181">
        <v>472.83194147130121</v>
      </c>
      <c r="E8" s="190">
        <v>315.244956</v>
      </c>
      <c r="F8" s="181">
        <v>29.267647000000004</v>
      </c>
      <c r="G8" s="186">
        <v>285.97730899999999</v>
      </c>
      <c r="H8" s="181">
        <v>10.388249999999998</v>
      </c>
      <c r="I8" s="181">
        <v>7.0540718943811948E-2</v>
      </c>
      <c r="J8" s="186">
        <v>769.26804119024496</v>
      </c>
      <c r="K8" s="180">
        <v>6090.274693938999</v>
      </c>
      <c r="L8" s="181">
        <v>938.80963298649999</v>
      </c>
      <c r="M8" s="181">
        <v>5151.4650609524988</v>
      </c>
      <c r="N8" s="190">
        <v>3382.9934250000001</v>
      </c>
      <c r="O8" s="181">
        <v>319.51087461499998</v>
      </c>
      <c r="P8" s="186">
        <v>3063.4825503850002</v>
      </c>
      <c r="Q8" s="181">
        <v>113.01811002280003</v>
      </c>
      <c r="R8" s="181">
        <v>12.053693321652711</v>
      </c>
      <c r="S8" s="181">
        <v>8340.019414681954</v>
      </c>
      <c r="T8" s="59"/>
      <c r="U8" s="57"/>
      <c r="V8" s="57"/>
      <c r="W8" s="57"/>
    </row>
    <row r="9" spans="1:23" ht="12" customHeight="1">
      <c r="A9" s="176" t="s">
        <v>163</v>
      </c>
      <c r="B9" s="183">
        <v>678.89586636549586</v>
      </c>
      <c r="C9" s="178">
        <v>59.800538558553114</v>
      </c>
      <c r="D9" s="178">
        <v>619.09532780694281</v>
      </c>
      <c r="E9" s="189">
        <v>79.391479000000004</v>
      </c>
      <c r="F9" s="178">
        <v>102.569807</v>
      </c>
      <c r="G9" s="185">
        <v>-23.178327999999993</v>
      </c>
      <c r="H9" s="178">
        <v>8.0882229999999975</v>
      </c>
      <c r="I9" s="178">
        <v>2.4626851154144389</v>
      </c>
      <c r="J9" s="185">
        <v>606.4679079223572</v>
      </c>
      <c r="K9" s="177">
        <v>7418.138626072001</v>
      </c>
      <c r="L9" s="178">
        <v>650.37435719929999</v>
      </c>
      <c r="M9" s="178">
        <v>6767.764268872701</v>
      </c>
      <c r="N9" s="189">
        <v>854.34278900000015</v>
      </c>
      <c r="O9" s="178">
        <v>1121.3457927510001</v>
      </c>
      <c r="P9" s="185">
        <v>-267.00300375099994</v>
      </c>
      <c r="Q9" s="178">
        <v>87.648378846299977</v>
      </c>
      <c r="R9" s="178">
        <v>27.10616046995856</v>
      </c>
      <c r="S9" s="178">
        <v>6615.5158044379586</v>
      </c>
      <c r="T9" s="58"/>
      <c r="U9" s="57"/>
      <c r="V9" s="57"/>
      <c r="W9" s="57"/>
    </row>
    <row r="10" spans="1:23" ht="12" customHeight="1">
      <c r="A10" s="176" t="s">
        <v>164</v>
      </c>
      <c r="B10" s="183">
        <v>1032.1800539226767</v>
      </c>
      <c r="C10" s="178">
        <v>66.096829012414332</v>
      </c>
      <c r="D10" s="178">
        <v>966.0832249102624</v>
      </c>
      <c r="E10" s="189">
        <v>2.5809000000000002E-2</v>
      </c>
      <c r="F10" s="178">
        <v>612.77381700000001</v>
      </c>
      <c r="G10" s="185">
        <v>-612.74800800000003</v>
      </c>
      <c r="H10" s="178">
        <v>8.9483610000000002</v>
      </c>
      <c r="I10" s="178">
        <v>6.5704304657205359</v>
      </c>
      <c r="J10" s="185">
        <v>368.85400837598286</v>
      </c>
      <c r="K10" s="177">
        <v>11281.423186431</v>
      </c>
      <c r="L10" s="178">
        <v>720.7850049635</v>
      </c>
      <c r="M10" s="178">
        <v>10560.638181467501</v>
      </c>
      <c r="N10" s="189">
        <v>0.28195600000000004</v>
      </c>
      <c r="O10" s="178">
        <v>6700.8311898170004</v>
      </c>
      <c r="P10" s="185">
        <v>-6700.5492338170006</v>
      </c>
      <c r="Q10" s="178">
        <v>97.352468173100021</v>
      </c>
      <c r="R10" s="178">
        <v>80.930372539317702</v>
      </c>
      <c r="S10" s="178">
        <v>4038.3717883629174</v>
      </c>
      <c r="T10" s="58"/>
      <c r="U10" s="57"/>
      <c r="V10" s="57"/>
      <c r="W10" s="57"/>
    </row>
    <row r="11" spans="1:23" ht="12" customHeight="1">
      <c r="A11" s="179" t="s">
        <v>165</v>
      </c>
      <c r="B11" s="184">
        <v>889.48322247170688</v>
      </c>
      <c r="C11" s="181">
        <v>25.522451097333597</v>
      </c>
      <c r="D11" s="181">
        <v>863.96077137437328</v>
      </c>
      <c r="E11" s="190">
        <v>0.235014</v>
      </c>
      <c r="F11" s="181">
        <v>558.38072299999999</v>
      </c>
      <c r="G11" s="186">
        <v>-558.14570900000001</v>
      </c>
      <c r="H11" s="181">
        <v>7.7560479999999998</v>
      </c>
      <c r="I11" s="181">
        <v>0.38204125409340484</v>
      </c>
      <c r="J11" s="186">
        <v>313.95315162846674</v>
      </c>
      <c r="K11" s="180">
        <v>9718.507424292</v>
      </c>
      <c r="L11" s="181">
        <v>278.17757378269999</v>
      </c>
      <c r="M11" s="181">
        <v>9440.3298505093007</v>
      </c>
      <c r="N11" s="190">
        <v>2.5450689999999998</v>
      </c>
      <c r="O11" s="181">
        <v>6106.3090592620001</v>
      </c>
      <c r="P11" s="186">
        <v>-6103.7639902620003</v>
      </c>
      <c r="Q11" s="181">
        <v>84.586691749199986</v>
      </c>
      <c r="R11" s="181">
        <v>17.861360899369696</v>
      </c>
      <c r="S11" s="181">
        <v>3439.0139128958708</v>
      </c>
      <c r="T11" s="58"/>
      <c r="U11" s="57"/>
      <c r="V11" s="57"/>
      <c r="W11" s="57"/>
    </row>
    <row r="12" spans="1:23" ht="12" customHeight="1">
      <c r="A12" s="176" t="s">
        <v>166</v>
      </c>
      <c r="B12" s="183"/>
      <c r="C12" s="178"/>
      <c r="D12" s="178"/>
      <c r="E12" s="189"/>
      <c r="F12" s="178"/>
      <c r="G12" s="185"/>
      <c r="H12" s="178"/>
      <c r="I12" s="178"/>
      <c r="J12" s="185"/>
      <c r="K12" s="177"/>
      <c r="L12" s="178"/>
      <c r="M12" s="178"/>
      <c r="N12" s="189"/>
      <c r="O12" s="178"/>
      <c r="P12" s="185"/>
      <c r="Q12" s="178"/>
      <c r="R12" s="178"/>
      <c r="S12" s="178"/>
      <c r="T12" s="58"/>
      <c r="U12" s="57"/>
      <c r="V12" s="57"/>
      <c r="W12" s="57"/>
    </row>
    <row r="13" spans="1:23" ht="12" customHeight="1">
      <c r="A13" s="176" t="s">
        <v>167</v>
      </c>
      <c r="B13" s="183"/>
      <c r="C13" s="178"/>
      <c r="D13" s="178"/>
      <c r="E13" s="189"/>
      <c r="F13" s="178"/>
      <c r="G13" s="185"/>
      <c r="H13" s="178"/>
      <c r="I13" s="178"/>
      <c r="J13" s="185"/>
      <c r="K13" s="177"/>
      <c r="L13" s="178"/>
      <c r="M13" s="178"/>
      <c r="N13" s="189"/>
      <c r="O13" s="178"/>
      <c r="P13" s="185"/>
      <c r="Q13" s="178"/>
      <c r="R13" s="178"/>
      <c r="S13" s="178"/>
      <c r="T13" s="58"/>
      <c r="U13" s="57"/>
      <c r="V13" s="57"/>
      <c r="W13" s="57"/>
    </row>
    <row r="14" spans="1:23" ht="12" customHeight="1">
      <c r="A14" s="179" t="s">
        <v>168</v>
      </c>
      <c r="B14" s="184"/>
      <c r="C14" s="181"/>
      <c r="D14" s="181"/>
      <c r="E14" s="190"/>
      <c r="F14" s="181"/>
      <c r="G14" s="186"/>
      <c r="H14" s="181"/>
      <c r="I14" s="181"/>
      <c r="J14" s="186"/>
      <c r="K14" s="180"/>
      <c r="L14" s="181"/>
      <c r="M14" s="181"/>
      <c r="N14" s="190"/>
      <c r="O14" s="181"/>
      <c r="P14" s="186"/>
      <c r="Q14" s="181"/>
      <c r="R14" s="181"/>
      <c r="S14" s="181"/>
      <c r="T14" s="58"/>
      <c r="U14" s="57"/>
      <c r="V14" s="57"/>
      <c r="W14" s="57"/>
    </row>
    <row r="15" spans="1:23" ht="12" customHeight="1">
      <c r="A15" s="176" t="s">
        <v>169</v>
      </c>
      <c r="B15" s="183"/>
      <c r="C15" s="178"/>
      <c r="D15" s="178"/>
      <c r="E15" s="189"/>
      <c r="F15" s="178"/>
      <c r="G15" s="185"/>
      <c r="H15" s="178"/>
      <c r="I15" s="178"/>
      <c r="J15" s="185"/>
      <c r="K15" s="177"/>
      <c r="L15" s="178"/>
      <c r="M15" s="178"/>
      <c r="N15" s="189"/>
      <c r="O15" s="178"/>
      <c r="P15" s="185"/>
      <c r="Q15" s="178"/>
      <c r="R15" s="178"/>
      <c r="S15" s="178"/>
      <c r="T15" s="58"/>
      <c r="U15" s="57"/>
      <c r="V15" s="57"/>
      <c r="W15" s="57"/>
    </row>
    <row r="16" spans="1:23" ht="12" customHeight="1">
      <c r="A16" s="176" t="s">
        <v>170</v>
      </c>
      <c r="B16" s="183"/>
      <c r="C16" s="178"/>
      <c r="D16" s="178"/>
      <c r="E16" s="189"/>
      <c r="F16" s="178"/>
      <c r="G16" s="185"/>
      <c r="H16" s="178"/>
      <c r="I16" s="178"/>
      <c r="J16" s="185"/>
      <c r="K16" s="177"/>
      <c r="L16" s="178"/>
      <c r="M16" s="178"/>
      <c r="N16" s="189"/>
      <c r="O16" s="178"/>
      <c r="P16" s="185"/>
      <c r="Q16" s="178"/>
      <c r="R16" s="178"/>
      <c r="S16" s="178"/>
      <c r="T16" s="58"/>
      <c r="U16" s="57"/>
      <c r="V16" s="57"/>
      <c r="W16" s="57"/>
    </row>
    <row r="17" spans="1:23" ht="12" customHeight="1">
      <c r="A17" s="179" t="s">
        <v>171</v>
      </c>
      <c r="B17" s="184"/>
      <c r="C17" s="181"/>
      <c r="D17" s="181"/>
      <c r="E17" s="190"/>
      <c r="F17" s="181"/>
      <c r="G17" s="186"/>
      <c r="H17" s="181"/>
      <c r="I17" s="181"/>
      <c r="J17" s="186"/>
      <c r="K17" s="180"/>
      <c r="L17" s="181"/>
      <c r="M17" s="181"/>
      <c r="N17" s="190"/>
      <c r="O17" s="181"/>
      <c r="P17" s="186"/>
      <c r="Q17" s="181"/>
      <c r="R17" s="181"/>
      <c r="S17" s="181"/>
      <c r="T17" s="58"/>
      <c r="U17" s="57"/>
      <c r="V17" s="57"/>
      <c r="W17" s="57"/>
    </row>
    <row r="18" spans="1:23" ht="12" customHeight="1">
      <c r="A18" s="176" t="s">
        <v>48</v>
      </c>
      <c r="B18" s="183">
        <f>SUM(B6:B8)</f>
        <v>1712.2107199076652</v>
      </c>
      <c r="C18" s="177">
        <f>SUM(C6:C8)</f>
        <v>449.17237508109918</v>
      </c>
      <c r="D18" s="177">
        <f>SUM(D6:D8)</f>
        <v>1263.0383448265661</v>
      </c>
      <c r="E18" s="183">
        <f t="shared" ref="E18:J18" si="0">SUM(E6:E8)</f>
        <v>1302.4706940000001</v>
      </c>
      <c r="F18" s="177">
        <f t="shared" si="0"/>
        <v>80.492289</v>
      </c>
      <c r="G18" s="187">
        <f>SUM(G6:G8)</f>
        <v>1221.9784049999998</v>
      </c>
      <c r="H18" s="177">
        <f t="shared" si="0"/>
        <v>31.404000029999999</v>
      </c>
      <c r="I18" s="177">
        <f t="shared" si="0"/>
        <v>5.394210458165035</v>
      </c>
      <c r="J18" s="187">
        <f t="shared" si="0"/>
        <v>2521.8149603147313</v>
      </c>
      <c r="K18" s="177">
        <f>SUM(K6:K8)</f>
        <v>18735.177127589999</v>
      </c>
      <c r="L18" s="177">
        <f>SUM(L6:L8)</f>
        <v>4920.8506938229993</v>
      </c>
      <c r="M18" s="177">
        <f t="shared" ref="M18:S18" si="1">SUM(M6:M8)</f>
        <v>13814.326433766997</v>
      </c>
      <c r="N18" s="183">
        <f t="shared" si="1"/>
        <v>14027.627559</v>
      </c>
      <c r="O18" s="177">
        <f t="shared" si="1"/>
        <v>880.53321250299996</v>
      </c>
      <c r="P18" s="187">
        <f t="shared" si="1"/>
        <v>13147.094346497001</v>
      </c>
      <c r="Q18" s="177">
        <f t="shared" si="1"/>
        <v>341.84164694847681</v>
      </c>
      <c r="R18" s="177">
        <f>SUM(R6:R8)</f>
        <v>92.709634015472602</v>
      </c>
      <c r="S18" s="177">
        <f t="shared" si="1"/>
        <v>27395.972061227956</v>
      </c>
    </row>
    <row r="19" spans="1:23" ht="12" customHeight="1">
      <c r="A19" s="176" t="s">
        <v>56</v>
      </c>
      <c r="B19" s="183">
        <f>SUM(B9:B11)</f>
        <v>2600.5591427598797</v>
      </c>
      <c r="C19" s="177">
        <f>SUM(C9:C11)</f>
        <v>151.41981866830105</v>
      </c>
      <c r="D19" s="177">
        <f t="shared" ref="D19:J19" si="2">SUM(D9:D11)</f>
        <v>2449.1393240915786</v>
      </c>
      <c r="E19" s="183">
        <f t="shared" si="2"/>
        <v>79.652302000000006</v>
      </c>
      <c r="F19" s="177">
        <f t="shared" si="2"/>
        <v>1273.7243469999999</v>
      </c>
      <c r="G19" s="187">
        <f t="shared" si="2"/>
        <v>-1194.0720449999999</v>
      </c>
      <c r="H19" s="177">
        <f t="shared" si="2"/>
        <v>24.792631999999998</v>
      </c>
      <c r="I19" s="177">
        <f t="shared" si="2"/>
        <v>9.4151568352283803</v>
      </c>
      <c r="J19" s="187">
        <f t="shared" si="2"/>
        <v>1289.2750679268067</v>
      </c>
      <c r="K19" s="177">
        <f>SUM(K9:K11)</f>
        <v>28418.069236795003</v>
      </c>
      <c r="L19" s="177">
        <f t="shared" ref="L19:S19" si="3">SUM(L9:L11)</f>
        <v>1649.3369359454998</v>
      </c>
      <c r="M19" s="177">
        <f t="shared" si="3"/>
        <v>26768.732300849504</v>
      </c>
      <c r="N19" s="183">
        <f t="shared" si="3"/>
        <v>857.1698140000002</v>
      </c>
      <c r="O19" s="177">
        <f>SUM(O9:O11)</f>
        <v>13928.486041830001</v>
      </c>
      <c r="P19" s="187">
        <f t="shared" si="3"/>
        <v>-13071.316227830001</v>
      </c>
      <c r="Q19" s="177">
        <f t="shared" si="3"/>
        <v>269.58753876859998</v>
      </c>
      <c r="R19" s="177">
        <f t="shared" si="3"/>
        <v>125.89789390864597</v>
      </c>
      <c r="S19" s="177">
        <f t="shared" si="3"/>
        <v>14092.901505696747</v>
      </c>
    </row>
    <row r="20" spans="1:23" ht="12" customHeight="1">
      <c r="A20" s="176" t="s">
        <v>63</v>
      </c>
      <c r="B20" s="386">
        <f>SUM(B12:B14)</f>
        <v>0</v>
      </c>
      <c r="C20" s="387">
        <f>SUM(C12:C14)</f>
        <v>0</v>
      </c>
      <c r="D20" s="387">
        <f t="shared" ref="D20:J20" si="4">SUM(D12:D14)</f>
        <v>0</v>
      </c>
      <c r="E20" s="386">
        <f t="shared" si="4"/>
        <v>0</v>
      </c>
      <c r="F20" s="387">
        <f t="shared" si="4"/>
        <v>0</v>
      </c>
      <c r="G20" s="388">
        <f t="shared" si="4"/>
        <v>0</v>
      </c>
      <c r="H20" s="387">
        <f t="shared" si="4"/>
        <v>0</v>
      </c>
      <c r="I20" s="387">
        <f>SUM(I12:I14)</f>
        <v>0</v>
      </c>
      <c r="J20" s="388">
        <f t="shared" si="4"/>
        <v>0</v>
      </c>
      <c r="K20" s="387">
        <f>SUM(K12:K14)</f>
        <v>0</v>
      </c>
      <c r="L20" s="387">
        <f t="shared" ref="L20:S20" si="5">SUM(L12:L14)</f>
        <v>0</v>
      </c>
      <c r="M20" s="387">
        <f t="shared" si="5"/>
        <v>0</v>
      </c>
      <c r="N20" s="386">
        <f t="shared" si="5"/>
        <v>0</v>
      </c>
      <c r="O20" s="387">
        <f t="shared" si="5"/>
        <v>0</v>
      </c>
      <c r="P20" s="388">
        <f t="shared" si="5"/>
        <v>0</v>
      </c>
      <c r="Q20" s="387">
        <f t="shared" si="5"/>
        <v>0</v>
      </c>
      <c r="R20" s="387">
        <f t="shared" si="5"/>
        <v>0</v>
      </c>
      <c r="S20" s="387">
        <f t="shared" si="5"/>
        <v>0</v>
      </c>
    </row>
    <row r="21" spans="1:23" ht="12" customHeight="1">
      <c r="A21" s="179" t="s">
        <v>57</v>
      </c>
      <c r="B21" s="389">
        <f>SUM(B15:B17)</f>
        <v>0</v>
      </c>
      <c r="C21" s="390">
        <f>SUM(C15:C17)</f>
        <v>0</v>
      </c>
      <c r="D21" s="390">
        <f t="shared" ref="D21:J21" si="6">SUM(D15:D17)</f>
        <v>0</v>
      </c>
      <c r="E21" s="389">
        <f t="shared" si="6"/>
        <v>0</v>
      </c>
      <c r="F21" s="390">
        <f t="shared" si="6"/>
        <v>0</v>
      </c>
      <c r="G21" s="391">
        <f t="shared" si="6"/>
        <v>0</v>
      </c>
      <c r="H21" s="390">
        <f t="shared" si="6"/>
        <v>0</v>
      </c>
      <c r="I21" s="390">
        <f t="shared" si="6"/>
        <v>0</v>
      </c>
      <c r="J21" s="391">
        <f t="shared" si="6"/>
        <v>0</v>
      </c>
      <c r="K21" s="390">
        <f>SUM(K15:K17)</f>
        <v>0</v>
      </c>
      <c r="L21" s="390">
        <f t="shared" ref="L21:R21" si="7">SUM(L15:L17)</f>
        <v>0</v>
      </c>
      <c r="M21" s="390">
        <f t="shared" si="7"/>
        <v>0</v>
      </c>
      <c r="N21" s="389">
        <f t="shared" si="7"/>
        <v>0</v>
      </c>
      <c r="O21" s="390">
        <f t="shared" si="7"/>
        <v>0</v>
      </c>
      <c r="P21" s="391">
        <f t="shared" si="7"/>
        <v>0</v>
      </c>
      <c r="Q21" s="390">
        <f t="shared" si="7"/>
        <v>0</v>
      </c>
      <c r="R21" s="390">
        <f t="shared" si="7"/>
        <v>0</v>
      </c>
      <c r="S21" s="390">
        <f>SUM(S15:S17)</f>
        <v>0</v>
      </c>
    </row>
    <row r="22" spans="1:23" ht="12" customHeight="1">
      <c r="A22" s="176" t="s">
        <v>58</v>
      </c>
      <c r="B22" s="183">
        <f>SUM(B6:B11)</f>
        <v>4312.7698626675447</v>
      </c>
      <c r="C22" s="177">
        <f>SUM(C6:C11)</f>
        <v>600.59219374940028</v>
      </c>
      <c r="D22" s="177">
        <f t="shared" ref="D22:J22" si="8">SUM(D6:D11)</f>
        <v>3712.1776689181443</v>
      </c>
      <c r="E22" s="183">
        <f t="shared" si="8"/>
        <v>1382.1229960000001</v>
      </c>
      <c r="F22" s="177">
        <f t="shared" si="8"/>
        <v>1354.2166360000001</v>
      </c>
      <c r="G22" s="187">
        <f t="shared" si="8"/>
        <v>27.906359999999836</v>
      </c>
      <c r="H22" s="177">
        <f t="shared" si="8"/>
        <v>56.196632029999996</v>
      </c>
      <c r="I22" s="177">
        <f t="shared" si="8"/>
        <v>14.809367293393414</v>
      </c>
      <c r="J22" s="187">
        <f t="shared" si="8"/>
        <v>3811.0900282415378</v>
      </c>
      <c r="K22" s="177">
        <f>SUM(K6:K11)</f>
        <v>47153.246364384999</v>
      </c>
      <c r="L22" s="177">
        <f t="shared" ref="L22:S22" si="9">SUM(L6:L11)</f>
        <v>6570.1876297684994</v>
      </c>
      <c r="M22" s="177">
        <f t="shared" si="9"/>
        <v>40583.058734616498</v>
      </c>
      <c r="N22" s="183">
        <f t="shared" si="9"/>
        <v>14884.797373000001</v>
      </c>
      <c r="O22" s="177">
        <f t="shared" si="9"/>
        <v>14809.019254333001</v>
      </c>
      <c r="P22" s="187">
        <f t="shared" si="9"/>
        <v>75.778118666999035</v>
      </c>
      <c r="Q22" s="177">
        <f t="shared" si="9"/>
        <v>611.42918571707685</v>
      </c>
      <c r="R22" s="177">
        <f t="shared" si="9"/>
        <v>218.60752792411853</v>
      </c>
      <c r="S22" s="177">
        <f t="shared" si="9"/>
        <v>41488.873566924696</v>
      </c>
    </row>
    <row r="23" spans="1:23" ht="12" customHeight="1">
      <c r="A23" s="179" t="s">
        <v>59</v>
      </c>
      <c r="B23" s="389">
        <f>SUM(B12:B17)</f>
        <v>0</v>
      </c>
      <c r="C23" s="390">
        <f>SUM(C12:C17)</f>
        <v>0</v>
      </c>
      <c r="D23" s="390">
        <f t="shared" ref="D23:J23" si="10">SUM(D12:D17)</f>
        <v>0</v>
      </c>
      <c r="E23" s="389">
        <f t="shared" si="10"/>
        <v>0</v>
      </c>
      <c r="F23" s="390">
        <f t="shared" si="10"/>
        <v>0</v>
      </c>
      <c r="G23" s="391">
        <f t="shared" si="10"/>
        <v>0</v>
      </c>
      <c r="H23" s="390">
        <f t="shared" si="10"/>
        <v>0</v>
      </c>
      <c r="I23" s="390">
        <f t="shared" si="10"/>
        <v>0</v>
      </c>
      <c r="J23" s="391">
        <f t="shared" si="10"/>
        <v>0</v>
      </c>
      <c r="K23" s="390">
        <f>SUM(K12:K17)</f>
        <v>0</v>
      </c>
      <c r="L23" s="390">
        <f t="shared" ref="L23:S23" si="11">SUM(L12:L17)</f>
        <v>0</v>
      </c>
      <c r="M23" s="390">
        <f t="shared" si="11"/>
        <v>0</v>
      </c>
      <c r="N23" s="389">
        <f t="shared" si="11"/>
        <v>0</v>
      </c>
      <c r="O23" s="390">
        <f t="shared" si="11"/>
        <v>0</v>
      </c>
      <c r="P23" s="391">
        <f t="shared" si="11"/>
        <v>0</v>
      </c>
      <c r="Q23" s="390">
        <f t="shared" si="11"/>
        <v>0</v>
      </c>
      <c r="R23" s="390">
        <f t="shared" si="11"/>
        <v>0</v>
      </c>
      <c r="S23" s="390">
        <f t="shared" si="11"/>
        <v>0</v>
      </c>
    </row>
    <row r="24" spans="1:23" ht="12" customHeight="1">
      <c r="A24" s="182" t="s">
        <v>172</v>
      </c>
      <c r="B24" s="392">
        <f>SUM(B6:B17)</f>
        <v>4312.7698626675447</v>
      </c>
      <c r="C24" s="393">
        <f>SUM(C6:C17)</f>
        <v>600.59219374940028</v>
      </c>
      <c r="D24" s="393">
        <f t="shared" ref="D24:J24" si="12">SUM(D6:D17)</f>
        <v>3712.1776689181443</v>
      </c>
      <c r="E24" s="392">
        <f t="shared" si="12"/>
        <v>1382.1229960000001</v>
      </c>
      <c r="F24" s="393">
        <f t="shared" si="12"/>
        <v>1354.2166360000001</v>
      </c>
      <c r="G24" s="394">
        <f t="shared" si="12"/>
        <v>27.906359999999836</v>
      </c>
      <c r="H24" s="393">
        <f t="shared" si="12"/>
        <v>56.196632029999996</v>
      </c>
      <c r="I24" s="393">
        <f t="shared" si="12"/>
        <v>14.809367293393414</v>
      </c>
      <c r="J24" s="394">
        <f t="shared" si="12"/>
        <v>3811.0900282415378</v>
      </c>
      <c r="K24" s="393">
        <f>SUM(K6:K17)</f>
        <v>47153.246364384999</v>
      </c>
      <c r="L24" s="393">
        <f t="shared" ref="L24:S24" si="13">SUM(L6:L17)</f>
        <v>6570.1876297684994</v>
      </c>
      <c r="M24" s="393">
        <f t="shared" si="13"/>
        <v>40583.058734616498</v>
      </c>
      <c r="N24" s="392">
        <f t="shared" si="13"/>
        <v>14884.797373000001</v>
      </c>
      <c r="O24" s="393">
        <f t="shared" si="13"/>
        <v>14809.019254333001</v>
      </c>
      <c r="P24" s="394">
        <f t="shared" si="13"/>
        <v>75.778118666999035</v>
      </c>
      <c r="Q24" s="393">
        <f t="shared" si="13"/>
        <v>611.42918571707685</v>
      </c>
      <c r="R24" s="393">
        <f t="shared" si="13"/>
        <v>218.60752792411853</v>
      </c>
      <c r="S24" s="393">
        <f t="shared" si="13"/>
        <v>41488.873566924696</v>
      </c>
    </row>
    <row r="25" spans="1:23" ht="8.1" customHeight="1"/>
    <row r="26" spans="1:23" ht="13.5" customHeight="1">
      <c r="A26" s="457" t="s">
        <v>248</v>
      </c>
      <c r="B26" s="457"/>
      <c r="C26" s="457"/>
      <c r="D26" s="457"/>
      <c r="E26" s="457"/>
      <c r="F26" s="457"/>
      <c r="G26" s="457"/>
      <c r="H26" s="457"/>
      <c r="I26" s="457"/>
      <c r="J26" s="60"/>
      <c r="K26" s="457" t="s">
        <v>249</v>
      </c>
      <c r="L26" s="457"/>
      <c r="M26" s="457"/>
      <c r="N26" s="457"/>
      <c r="O26" s="457"/>
      <c r="P26" s="457"/>
      <c r="Q26" s="457"/>
      <c r="R26" s="457"/>
      <c r="S26" s="457"/>
    </row>
    <row r="27" spans="1:23" ht="8.1" customHeight="1">
      <c r="D27" s="61"/>
      <c r="E27" s="62" t="s">
        <v>197</v>
      </c>
      <c r="F27" s="62" t="s">
        <v>198</v>
      </c>
      <c r="G27" s="63"/>
      <c r="H27" s="63"/>
      <c r="L27" s="63"/>
      <c r="M27" s="62"/>
      <c r="N27" s="62" t="s">
        <v>199</v>
      </c>
      <c r="O27" s="61" t="s">
        <v>200</v>
      </c>
    </row>
    <row r="28" spans="1:23" ht="8.1" customHeight="1">
      <c r="D28" s="61" t="str">
        <f>A6</f>
        <v>Leden</v>
      </c>
      <c r="E28" s="62">
        <f>B6</f>
        <v>611.86680951218455</v>
      </c>
      <c r="F28" s="62">
        <f>C6*-1</f>
        <v>-171.69380494119213</v>
      </c>
      <c r="G28" s="63"/>
      <c r="L28" s="63"/>
      <c r="M28" s="62" t="str">
        <f>A6</f>
        <v>Leden</v>
      </c>
      <c r="N28" s="62">
        <f>E6</f>
        <v>484.49456099999998</v>
      </c>
      <c r="O28" s="62">
        <f>F6*-1</f>
        <v>-50.764979000000004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541.66979960431695</v>
      </c>
      <c r="F29" s="62">
        <f t="shared" ref="F29:F39" si="16">C7*-1</f>
        <v>-191.63640082004457</v>
      </c>
      <c r="G29" s="63"/>
      <c r="L29" s="63"/>
      <c r="M29" s="62" t="str">
        <f t="shared" ref="M29:M39" si="17">A7</f>
        <v>Únor</v>
      </c>
      <c r="N29" s="62">
        <f t="shared" ref="N29:N39" si="18">E7</f>
        <v>502.731177</v>
      </c>
      <c r="O29" s="62">
        <f t="shared" ref="O29:O39" si="19">F7*-1</f>
        <v>-0.45966299999999999</v>
      </c>
    </row>
    <row r="30" spans="1:23" ht="8.1" customHeight="1">
      <c r="D30" s="61" t="str">
        <f t="shared" si="14"/>
        <v>Březen</v>
      </c>
      <c r="E30" s="62">
        <f t="shared" si="15"/>
        <v>558.67411079116368</v>
      </c>
      <c r="F30" s="62">
        <f t="shared" si="16"/>
        <v>-85.842169319862464</v>
      </c>
      <c r="G30" s="63"/>
      <c r="L30" s="63"/>
      <c r="M30" s="62" t="str">
        <f t="shared" si="17"/>
        <v>Březen</v>
      </c>
      <c r="N30" s="62">
        <f t="shared" si="18"/>
        <v>315.244956</v>
      </c>
      <c r="O30" s="62">
        <f t="shared" si="19"/>
        <v>-29.267647000000004</v>
      </c>
    </row>
    <row r="31" spans="1:23" ht="8.1" customHeight="1">
      <c r="D31" s="61" t="str">
        <f t="shared" si="14"/>
        <v>Duben</v>
      </c>
      <c r="E31" s="62">
        <f t="shared" si="15"/>
        <v>678.89586636549586</v>
      </c>
      <c r="F31" s="62">
        <f t="shared" si="16"/>
        <v>-59.800538558553114</v>
      </c>
      <c r="G31" s="63"/>
      <c r="L31" s="63"/>
      <c r="M31" s="62" t="str">
        <f t="shared" si="17"/>
        <v>Duben</v>
      </c>
      <c r="N31" s="62">
        <f t="shared" si="18"/>
        <v>79.391479000000004</v>
      </c>
      <c r="O31" s="62">
        <f t="shared" si="19"/>
        <v>-102.569807</v>
      </c>
    </row>
    <row r="32" spans="1:23" ht="8.1" customHeight="1">
      <c r="D32" s="61" t="str">
        <f t="shared" si="14"/>
        <v>Květen</v>
      </c>
      <c r="E32" s="62">
        <f t="shared" si="15"/>
        <v>1032.1800539226767</v>
      </c>
      <c r="F32" s="62">
        <f t="shared" si="16"/>
        <v>-66.096829012414332</v>
      </c>
      <c r="G32" s="63"/>
      <c r="L32" s="63"/>
      <c r="M32" s="62" t="str">
        <f t="shared" si="17"/>
        <v>Květen</v>
      </c>
      <c r="N32" s="62">
        <f t="shared" si="18"/>
        <v>2.5809000000000002E-2</v>
      </c>
      <c r="O32" s="62">
        <f t="shared" si="19"/>
        <v>-612.77381700000001</v>
      </c>
    </row>
    <row r="33" spans="4:15" ht="8.1" customHeight="1">
      <c r="D33" s="61" t="str">
        <f t="shared" si="14"/>
        <v>Červen</v>
      </c>
      <c r="E33" s="62">
        <f t="shared" si="15"/>
        <v>889.48322247170688</v>
      </c>
      <c r="F33" s="62">
        <f t="shared" si="16"/>
        <v>-25.522451097333597</v>
      </c>
      <c r="G33" s="63"/>
      <c r="L33" s="63"/>
      <c r="M33" s="62" t="str">
        <f t="shared" si="17"/>
        <v>Červen</v>
      </c>
      <c r="N33" s="62">
        <f t="shared" si="18"/>
        <v>0.235014</v>
      </c>
      <c r="O33" s="62">
        <f t="shared" si="19"/>
        <v>-558.38072299999999</v>
      </c>
    </row>
    <row r="34" spans="4:15" ht="8.1" customHeight="1">
      <c r="D34" s="61" t="str">
        <f t="shared" si="14"/>
        <v>Červenec</v>
      </c>
      <c r="E34" s="62">
        <f t="shared" si="15"/>
        <v>0</v>
      </c>
      <c r="F34" s="62">
        <f t="shared" si="16"/>
        <v>0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0</v>
      </c>
    </row>
    <row r="35" spans="4:15" ht="8.1" customHeight="1">
      <c r="D35" s="61" t="str">
        <f t="shared" si="14"/>
        <v>Srpen</v>
      </c>
      <c r="E35" s="62">
        <f t="shared" si="15"/>
        <v>0</v>
      </c>
      <c r="F35" s="62">
        <f t="shared" si="16"/>
        <v>0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0</v>
      </c>
    </row>
    <row r="36" spans="4:15" ht="8.1" customHeight="1">
      <c r="D36" s="61" t="str">
        <f t="shared" si="14"/>
        <v>Září</v>
      </c>
      <c r="E36" s="62">
        <f t="shared" si="15"/>
        <v>0</v>
      </c>
      <c r="F36" s="62">
        <f t="shared" si="16"/>
        <v>0</v>
      </c>
      <c r="G36" s="63"/>
      <c r="L36" s="63"/>
      <c r="M36" s="62" t="str">
        <f t="shared" si="17"/>
        <v>Září</v>
      </c>
      <c r="N36" s="62">
        <f t="shared" si="18"/>
        <v>0</v>
      </c>
      <c r="O36" s="62">
        <f t="shared" si="19"/>
        <v>0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topLeftCell="A4" zoomScaleNormal="100" zoomScaleSheetLayoutView="100" workbookViewId="0">
      <selection activeCell="C1" sqref="C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288</v>
      </c>
    </row>
    <row r="2" spans="1:22" ht="18">
      <c r="A2" s="373" t="s">
        <v>294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7"/>
      <c r="M3" s="207"/>
      <c r="N3" s="207"/>
      <c r="O3" s="207"/>
      <c r="P3" s="207"/>
      <c r="Q3" s="207"/>
      <c r="R3" s="207"/>
    </row>
    <row r="4" spans="1:22" ht="15.95" customHeight="1">
      <c r="A4" s="205">
        <f>'3.1'!A4</f>
        <v>2023</v>
      </c>
      <c r="B4" s="466" t="s">
        <v>260</v>
      </c>
      <c r="C4" s="469"/>
      <c r="D4" s="469"/>
      <c r="E4" s="469"/>
      <c r="F4" s="469"/>
      <c r="G4" s="469"/>
      <c r="H4" s="468"/>
      <c r="I4" s="466" t="s">
        <v>218</v>
      </c>
      <c r="J4" s="469"/>
      <c r="K4" s="469"/>
      <c r="L4" s="469"/>
      <c r="M4" s="469"/>
      <c r="N4" s="466" t="s">
        <v>230</v>
      </c>
      <c r="O4" s="469"/>
      <c r="P4" s="469"/>
      <c r="Q4" s="469"/>
      <c r="R4" s="468"/>
      <c r="S4" s="228" t="s">
        <v>260</v>
      </c>
      <c r="T4" s="228" t="s">
        <v>218</v>
      </c>
    </row>
    <row r="5" spans="1:22" ht="36.75" customHeight="1">
      <c r="A5" s="217"/>
      <c r="B5" s="470" t="s">
        <v>155</v>
      </c>
      <c r="C5" s="463"/>
      <c r="D5" s="463"/>
      <c r="E5" s="463" t="s">
        <v>156</v>
      </c>
      <c r="F5" s="463"/>
      <c r="G5" s="463"/>
      <c r="H5" s="197" t="s">
        <v>153</v>
      </c>
      <c r="I5" s="470" t="s">
        <v>155</v>
      </c>
      <c r="J5" s="463"/>
      <c r="K5" s="463" t="s">
        <v>156</v>
      </c>
      <c r="L5" s="463"/>
      <c r="M5" s="196" t="s">
        <v>153</v>
      </c>
      <c r="N5" s="470" t="s">
        <v>263</v>
      </c>
      <c r="O5" s="463"/>
      <c r="P5" s="463"/>
      <c r="Q5" s="463"/>
      <c r="R5" s="465"/>
      <c r="S5" s="462" t="s">
        <v>154</v>
      </c>
      <c r="T5" s="462"/>
    </row>
    <row r="6" spans="1:22" ht="44.25" customHeight="1">
      <c r="A6" s="224"/>
      <c r="B6" s="231">
        <f>A4</f>
        <v>2023</v>
      </c>
      <c r="C6" s="232">
        <f>B6-1</f>
        <v>2022</v>
      </c>
      <c r="D6" s="194" t="s">
        <v>264</v>
      </c>
      <c r="E6" s="232">
        <f>B6</f>
        <v>2023</v>
      </c>
      <c r="F6" s="232">
        <f>C6</f>
        <v>2022</v>
      </c>
      <c r="G6" s="194" t="s">
        <v>265</v>
      </c>
      <c r="H6" s="233">
        <f>B6</f>
        <v>2023</v>
      </c>
      <c r="I6" s="231">
        <f>B6</f>
        <v>2023</v>
      </c>
      <c r="J6" s="232">
        <f>C6</f>
        <v>2022</v>
      </c>
      <c r="K6" s="232">
        <f>B6</f>
        <v>2023</v>
      </c>
      <c r="L6" s="232">
        <f>C6</f>
        <v>2022</v>
      </c>
      <c r="M6" s="232">
        <f>B6</f>
        <v>2023</v>
      </c>
      <c r="N6" s="225" t="s">
        <v>62</v>
      </c>
      <c r="O6" s="226" t="s">
        <v>173</v>
      </c>
      <c r="P6" s="226" t="s">
        <v>174</v>
      </c>
      <c r="Q6" s="226" t="s">
        <v>114</v>
      </c>
      <c r="R6" s="227" t="s">
        <v>116</v>
      </c>
      <c r="S6" s="463"/>
      <c r="T6" s="463"/>
    </row>
    <row r="7" spans="1:22" ht="12" customHeight="1">
      <c r="A7" s="176" t="s">
        <v>160</v>
      </c>
      <c r="B7" s="183">
        <v>891.77987089563828</v>
      </c>
      <c r="C7" s="177">
        <v>1134.2628331979083</v>
      </c>
      <c r="D7" s="211">
        <v>-0.21378022377637154</v>
      </c>
      <c r="E7" s="178">
        <v>1018.2711816603346</v>
      </c>
      <c r="F7" s="178">
        <v>1205.7433627279247</v>
      </c>
      <c r="G7" s="211">
        <v>-0.15548265647794662</v>
      </c>
      <c r="H7" s="185">
        <v>1080</v>
      </c>
      <c r="I7" s="189">
        <v>9714.563236209995</v>
      </c>
      <c r="J7" s="178">
        <v>12118.789609366002</v>
      </c>
      <c r="K7" s="178">
        <v>11092.490544684235</v>
      </c>
      <c r="L7" s="177">
        <v>12882.508099636938</v>
      </c>
      <c r="M7" s="177">
        <v>11610</v>
      </c>
      <c r="N7" s="183">
        <v>2.1903225806451618</v>
      </c>
      <c r="O7" s="177">
        <v>8.3000000000000007</v>
      </c>
      <c r="P7" s="177">
        <v>-4.2</v>
      </c>
      <c r="Q7" s="177">
        <v>-1.2258064516129035</v>
      </c>
      <c r="R7" s="187">
        <v>3.4161290322580653</v>
      </c>
      <c r="S7" s="209">
        <v>45.144016081352575</v>
      </c>
      <c r="T7" s="209">
        <v>491.7744209999999</v>
      </c>
      <c r="U7" s="57"/>
      <c r="V7" s="68"/>
    </row>
    <row r="8" spans="1:22" ht="12" customHeight="1">
      <c r="A8" s="176" t="s">
        <v>161</v>
      </c>
      <c r="B8" s="183">
        <v>860.76740305537987</v>
      </c>
      <c r="C8" s="178">
        <v>890.50040009373777</v>
      </c>
      <c r="D8" s="211">
        <v>-3.3389088915881535E-2</v>
      </c>
      <c r="E8" s="178">
        <v>905.06624105235687</v>
      </c>
      <c r="F8" s="178">
        <v>992.3478118923407</v>
      </c>
      <c r="G8" s="211">
        <v>-8.7954616107374414E-2</v>
      </c>
      <c r="H8" s="185">
        <v>910</v>
      </c>
      <c r="I8" s="189">
        <v>9341.3894159989995</v>
      </c>
      <c r="J8" s="178">
        <v>9526.9687922180001</v>
      </c>
      <c r="K8" s="178">
        <v>9822.1379840060417</v>
      </c>
      <c r="L8" s="177">
        <v>10616.577638739944</v>
      </c>
      <c r="M8" s="177">
        <v>9780</v>
      </c>
      <c r="N8" s="189">
        <v>1.375</v>
      </c>
      <c r="O8" s="178">
        <v>9</v>
      </c>
      <c r="P8" s="178">
        <v>-6.1</v>
      </c>
      <c r="Q8" s="178">
        <v>-0.15517241379310354</v>
      </c>
      <c r="R8" s="187">
        <v>1.5301724137931036</v>
      </c>
      <c r="S8" s="209">
        <v>57.83162177655786</v>
      </c>
      <c r="T8" s="209">
        <v>627.6117720000002</v>
      </c>
      <c r="U8" s="57"/>
      <c r="V8" s="68"/>
    </row>
    <row r="9" spans="1:22" ht="12" customHeight="1">
      <c r="A9" s="179" t="s">
        <v>162</v>
      </c>
      <c r="B9" s="184">
        <v>769.26811951702939</v>
      </c>
      <c r="C9" s="181">
        <v>922.6194924346953</v>
      </c>
      <c r="D9" s="214">
        <v>-0.16621302083374356</v>
      </c>
      <c r="E9" s="181">
        <v>813.43576392756404</v>
      </c>
      <c r="F9" s="181">
        <v>915.49072354115106</v>
      </c>
      <c r="G9" s="214">
        <v>-0.11147568947376633</v>
      </c>
      <c r="H9" s="186">
        <v>850</v>
      </c>
      <c r="I9" s="190">
        <v>8340.019322711998</v>
      </c>
      <c r="J9" s="181">
        <v>9909.4539932498337</v>
      </c>
      <c r="K9" s="181">
        <v>8818.8627824589057</v>
      </c>
      <c r="L9" s="180">
        <v>9832.8869924891296</v>
      </c>
      <c r="M9" s="188">
        <v>9140</v>
      </c>
      <c r="N9" s="190">
        <v>4.8774193548387101</v>
      </c>
      <c r="O9" s="181">
        <v>12.9</v>
      </c>
      <c r="P9" s="181">
        <v>-0.6</v>
      </c>
      <c r="Q9" s="181">
        <v>3.512903225806451</v>
      </c>
      <c r="R9" s="188">
        <v>1.3645161290322592</v>
      </c>
      <c r="S9" s="215">
        <v>50.384704194909489</v>
      </c>
      <c r="T9" s="215">
        <v>546.24576699999932</v>
      </c>
      <c r="U9" s="57"/>
      <c r="V9" s="68"/>
    </row>
    <row r="10" spans="1:22" ht="12" customHeight="1">
      <c r="A10" s="176" t="s">
        <v>163</v>
      </c>
      <c r="B10" s="183">
        <v>606.46775451524184</v>
      </c>
      <c r="C10" s="178">
        <v>671.36218900899917</v>
      </c>
      <c r="D10" s="211">
        <v>-9.6660842025596203E-2</v>
      </c>
      <c r="E10" s="178">
        <v>542.15893668344847</v>
      </c>
      <c r="F10" s="178">
        <v>605.29632058159871</v>
      </c>
      <c r="G10" s="211">
        <v>-0.10430822351189036</v>
      </c>
      <c r="H10" s="185">
        <v>590</v>
      </c>
      <c r="I10" s="189">
        <v>6615.5157134669989</v>
      </c>
      <c r="J10" s="178">
        <v>7237.9843414369079</v>
      </c>
      <c r="K10" s="178">
        <v>5914.0175848141862</v>
      </c>
      <c r="L10" s="177">
        <v>6525.7254013157726</v>
      </c>
      <c r="M10" s="177">
        <v>6340</v>
      </c>
      <c r="N10" s="183">
        <v>6.6799999999999988</v>
      </c>
      <c r="O10" s="177">
        <v>12.6</v>
      </c>
      <c r="P10" s="177">
        <v>-0.4</v>
      </c>
      <c r="Q10" s="177">
        <v>8.6366666666666667</v>
      </c>
      <c r="R10" s="187">
        <v>-1.9566666666666679</v>
      </c>
      <c r="S10" s="209">
        <v>30.533200134826419</v>
      </c>
      <c r="T10" s="209">
        <v>333.06439699999987</v>
      </c>
      <c r="U10" s="57"/>
      <c r="V10" s="68"/>
    </row>
    <row r="11" spans="1:22" ht="12" customHeight="1">
      <c r="A11" s="176" t="s">
        <v>164</v>
      </c>
      <c r="B11" s="183">
        <v>368.85357592765939</v>
      </c>
      <c r="C11" s="178">
        <v>388.89617215441922</v>
      </c>
      <c r="D11" s="211">
        <v>-5.1537139375086215E-2</v>
      </c>
      <c r="E11" s="178">
        <v>354.09291505284216</v>
      </c>
      <c r="F11" s="178">
        <v>408.72603445306578</v>
      </c>
      <c r="G11" s="211">
        <v>-0.13366684476884522</v>
      </c>
      <c r="H11" s="185">
        <v>400</v>
      </c>
      <c r="I11" s="189">
        <v>4038.3717193379994</v>
      </c>
      <c r="J11" s="178">
        <v>4179.6572926889767</v>
      </c>
      <c r="K11" s="178">
        <v>3876.7654904009873</v>
      </c>
      <c r="L11" s="177">
        <v>4392.778517591767</v>
      </c>
      <c r="M11" s="177">
        <v>4300</v>
      </c>
      <c r="N11" s="189">
        <v>12.812903225806451</v>
      </c>
      <c r="O11" s="178">
        <v>18.399999999999999</v>
      </c>
      <c r="P11" s="178">
        <v>8.5</v>
      </c>
      <c r="Q11" s="178">
        <v>13.522580645161288</v>
      </c>
      <c r="R11" s="187">
        <v>-0.7096774193548363</v>
      </c>
      <c r="S11" s="209">
        <v>14.977591892797571</v>
      </c>
      <c r="T11" s="209">
        <v>163.98109600000004</v>
      </c>
      <c r="U11" s="57"/>
      <c r="V11" s="68"/>
    </row>
    <row r="12" spans="1:22" ht="12" customHeight="1">
      <c r="A12" s="179" t="s">
        <v>165</v>
      </c>
      <c r="B12" s="184">
        <v>313.95310905674575</v>
      </c>
      <c r="C12" s="181">
        <v>336.35449487705358</v>
      </c>
      <c r="D12" s="214">
        <v>-6.6600524629516641E-2</v>
      </c>
      <c r="E12" s="181">
        <v>316.35299234701233</v>
      </c>
      <c r="F12" s="181">
        <v>343.02500571133265</v>
      </c>
      <c r="G12" s="214">
        <v>-7.7755303316766763E-2</v>
      </c>
      <c r="H12" s="186">
        <v>330</v>
      </c>
      <c r="I12" s="190">
        <v>3439.013946421001</v>
      </c>
      <c r="J12" s="181">
        <v>3649.5234189770158</v>
      </c>
      <c r="K12" s="181">
        <v>3465.302050812787</v>
      </c>
      <c r="L12" s="180">
        <v>3721.8999915426352</v>
      </c>
      <c r="M12" s="188">
        <v>3550</v>
      </c>
      <c r="N12" s="190">
        <v>17.459999999999994</v>
      </c>
      <c r="O12" s="181">
        <v>24</v>
      </c>
      <c r="P12" s="181">
        <v>13.2</v>
      </c>
      <c r="Q12" s="181">
        <v>16.59</v>
      </c>
      <c r="R12" s="188">
        <v>0.86999999999999389</v>
      </c>
      <c r="S12" s="215">
        <v>54.903545895077762</v>
      </c>
      <c r="T12" s="215">
        <v>601.40838599999995</v>
      </c>
      <c r="U12" s="66"/>
      <c r="V12" s="68"/>
    </row>
    <row r="13" spans="1:22" ht="12" customHeight="1">
      <c r="A13" s="176" t="s">
        <v>166</v>
      </c>
      <c r="B13" s="183"/>
      <c r="C13" s="178">
        <v>288.56559520753245</v>
      </c>
      <c r="D13" s="211"/>
      <c r="E13" s="178"/>
      <c r="F13" s="178">
        <v>290.00270000615274</v>
      </c>
      <c r="G13" s="211"/>
      <c r="H13" s="185">
        <v>270</v>
      </c>
      <c r="I13" s="189"/>
      <c r="J13" s="178">
        <v>3138.9261413289951</v>
      </c>
      <c r="K13" s="178"/>
      <c r="L13" s="177">
        <v>3154.5585171046805</v>
      </c>
      <c r="M13" s="177">
        <v>2910</v>
      </c>
      <c r="N13" s="183"/>
      <c r="O13" s="177"/>
      <c r="P13" s="177"/>
      <c r="Q13" s="177">
        <v>18.522580645161291</v>
      </c>
      <c r="R13" s="187"/>
      <c r="S13" s="209"/>
      <c r="T13" s="209"/>
      <c r="U13" s="57"/>
      <c r="V13" s="65"/>
    </row>
    <row r="14" spans="1:22" ht="12" customHeight="1">
      <c r="A14" s="176" t="s">
        <v>167</v>
      </c>
      <c r="B14" s="183"/>
      <c r="C14" s="178">
        <v>311.10515298840176</v>
      </c>
      <c r="D14" s="211"/>
      <c r="E14" s="178"/>
      <c r="F14" s="178">
        <v>316.66437346991484</v>
      </c>
      <c r="G14" s="211"/>
      <c r="H14" s="185">
        <v>290</v>
      </c>
      <c r="I14" s="189"/>
      <c r="J14" s="178">
        <v>3377.6271495339843</v>
      </c>
      <c r="K14" s="178"/>
      <c r="L14" s="177">
        <v>3437.9828647905042</v>
      </c>
      <c r="M14" s="177">
        <v>3120</v>
      </c>
      <c r="N14" s="189"/>
      <c r="O14" s="178"/>
      <c r="P14" s="178"/>
      <c r="Q14" s="178">
        <v>18.119354838709679</v>
      </c>
      <c r="R14" s="187"/>
      <c r="S14" s="209"/>
      <c r="T14" s="209"/>
      <c r="U14" s="57"/>
      <c r="V14" s="65"/>
    </row>
    <row r="15" spans="1:22" ht="12" customHeight="1">
      <c r="A15" s="179" t="s">
        <v>168</v>
      </c>
      <c r="B15" s="184"/>
      <c r="C15" s="181">
        <v>383.35796064253685</v>
      </c>
      <c r="D15" s="214"/>
      <c r="E15" s="181"/>
      <c r="F15" s="181">
        <v>364.55300453126074</v>
      </c>
      <c r="G15" s="214"/>
      <c r="H15" s="186">
        <v>410</v>
      </c>
      <c r="I15" s="190"/>
      <c r="J15" s="181">
        <v>4195.2896731579685</v>
      </c>
      <c r="K15" s="181"/>
      <c r="L15" s="180">
        <v>3989.4970556117041</v>
      </c>
      <c r="M15" s="180">
        <v>4410</v>
      </c>
      <c r="N15" s="190"/>
      <c r="O15" s="181"/>
      <c r="P15" s="181"/>
      <c r="Q15" s="181">
        <v>13.223333333333333</v>
      </c>
      <c r="R15" s="188"/>
      <c r="S15" s="215"/>
      <c r="T15" s="215"/>
      <c r="U15" s="57"/>
      <c r="V15" s="65"/>
    </row>
    <row r="16" spans="1:22" ht="12" customHeight="1">
      <c r="A16" s="176" t="s">
        <v>169</v>
      </c>
      <c r="B16" s="183"/>
      <c r="C16" s="178">
        <v>507.60933393401041</v>
      </c>
      <c r="D16" s="211"/>
      <c r="E16" s="178"/>
      <c r="F16" s="178">
        <v>577.43055895996144</v>
      </c>
      <c r="G16" s="211"/>
      <c r="H16" s="185">
        <v>600</v>
      </c>
      <c r="I16" s="189"/>
      <c r="J16" s="178">
        <v>5563.6281824909929</v>
      </c>
      <c r="K16" s="178"/>
      <c r="L16" s="177">
        <v>6328.9004289247559</v>
      </c>
      <c r="M16" s="177">
        <v>6450</v>
      </c>
      <c r="N16" s="183"/>
      <c r="O16" s="177"/>
      <c r="P16" s="177"/>
      <c r="Q16" s="177">
        <v>8.3548387096774199</v>
      </c>
      <c r="R16" s="187"/>
      <c r="S16" s="209"/>
      <c r="T16" s="209"/>
      <c r="U16" s="57"/>
      <c r="V16" s="65"/>
    </row>
    <row r="17" spans="1:22" ht="12" customHeight="1">
      <c r="A17" s="176" t="s">
        <v>170</v>
      </c>
      <c r="B17" s="183"/>
      <c r="C17" s="178">
        <v>742.97066453171442</v>
      </c>
      <c r="D17" s="211"/>
      <c r="E17" s="178"/>
      <c r="F17" s="178">
        <v>772.59056478915386</v>
      </c>
      <c r="G17" s="211"/>
      <c r="H17" s="185">
        <v>760</v>
      </c>
      <c r="I17" s="189"/>
      <c r="J17" s="178">
        <v>8121.0956048529115</v>
      </c>
      <c r="K17" s="178"/>
      <c r="L17" s="177">
        <v>8444.8581075736438</v>
      </c>
      <c r="M17" s="177">
        <v>8170</v>
      </c>
      <c r="N17" s="189"/>
      <c r="O17" s="178"/>
      <c r="P17" s="178"/>
      <c r="Q17" s="178">
        <v>3.5466666666666664</v>
      </c>
      <c r="R17" s="187"/>
      <c r="S17" s="209"/>
      <c r="T17" s="209"/>
      <c r="U17" s="57"/>
      <c r="V17" s="65"/>
    </row>
    <row r="18" spans="1:22" ht="12" customHeight="1">
      <c r="A18" s="179" t="s">
        <v>171</v>
      </c>
      <c r="B18" s="184"/>
      <c r="C18" s="181">
        <v>966.15799449828557</v>
      </c>
      <c r="D18" s="214"/>
      <c r="E18" s="181"/>
      <c r="F18" s="181">
        <v>990.3670066920921</v>
      </c>
      <c r="G18" s="214"/>
      <c r="H18" s="186">
        <v>990</v>
      </c>
      <c r="I18" s="190"/>
      <c r="J18" s="181">
        <v>10527.754113535413</v>
      </c>
      <c r="K18" s="181"/>
      <c r="L18" s="180">
        <v>10791.547953838235</v>
      </c>
      <c r="M18" s="180">
        <v>10650</v>
      </c>
      <c r="N18" s="190"/>
      <c r="O18" s="181"/>
      <c r="P18" s="181"/>
      <c r="Q18" s="181">
        <v>-0.38387096774193558</v>
      </c>
      <c r="R18" s="188"/>
      <c r="S18" s="215"/>
      <c r="T18" s="215"/>
      <c r="U18" s="57"/>
      <c r="V18" s="65"/>
    </row>
    <row r="19" spans="1:22" ht="12" customHeight="1">
      <c r="A19" s="176" t="s">
        <v>48</v>
      </c>
      <c r="B19" s="220">
        <f>SUM(B7:B9)</f>
        <v>2521.8153934680477</v>
      </c>
      <c r="C19" s="421">
        <f>SUM(C7:C9)</f>
        <v>2947.3827257263411</v>
      </c>
      <c r="D19" s="211">
        <f>(B19-C19)/C19</f>
        <v>-0.14438821553227985</v>
      </c>
      <c r="E19" s="212">
        <f t="shared" ref="E19:F19" si="0">SUM(E7:E9)</f>
        <v>2736.7731866402555</v>
      </c>
      <c r="F19" s="212">
        <f t="shared" si="0"/>
        <v>3113.5818981614166</v>
      </c>
      <c r="G19" s="211">
        <f t="shared" ref="G19:G25" si="1">(E19-F19)/F19</f>
        <v>-0.12102097322176372</v>
      </c>
      <c r="H19" s="378">
        <f t="shared" ref="H19:M19" si="2">SUM(H7:H9)</f>
        <v>2840</v>
      </c>
      <c r="I19" s="220">
        <f>SUM(I7:I9)</f>
        <v>27395.971974920991</v>
      </c>
      <c r="J19" s="421">
        <f t="shared" si="2"/>
        <v>31555.212394833838</v>
      </c>
      <c r="K19" s="212">
        <f t="shared" si="2"/>
        <v>29733.491311149184</v>
      </c>
      <c r="L19" s="212">
        <f t="shared" si="2"/>
        <v>33331.972730866008</v>
      </c>
      <c r="M19" s="378">
        <f t="shared" si="2"/>
        <v>30530</v>
      </c>
      <c r="N19" s="220">
        <f>AVERAGE(N7:N9)</f>
        <v>2.8142473118279572</v>
      </c>
      <c r="O19" s="212">
        <f>MAX(O7:O9)</f>
        <v>12.9</v>
      </c>
      <c r="P19" s="212">
        <f>MIN(P7:P9)</f>
        <v>-6.1</v>
      </c>
      <c r="Q19" s="212">
        <f>AVERAGE(Q7:Q9)</f>
        <v>0.71064145346681462</v>
      </c>
      <c r="R19" s="223">
        <f>N19-Q19</f>
        <v>2.1036058583611426</v>
      </c>
      <c r="S19" s="212">
        <f>SUM(S7:S9)</f>
        <v>153.36034205281993</v>
      </c>
      <c r="T19" s="212">
        <f>SUM(T7:T9)</f>
        <v>1665.6319599999993</v>
      </c>
      <c r="U19" s="63"/>
      <c r="V19" s="65"/>
    </row>
    <row r="20" spans="1:22" ht="12" customHeight="1">
      <c r="A20" s="176" t="s">
        <v>56</v>
      </c>
      <c r="B20" s="220">
        <f>SUM(B10:B12)</f>
        <v>1289.2744394996469</v>
      </c>
      <c r="C20" s="212">
        <f>SUM(C10:C12)</f>
        <v>1396.612856040472</v>
      </c>
      <c r="D20" s="211">
        <f>(B20-C20)/C20</f>
        <v>-7.6856242642030101E-2</v>
      </c>
      <c r="E20" s="212">
        <f t="shared" ref="E20:I20" si="3">SUM(E10:E12)</f>
        <v>1212.6048440833029</v>
      </c>
      <c r="F20" s="212">
        <f t="shared" ref="F20" si="4">SUM(F10:F12)</f>
        <v>1357.0473607459971</v>
      </c>
      <c r="G20" s="211">
        <f>(E20-F20)/F20</f>
        <v>-0.10643881771620059</v>
      </c>
      <c r="H20" s="223">
        <f>SUM(H10:H12)</f>
        <v>1320</v>
      </c>
      <c r="I20" s="220">
        <f t="shared" si="3"/>
        <v>14092.901379225999</v>
      </c>
      <c r="J20" s="212">
        <f t="shared" ref="J20" si="5">SUM(J10:J12)</f>
        <v>15067.165053102901</v>
      </c>
      <c r="K20" s="212">
        <f>SUM(K10:K12)</f>
        <v>13256.08512602796</v>
      </c>
      <c r="L20" s="212">
        <f>SUM(L10:L12)</f>
        <v>14640.403910450175</v>
      </c>
      <c r="M20" s="223">
        <f>SUM(M10:M12)</f>
        <v>14190</v>
      </c>
      <c r="N20" s="220">
        <f>AVERAGE(N10:N12)</f>
        <v>12.317634408602148</v>
      </c>
      <c r="O20" s="212">
        <f>MAX(O10:O12)</f>
        <v>24</v>
      </c>
      <c r="P20" s="212">
        <f>MIN(P10:P12)</f>
        <v>-0.4</v>
      </c>
      <c r="Q20" s="212">
        <f>AVERAGE(Q10:Q12)</f>
        <v>12.916415770609319</v>
      </c>
      <c r="R20" s="223">
        <f t="shared" ref="R20:R25" si="6">N20-Q20</f>
        <v>-0.59878136200717158</v>
      </c>
      <c r="S20" s="212">
        <f>SUM(S10:S12)</f>
        <v>100.41433792270175</v>
      </c>
      <c r="T20" s="212">
        <f>SUM(T10:T12)</f>
        <v>1098.4538789999999</v>
      </c>
      <c r="V20" s="65"/>
    </row>
    <row r="21" spans="1:22" ht="12" customHeight="1">
      <c r="A21" s="176" t="s">
        <v>63</v>
      </c>
      <c r="B21" s="395">
        <f>SUM(B13:B15)</f>
        <v>0</v>
      </c>
      <c r="C21" s="212">
        <f>SUM(C13:C15)</f>
        <v>983.02870883847118</v>
      </c>
      <c r="D21" s="397">
        <f t="shared" ref="D21:D25" si="7">(B21-C21)/C21</f>
        <v>-1</v>
      </c>
      <c r="E21" s="396">
        <f t="shared" ref="E21:K21" si="8">SUM(E13:E15)</f>
        <v>0</v>
      </c>
      <c r="F21" s="212">
        <f t="shared" ref="F21" si="9">SUM(F13:F15)</f>
        <v>971.22007800732831</v>
      </c>
      <c r="G21" s="397">
        <f t="shared" si="1"/>
        <v>-1</v>
      </c>
      <c r="H21" s="223">
        <f>SUM(H13:H15)</f>
        <v>970</v>
      </c>
      <c r="I21" s="395">
        <f t="shared" si="8"/>
        <v>0</v>
      </c>
      <c r="J21" s="212">
        <f t="shared" ref="J21" si="10">SUM(J13:J15)</f>
        <v>10711.842964020947</v>
      </c>
      <c r="K21" s="396">
        <f t="shared" si="8"/>
        <v>0</v>
      </c>
      <c r="L21" s="212">
        <f t="shared" ref="L21" si="11">SUM(L13:L15)</f>
        <v>10582.03843750689</v>
      </c>
      <c r="M21" s="223">
        <f>SUM(M13:M15)</f>
        <v>10440</v>
      </c>
      <c r="N21" s="395" t="e">
        <f>AVERAGE(N13:N15)</f>
        <v>#DIV/0!</v>
      </c>
      <c r="O21" s="396">
        <f>MAX(O13:O15)</f>
        <v>0</v>
      </c>
      <c r="P21" s="396">
        <f>MIN(P13:P15)</f>
        <v>0</v>
      </c>
      <c r="Q21" s="212">
        <f>AVERAGE(Q13:Q15)</f>
        <v>16.621756272401431</v>
      </c>
      <c r="R21" s="398" t="e">
        <f>N21-Q21</f>
        <v>#DIV/0!</v>
      </c>
      <c r="S21" s="396">
        <f t="shared" ref="S21:T21" si="12">SUM(S13:S15)</f>
        <v>0</v>
      </c>
      <c r="T21" s="396">
        <f t="shared" si="12"/>
        <v>0</v>
      </c>
      <c r="V21" s="65"/>
    </row>
    <row r="22" spans="1:22" ht="12" customHeight="1">
      <c r="A22" s="179" t="s">
        <v>57</v>
      </c>
      <c r="B22" s="399">
        <f>SUM(B16:B18)</f>
        <v>0</v>
      </c>
      <c r="C22" s="418">
        <f>SUM(C16:C18)</f>
        <v>2216.7379929640106</v>
      </c>
      <c r="D22" s="401">
        <f t="shared" si="7"/>
        <v>-1</v>
      </c>
      <c r="E22" s="400">
        <f t="shared" ref="E22:K22" si="13">SUM(E16:E18)</f>
        <v>0</v>
      </c>
      <c r="F22" s="418">
        <f t="shared" ref="F22" si="14">SUM(F16:F18)</f>
        <v>2340.3881304412075</v>
      </c>
      <c r="G22" s="401">
        <f t="shared" si="1"/>
        <v>-1</v>
      </c>
      <c r="H22" s="416">
        <f>SUM(H16:H18)</f>
        <v>2350</v>
      </c>
      <c r="I22" s="399">
        <f t="shared" si="13"/>
        <v>0</v>
      </c>
      <c r="J22" s="418">
        <f t="shared" ref="J22" si="15">SUM(J16:J18)</f>
        <v>24212.477900879319</v>
      </c>
      <c r="K22" s="400">
        <f t="shared" si="13"/>
        <v>0</v>
      </c>
      <c r="L22" s="418">
        <f t="shared" ref="L22" si="16">SUM(L16:L18)</f>
        <v>25565.306490336636</v>
      </c>
      <c r="M22" s="416">
        <f>SUM(M16:M18)</f>
        <v>25270</v>
      </c>
      <c r="N22" s="399" t="e">
        <f>AVERAGE(N16:N18)</f>
        <v>#DIV/0!</v>
      </c>
      <c r="O22" s="400">
        <f>MAX(O16:O18)</f>
        <v>0</v>
      </c>
      <c r="P22" s="400">
        <f>MIN(P16:P18)</f>
        <v>0</v>
      </c>
      <c r="Q22" s="418">
        <f>AVERAGE(Q16:Q18)</f>
        <v>3.83921146953405</v>
      </c>
      <c r="R22" s="402" t="e">
        <f t="shared" si="6"/>
        <v>#DIV/0!</v>
      </c>
      <c r="S22" s="400">
        <f t="shared" ref="S22:T22" si="17">SUM(S16:S18)</f>
        <v>0</v>
      </c>
      <c r="T22" s="400">
        <f t="shared" si="17"/>
        <v>0</v>
      </c>
      <c r="V22" s="65"/>
    </row>
    <row r="23" spans="1:22" ht="12" customHeight="1">
      <c r="A23" s="176" t="s">
        <v>58</v>
      </c>
      <c r="B23" s="220">
        <f>SUM(B7:B12)</f>
        <v>3811.0898329676943</v>
      </c>
      <c r="C23" s="212">
        <f>SUM(C7:C12)</f>
        <v>4343.9955817668124</v>
      </c>
      <c r="D23" s="211">
        <f t="shared" si="7"/>
        <v>-0.1226764021206421</v>
      </c>
      <c r="E23" s="212">
        <f>SUM(E7:E12)</f>
        <v>3949.3780307235588</v>
      </c>
      <c r="F23" s="212">
        <f>SUM(F7:F12)</f>
        <v>4470.6292589074137</v>
      </c>
      <c r="G23" s="211">
        <f>(E23-F23)/F23</f>
        <v>-0.1165945995511255</v>
      </c>
      <c r="H23" s="223">
        <f>SUM(H7:H12)</f>
        <v>4160</v>
      </c>
      <c r="I23" s="220">
        <f t="shared" ref="I23:K23" si="18">SUM(I7:I12)</f>
        <v>41488.873354146992</v>
      </c>
      <c r="J23" s="212">
        <f t="shared" ref="J23" si="19">SUM(J7:J12)</f>
        <v>46622.377447936735</v>
      </c>
      <c r="K23" s="212">
        <f t="shared" si="18"/>
        <v>42989.576437177151</v>
      </c>
      <c r="L23" s="212">
        <f t="shared" ref="L23" si="20">SUM(L7:L12)</f>
        <v>47972.376641316179</v>
      </c>
      <c r="M23" s="223">
        <f>SUM(M7:M12)</f>
        <v>44720</v>
      </c>
      <c r="N23" s="220">
        <f>AVERAGE(N7:N12)</f>
        <v>7.5659408602150533</v>
      </c>
      <c r="O23" s="212">
        <f>MAX(O7:O12)</f>
        <v>24</v>
      </c>
      <c r="P23" s="212">
        <f>MIN(P7:P12)</f>
        <v>-6.1</v>
      </c>
      <c r="Q23" s="212">
        <f>AVERAGE(Q7:Q12)</f>
        <v>6.8135286120380663</v>
      </c>
      <c r="R23" s="223">
        <f t="shared" si="6"/>
        <v>0.75241224817698704</v>
      </c>
      <c r="S23" s="212">
        <f>SUM(S7:S12)</f>
        <v>253.77467997552168</v>
      </c>
      <c r="T23" s="212">
        <f>SUM(T7:T12)</f>
        <v>2764.0858389999994</v>
      </c>
      <c r="V23" s="65"/>
    </row>
    <row r="24" spans="1:22" ht="12" customHeight="1">
      <c r="A24" s="179" t="s">
        <v>59</v>
      </c>
      <c r="B24" s="399">
        <f>SUM(B13:B18)</f>
        <v>0</v>
      </c>
      <c r="C24" s="418">
        <f>SUM(C13:C18)</f>
        <v>3199.7667018024817</v>
      </c>
      <c r="D24" s="401">
        <f t="shared" si="7"/>
        <v>-1</v>
      </c>
      <c r="E24" s="400">
        <f t="shared" ref="E24:K24" si="21">SUM(E13:E18)</f>
        <v>0</v>
      </c>
      <c r="F24" s="418">
        <f t="shared" ref="F24" si="22">SUM(F13:F18)</f>
        <v>3311.6082084485361</v>
      </c>
      <c r="G24" s="401">
        <f t="shared" si="1"/>
        <v>-1</v>
      </c>
      <c r="H24" s="416">
        <f>SUM(H13:H18)</f>
        <v>3320</v>
      </c>
      <c r="I24" s="399">
        <f t="shared" si="21"/>
        <v>0</v>
      </c>
      <c r="J24" s="418">
        <f t="shared" ref="J24" si="23">SUM(J13:J18)</f>
        <v>34924.320864900263</v>
      </c>
      <c r="K24" s="400">
        <f t="shared" si="21"/>
        <v>0</v>
      </c>
      <c r="L24" s="418">
        <f t="shared" ref="L24" si="24">SUM(L13:L18)</f>
        <v>36147.344927843529</v>
      </c>
      <c r="M24" s="416">
        <f>SUM(M13:M18)</f>
        <v>35710</v>
      </c>
      <c r="N24" s="399" t="e">
        <f>AVERAGE(N13:N18)</f>
        <v>#DIV/0!</v>
      </c>
      <c r="O24" s="400">
        <f>MAX(O13:O18)</f>
        <v>0</v>
      </c>
      <c r="P24" s="400">
        <f>MIN(P13:P18)</f>
        <v>0</v>
      </c>
      <c r="Q24" s="418">
        <f>AVERAGE(Q13:Q18)</f>
        <v>10.230483870967742</v>
      </c>
      <c r="R24" s="402" t="e">
        <f t="shared" si="6"/>
        <v>#DIV/0!</v>
      </c>
      <c r="S24" s="400">
        <f t="shared" ref="S24:T24" si="25">SUM(S13:S18)</f>
        <v>0</v>
      </c>
      <c r="T24" s="400">
        <f t="shared" si="25"/>
        <v>0</v>
      </c>
      <c r="V24" s="65"/>
    </row>
    <row r="25" spans="1:22" ht="12" customHeight="1">
      <c r="A25" s="216" t="s">
        <v>172</v>
      </c>
      <c r="B25" s="403">
        <f>SUM(B7:B18)</f>
        <v>3811.0898329676943</v>
      </c>
      <c r="C25" s="419">
        <f>SUM(C7:C18)</f>
        <v>7543.7622835692937</v>
      </c>
      <c r="D25" s="405">
        <f t="shared" si="7"/>
        <v>-0.49480250176116419</v>
      </c>
      <c r="E25" s="404">
        <f t="shared" ref="E25:K25" si="26">SUM(E7:E18)</f>
        <v>3949.3780307235588</v>
      </c>
      <c r="F25" s="419">
        <f t="shared" ref="F25" si="27">SUM(F7:F18)</f>
        <v>7782.2374673559498</v>
      </c>
      <c r="G25" s="405">
        <f t="shared" si="1"/>
        <v>-0.49251381144690543</v>
      </c>
      <c r="H25" s="417">
        <f>SUM(H7:H18)</f>
        <v>7480</v>
      </c>
      <c r="I25" s="403">
        <f t="shared" si="26"/>
        <v>41488.873354146992</v>
      </c>
      <c r="J25" s="419">
        <f t="shared" ref="J25" si="28">SUM(J7:J18)</f>
        <v>81546.698312837005</v>
      </c>
      <c r="K25" s="404">
        <f t="shared" si="26"/>
        <v>42989.576437177151</v>
      </c>
      <c r="L25" s="419">
        <f t="shared" ref="L25" si="29">SUM(L7:L18)</f>
        <v>84119.721569159694</v>
      </c>
      <c r="M25" s="417">
        <f>SUM(M7:M18)</f>
        <v>80430</v>
      </c>
      <c r="N25" s="403">
        <f>AVERAGE(N7:N18)</f>
        <v>7.5659408602150533</v>
      </c>
      <c r="O25" s="404">
        <f>MAX(O7:O18)</f>
        <v>24</v>
      </c>
      <c r="P25" s="404">
        <f>MIN(P7:P18)</f>
        <v>-6.1</v>
      </c>
      <c r="Q25" s="419">
        <f>AVERAGE(Q7:Q18)</f>
        <v>8.5220062415029041</v>
      </c>
      <c r="R25" s="406">
        <f t="shared" si="6"/>
        <v>-0.95606538128785079</v>
      </c>
      <c r="S25" s="404">
        <f t="shared" ref="S25:T25" si="30">SUM(S7:S18)</f>
        <v>253.77467997552168</v>
      </c>
      <c r="T25" s="404">
        <f t="shared" si="30"/>
        <v>2764.0858389999994</v>
      </c>
      <c r="V25" s="65"/>
    </row>
    <row r="26" spans="1:22" ht="11.25" customHeight="1">
      <c r="A26" s="472" t="s">
        <v>321</v>
      </c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</row>
    <row r="27" spans="1:22" ht="15" customHeight="1">
      <c r="A27" s="471" t="s">
        <v>250</v>
      </c>
      <c r="B27" s="471"/>
      <c r="C27" s="471"/>
      <c r="D27" s="471"/>
      <c r="E27" s="471"/>
      <c r="F27" s="471"/>
      <c r="G27" s="471"/>
      <c r="H27" s="471"/>
      <c r="I27" s="471"/>
      <c r="J27" s="471" t="s">
        <v>157</v>
      </c>
      <c r="K27" s="471"/>
      <c r="L27" s="471"/>
      <c r="M27" s="471"/>
      <c r="N27" s="471"/>
      <c r="O27" s="471"/>
      <c r="P27" s="471"/>
      <c r="Q27" s="471"/>
      <c r="R27" s="471"/>
      <c r="S27" s="471"/>
      <c r="T27" s="471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891.77987089563828</v>
      </c>
      <c r="F29" s="62">
        <f>E7</f>
        <v>1018.2711816603346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2.1903225806451618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31">A8</f>
        <v>Únor</v>
      </c>
      <c r="E30" s="62">
        <f t="shared" ref="E30:E40" si="32">B8</f>
        <v>860.76740305537987</v>
      </c>
      <c r="F30" s="62">
        <f t="shared" ref="F30:F40" si="33">E8</f>
        <v>905.06624105235687</v>
      </c>
      <c r="G30" s="62"/>
      <c r="H30" s="62"/>
      <c r="I30" s="61"/>
      <c r="J30" s="61"/>
      <c r="K30" s="61"/>
      <c r="L30" s="61"/>
      <c r="M30" s="61" t="str">
        <f t="shared" ref="M30:M40" si="34">A8</f>
        <v>Únor</v>
      </c>
      <c r="N30" s="62">
        <f t="shared" ref="N30:N40" si="35">N8</f>
        <v>1.375</v>
      </c>
      <c r="O30" s="62">
        <f t="shared" ref="O30:O40" si="36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31"/>
        <v>Březen</v>
      </c>
      <c r="E31" s="62">
        <f t="shared" si="32"/>
        <v>769.26811951702939</v>
      </c>
      <c r="F31" s="62">
        <f t="shared" si="33"/>
        <v>813.43576392756404</v>
      </c>
      <c r="G31" s="62"/>
      <c r="H31" s="62"/>
      <c r="I31" s="61"/>
      <c r="J31" s="61"/>
      <c r="K31" s="61"/>
      <c r="L31" s="61"/>
      <c r="M31" s="61" t="str">
        <f t="shared" si="34"/>
        <v>Březen</v>
      </c>
      <c r="N31" s="62">
        <f t="shared" si="35"/>
        <v>4.8774193548387101</v>
      </c>
      <c r="O31" s="62">
        <f t="shared" si="36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31"/>
        <v>Duben</v>
      </c>
      <c r="E32" s="62">
        <f t="shared" si="32"/>
        <v>606.46775451524184</v>
      </c>
      <c r="F32" s="62">
        <f t="shared" si="33"/>
        <v>542.15893668344847</v>
      </c>
      <c r="G32" s="62"/>
      <c r="H32" s="62"/>
      <c r="I32" s="61"/>
      <c r="J32" s="61"/>
      <c r="K32" s="61"/>
      <c r="L32" s="61"/>
      <c r="M32" s="61" t="str">
        <f t="shared" si="34"/>
        <v>Duben</v>
      </c>
      <c r="N32" s="62">
        <f t="shared" si="35"/>
        <v>6.6799999999999988</v>
      </c>
      <c r="O32" s="62">
        <f t="shared" si="36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31"/>
        <v>Květen</v>
      </c>
      <c r="E33" s="62">
        <f t="shared" si="32"/>
        <v>368.85357592765939</v>
      </c>
      <c r="F33" s="62">
        <f t="shared" si="33"/>
        <v>354.09291505284216</v>
      </c>
      <c r="G33" s="62"/>
      <c r="H33" s="62"/>
      <c r="I33" s="61"/>
      <c r="J33" s="61"/>
      <c r="K33" s="61"/>
      <c r="L33" s="61"/>
      <c r="M33" s="61" t="str">
        <f t="shared" si="34"/>
        <v>Květen</v>
      </c>
      <c r="N33" s="62">
        <f t="shared" si="35"/>
        <v>12.812903225806451</v>
      </c>
      <c r="O33" s="62">
        <f t="shared" si="36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31"/>
        <v>Červen</v>
      </c>
      <c r="E34" s="62">
        <f t="shared" si="32"/>
        <v>313.95310905674575</v>
      </c>
      <c r="F34" s="62">
        <f t="shared" si="33"/>
        <v>316.35299234701233</v>
      </c>
      <c r="G34" s="62"/>
      <c r="H34" s="62"/>
      <c r="I34" s="61"/>
      <c r="J34" s="61"/>
      <c r="K34" s="61"/>
      <c r="L34" s="61"/>
      <c r="M34" s="61" t="str">
        <f t="shared" si="34"/>
        <v>Červen</v>
      </c>
      <c r="N34" s="62">
        <f t="shared" si="35"/>
        <v>17.459999999999994</v>
      </c>
      <c r="O34" s="62">
        <f t="shared" si="36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31"/>
        <v>Červenec</v>
      </c>
      <c r="E35" s="62">
        <f t="shared" si="32"/>
        <v>0</v>
      </c>
      <c r="F35" s="62">
        <f t="shared" si="33"/>
        <v>0</v>
      </c>
      <c r="G35" s="62"/>
      <c r="H35" s="62"/>
      <c r="I35" s="61"/>
      <c r="J35" s="61"/>
      <c r="K35" s="61"/>
      <c r="L35" s="61"/>
      <c r="M35" s="61" t="str">
        <f t="shared" si="34"/>
        <v>Červenec</v>
      </c>
      <c r="N35" s="62">
        <f t="shared" si="35"/>
        <v>0</v>
      </c>
      <c r="O35" s="62">
        <f t="shared" si="36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31"/>
        <v>Srpen</v>
      </c>
      <c r="E36" s="62">
        <f t="shared" si="32"/>
        <v>0</v>
      </c>
      <c r="F36" s="62">
        <f t="shared" si="33"/>
        <v>0</v>
      </c>
      <c r="G36" s="62"/>
      <c r="H36" s="62"/>
      <c r="I36" s="61"/>
      <c r="J36" s="61"/>
      <c r="K36" s="61"/>
      <c r="L36" s="61"/>
      <c r="M36" s="61" t="str">
        <f t="shared" si="34"/>
        <v>Srpen</v>
      </c>
      <c r="N36" s="62">
        <f t="shared" si="35"/>
        <v>0</v>
      </c>
      <c r="O36" s="62">
        <f t="shared" si="36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31"/>
        <v>Září</v>
      </c>
      <c r="E37" s="62">
        <f t="shared" si="32"/>
        <v>0</v>
      </c>
      <c r="F37" s="62">
        <f t="shared" si="33"/>
        <v>0</v>
      </c>
      <c r="G37" s="62"/>
      <c r="H37" s="62"/>
      <c r="I37" s="61"/>
      <c r="J37" s="61"/>
      <c r="K37" s="61"/>
      <c r="L37" s="61"/>
      <c r="M37" s="61" t="str">
        <f t="shared" si="34"/>
        <v>Září</v>
      </c>
      <c r="N37" s="62">
        <f t="shared" si="35"/>
        <v>0</v>
      </c>
      <c r="O37" s="62">
        <f t="shared" si="36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31"/>
        <v>Říjen</v>
      </c>
      <c r="E38" s="62">
        <f t="shared" si="32"/>
        <v>0</v>
      </c>
      <c r="F38" s="62">
        <f t="shared" si="33"/>
        <v>0</v>
      </c>
      <c r="G38" s="62"/>
      <c r="H38" s="62"/>
      <c r="I38" s="61"/>
      <c r="J38" s="61"/>
      <c r="K38" s="61"/>
      <c r="L38" s="61"/>
      <c r="M38" s="61" t="str">
        <f t="shared" si="34"/>
        <v>Říjen</v>
      </c>
      <c r="N38" s="62">
        <f t="shared" si="35"/>
        <v>0</v>
      </c>
      <c r="O38" s="62">
        <f t="shared" si="36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31"/>
        <v>Listopad</v>
      </c>
      <c r="E39" s="62">
        <f t="shared" si="32"/>
        <v>0</v>
      </c>
      <c r="F39" s="62">
        <f t="shared" si="33"/>
        <v>0</v>
      </c>
      <c r="G39" s="61"/>
      <c r="H39" s="61"/>
      <c r="I39" s="61"/>
      <c r="J39" s="61"/>
      <c r="K39" s="61"/>
      <c r="L39" s="61"/>
      <c r="M39" s="61" t="str">
        <f t="shared" si="34"/>
        <v>Listopad</v>
      </c>
      <c r="N39" s="62">
        <f t="shared" si="35"/>
        <v>0</v>
      </c>
      <c r="O39" s="62">
        <f t="shared" si="36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32"/>
        <v>0</v>
      </c>
      <c r="F40" s="62">
        <f t="shared" si="33"/>
        <v>0</v>
      </c>
      <c r="G40" s="61"/>
      <c r="H40" s="61"/>
      <c r="I40" s="61"/>
      <c r="J40" s="61"/>
      <c r="K40" s="61"/>
      <c r="L40" s="61"/>
      <c r="M40" s="61" t="str">
        <f t="shared" si="34"/>
        <v>Prosinec</v>
      </c>
      <c r="N40" s="62">
        <f t="shared" si="35"/>
        <v>0</v>
      </c>
      <c r="O40" s="62">
        <f t="shared" si="36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B22 D19:E19 B24 D23 I21:I22 I20 I24 I23 N19:R19 N20 N21:T22 N24:T24 N23:R23 P20:R20 E20 D21:E22 D24:E24 G19 G21:G22 G24 K21:K22 K24 K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60" t="s">
        <v>295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</row>
    <row r="2" spans="1:36" ht="6" customHeight="1">
      <c r="A2" s="237"/>
      <c r="B2" s="474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</row>
    <row r="3" spans="1:36" ht="18" customHeight="1">
      <c r="A3" s="248">
        <f>'3.1'!A4</f>
        <v>2023</v>
      </c>
      <c r="B3" s="466" t="s">
        <v>159</v>
      </c>
      <c r="C3" s="469"/>
      <c r="D3" s="469"/>
      <c r="E3" s="469"/>
      <c r="F3" s="469"/>
      <c r="G3" s="468"/>
      <c r="H3" s="469" t="s">
        <v>60</v>
      </c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</row>
    <row r="4" spans="1:36" ht="18" customHeight="1">
      <c r="A4" s="210"/>
      <c r="B4" s="245"/>
      <c r="C4" s="246"/>
      <c r="D4" s="246"/>
      <c r="E4" s="246"/>
      <c r="F4" s="246"/>
      <c r="G4" s="247"/>
      <c r="H4" s="249" t="s">
        <v>260</v>
      </c>
      <c r="I4" s="249"/>
      <c r="J4" s="249"/>
      <c r="K4" s="249"/>
      <c r="L4" s="249"/>
      <c r="M4" s="476" t="s">
        <v>266</v>
      </c>
      <c r="N4" s="249"/>
      <c r="O4" s="250" t="s">
        <v>218</v>
      </c>
      <c r="P4" s="249"/>
      <c r="Q4" s="249"/>
      <c r="R4" s="249"/>
      <c r="S4" s="249"/>
      <c r="T4" s="476" t="s">
        <v>266</v>
      </c>
      <c r="U4" s="249"/>
    </row>
    <row r="5" spans="1:36" ht="16.5" customHeight="1">
      <c r="A5" s="213"/>
      <c r="B5" s="231" t="s">
        <v>4</v>
      </c>
      <c r="C5" s="232" t="s">
        <v>5</v>
      </c>
      <c r="D5" s="194" t="s">
        <v>6</v>
      </c>
      <c r="E5" s="232" t="s">
        <v>7</v>
      </c>
      <c r="F5" s="232" t="s">
        <v>93</v>
      </c>
      <c r="G5" s="233" t="s">
        <v>0</v>
      </c>
      <c r="H5" s="232" t="s">
        <v>4</v>
      </c>
      <c r="I5" s="232" t="s">
        <v>5</v>
      </c>
      <c r="J5" s="194" t="s">
        <v>6</v>
      </c>
      <c r="K5" s="232" t="s">
        <v>7</v>
      </c>
      <c r="L5" s="232" t="s">
        <v>93</v>
      </c>
      <c r="M5" s="477"/>
      <c r="N5" s="232" t="s">
        <v>0</v>
      </c>
      <c r="O5" s="231" t="s">
        <v>4</v>
      </c>
      <c r="P5" s="232" t="s">
        <v>5</v>
      </c>
      <c r="Q5" s="194" t="s">
        <v>6</v>
      </c>
      <c r="R5" s="232" t="s">
        <v>7</v>
      </c>
      <c r="S5" s="232" t="s">
        <v>93</v>
      </c>
      <c r="T5" s="477"/>
      <c r="U5" s="232" t="s">
        <v>0</v>
      </c>
    </row>
    <row r="6" spans="1:36" ht="12.95" customHeight="1">
      <c r="A6" s="176" t="s">
        <v>160</v>
      </c>
      <c r="B6" s="240">
        <v>1561</v>
      </c>
      <c r="C6" s="235">
        <v>6259</v>
      </c>
      <c r="D6" s="236">
        <v>203363</v>
      </c>
      <c r="E6" s="236">
        <v>2566543</v>
      </c>
      <c r="F6" s="236">
        <v>272</v>
      </c>
      <c r="G6" s="242">
        <v>2777998</v>
      </c>
      <c r="H6" s="177">
        <v>333.08314962794918</v>
      </c>
      <c r="I6" s="177">
        <v>87.913767923197724</v>
      </c>
      <c r="J6" s="178">
        <v>158.48286697286753</v>
      </c>
      <c r="K6" s="178">
        <v>286.74264276664042</v>
      </c>
      <c r="L6" s="178">
        <v>7.4043694263888105</v>
      </c>
      <c r="M6" s="178">
        <v>18.152813832539525</v>
      </c>
      <c r="N6" s="178">
        <v>891.77961054958314</v>
      </c>
      <c r="O6" s="183">
        <v>3628.8150624199993</v>
      </c>
      <c r="P6" s="177">
        <v>957.71665551000012</v>
      </c>
      <c r="Q6" s="178">
        <v>1726.3105039500001</v>
      </c>
      <c r="R6" s="178">
        <v>3123.2445572099996</v>
      </c>
      <c r="S6" s="178">
        <v>80.646849180000004</v>
      </c>
      <c r="T6" s="178">
        <v>197.82966727999997</v>
      </c>
      <c r="U6" s="178">
        <v>9714.5632955499987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6" t="s">
        <v>161</v>
      </c>
      <c r="B7" s="240">
        <v>1571</v>
      </c>
      <c r="C7" s="236">
        <v>6237</v>
      </c>
      <c r="D7" s="236">
        <v>203239</v>
      </c>
      <c r="E7" s="236">
        <v>2564140</v>
      </c>
      <c r="F7" s="236">
        <v>273</v>
      </c>
      <c r="G7" s="242">
        <v>2775460</v>
      </c>
      <c r="H7" s="177">
        <v>322.3086166740249</v>
      </c>
      <c r="I7" s="178">
        <v>84.644104630115194</v>
      </c>
      <c r="J7" s="178">
        <v>149.73867570614559</v>
      </c>
      <c r="K7" s="178">
        <v>279.28175202647486</v>
      </c>
      <c r="L7" s="178">
        <v>6.9984378681935766</v>
      </c>
      <c r="M7" s="178">
        <v>17.795721669949028</v>
      </c>
      <c r="N7" s="178">
        <v>860.76730857490304</v>
      </c>
      <c r="O7" s="183">
        <v>3499.5847333470001</v>
      </c>
      <c r="P7" s="178">
        <v>918.61903907999988</v>
      </c>
      <c r="Q7" s="178">
        <v>1624.64771834</v>
      </c>
      <c r="R7" s="178">
        <v>3029.4811226499996</v>
      </c>
      <c r="S7" s="178">
        <v>75.919713230000013</v>
      </c>
      <c r="T7" s="178">
        <v>193.137024349</v>
      </c>
      <c r="U7" s="178">
        <v>9341.3893509959998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79" t="s">
        <v>162</v>
      </c>
      <c r="B8" s="241">
        <v>1562</v>
      </c>
      <c r="C8" s="239">
        <v>6124</v>
      </c>
      <c r="D8" s="239">
        <v>203202</v>
      </c>
      <c r="E8" s="239">
        <v>2561383</v>
      </c>
      <c r="F8" s="239">
        <v>273</v>
      </c>
      <c r="G8" s="243">
        <v>2772544</v>
      </c>
      <c r="H8" s="180">
        <v>317.34603022918276</v>
      </c>
      <c r="I8" s="181">
        <v>73.962819966487572</v>
      </c>
      <c r="J8" s="181">
        <v>125.37956535992275</v>
      </c>
      <c r="K8" s="181">
        <v>227.62200917493357</v>
      </c>
      <c r="L8" s="181">
        <v>7.7712376838427879</v>
      </c>
      <c r="M8" s="181">
        <v>17.186378775875479</v>
      </c>
      <c r="N8" s="181">
        <v>769.26804119024484</v>
      </c>
      <c r="O8" s="184">
        <v>3440.9786438010001</v>
      </c>
      <c r="P8" s="181">
        <v>802.00648307999973</v>
      </c>
      <c r="Q8" s="181">
        <v>1359.2600900159052</v>
      </c>
      <c r="R8" s="181">
        <v>2467.1919449630491</v>
      </c>
      <c r="S8" s="181">
        <v>84.243039270000011</v>
      </c>
      <c r="T8" s="181">
        <v>186.33921355199999</v>
      </c>
      <c r="U8" s="181">
        <v>8340.019414681954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6" t="s">
        <v>163</v>
      </c>
      <c r="B9" s="240">
        <v>1561</v>
      </c>
      <c r="C9" s="236">
        <v>6124</v>
      </c>
      <c r="D9" s="236">
        <v>203037</v>
      </c>
      <c r="E9" s="236">
        <v>2558793</v>
      </c>
      <c r="F9" s="236">
        <v>274</v>
      </c>
      <c r="G9" s="242">
        <v>2769789</v>
      </c>
      <c r="H9" s="177">
        <v>264.56305265840086</v>
      </c>
      <c r="I9" s="178">
        <v>56.563549248035756</v>
      </c>
      <c r="J9" s="178">
        <v>94.340661073887404</v>
      </c>
      <c r="K9" s="178">
        <v>177.65284109622951</v>
      </c>
      <c r="L9" s="178">
        <v>7.1359175686644285</v>
      </c>
      <c r="M9" s="178">
        <v>6.2118862771392971</v>
      </c>
      <c r="N9" s="178">
        <v>606.4679079223572</v>
      </c>
      <c r="O9" s="183">
        <v>2885.4855264899998</v>
      </c>
      <c r="P9" s="178">
        <v>617.18135166000002</v>
      </c>
      <c r="Q9" s="178">
        <v>1029.208124548823</v>
      </c>
      <c r="R9" s="178">
        <v>1937.9369237121366</v>
      </c>
      <c r="S9" s="178">
        <v>77.845143699999994</v>
      </c>
      <c r="T9" s="178">
        <v>67.858734327000036</v>
      </c>
      <c r="U9" s="178">
        <v>6615.5158044379596</v>
      </c>
      <c r="V9" s="58"/>
      <c r="W9" s="57"/>
      <c r="X9" s="57"/>
      <c r="Y9" s="57"/>
    </row>
    <row r="10" spans="1:36" ht="12.95" customHeight="1">
      <c r="A10" s="176" t="s">
        <v>164</v>
      </c>
      <c r="B10" s="240">
        <v>1559</v>
      </c>
      <c r="C10" s="236">
        <v>6122</v>
      </c>
      <c r="D10" s="236">
        <v>202926</v>
      </c>
      <c r="E10" s="236">
        <v>2555793</v>
      </c>
      <c r="F10" s="236">
        <v>274</v>
      </c>
      <c r="G10" s="242">
        <v>2766674</v>
      </c>
      <c r="H10" s="177">
        <v>215.46650890744721</v>
      </c>
      <c r="I10" s="178">
        <v>33.235032154891137</v>
      </c>
      <c r="J10" s="178">
        <v>37.185692944590521</v>
      </c>
      <c r="K10" s="178">
        <v>69.385130740620284</v>
      </c>
      <c r="L10" s="178">
        <v>7.584743316302279</v>
      </c>
      <c r="M10" s="178">
        <v>5.9969003121314115</v>
      </c>
      <c r="N10" s="178">
        <v>368.8540083759828</v>
      </c>
      <c r="O10" s="183">
        <v>2358.7172477190002</v>
      </c>
      <c r="P10" s="178">
        <v>363.95040377000004</v>
      </c>
      <c r="Q10" s="178">
        <v>407.17877283181116</v>
      </c>
      <c r="R10" s="178">
        <v>759.76684139510621</v>
      </c>
      <c r="S10" s="178">
        <v>83.055207889999991</v>
      </c>
      <c r="T10" s="178">
        <v>65.70331475699993</v>
      </c>
      <c r="U10" s="178">
        <v>4038.3717883629174</v>
      </c>
      <c r="V10" s="58"/>
      <c r="W10" s="57"/>
      <c r="X10" s="57"/>
      <c r="Y10" s="57"/>
    </row>
    <row r="11" spans="1:36" ht="12.95" customHeight="1">
      <c r="A11" s="179" t="s">
        <v>165</v>
      </c>
      <c r="B11" s="241">
        <v>1558</v>
      </c>
      <c r="C11" s="239">
        <v>6115</v>
      </c>
      <c r="D11" s="239">
        <v>202590</v>
      </c>
      <c r="E11" s="239">
        <v>2552635</v>
      </c>
      <c r="F11" s="239">
        <v>274</v>
      </c>
      <c r="G11" s="243">
        <v>2763172</v>
      </c>
      <c r="H11" s="180">
        <v>233.11737302010263</v>
      </c>
      <c r="I11" s="181">
        <v>23.324051380785701</v>
      </c>
      <c r="J11" s="181">
        <v>16.854257625039082</v>
      </c>
      <c r="K11" s="181">
        <v>31.565714545199484</v>
      </c>
      <c r="L11" s="181">
        <v>7.5520664542839064</v>
      </c>
      <c r="M11" s="181">
        <v>1.5396886030559682</v>
      </c>
      <c r="N11" s="181">
        <v>313.95315162846674</v>
      </c>
      <c r="O11" s="184">
        <v>2553.3494787288696</v>
      </c>
      <c r="P11" s="181">
        <v>255.51099970999996</v>
      </c>
      <c r="Q11" s="181">
        <v>184.61390044929578</v>
      </c>
      <c r="R11" s="181">
        <v>345.79761341370596</v>
      </c>
      <c r="S11" s="181">
        <v>82.729357419999999</v>
      </c>
      <c r="T11" s="181">
        <v>17.012563173999993</v>
      </c>
      <c r="U11" s="181">
        <v>3439.0139128958713</v>
      </c>
      <c r="V11" s="58"/>
      <c r="W11" s="57"/>
      <c r="X11" s="57"/>
      <c r="Y11" s="57"/>
    </row>
    <row r="12" spans="1:36" ht="12.95" customHeight="1">
      <c r="A12" s="176" t="s">
        <v>166</v>
      </c>
      <c r="B12" s="240"/>
      <c r="C12" s="236"/>
      <c r="D12" s="236"/>
      <c r="E12" s="236"/>
      <c r="F12" s="236"/>
      <c r="G12" s="242"/>
      <c r="H12" s="177"/>
      <c r="I12" s="178"/>
      <c r="J12" s="178"/>
      <c r="K12" s="178"/>
      <c r="L12" s="178"/>
      <c r="M12" s="178"/>
      <c r="N12" s="178"/>
      <c r="O12" s="183"/>
      <c r="P12" s="178"/>
      <c r="Q12" s="178"/>
      <c r="R12" s="178"/>
      <c r="S12" s="178"/>
      <c r="T12" s="178"/>
      <c r="U12" s="178"/>
      <c r="V12" s="58"/>
      <c r="W12" s="57"/>
      <c r="X12" s="57"/>
      <c r="Y12" s="57"/>
    </row>
    <row r="13" spans="1:36" ht="12.95" customHeight="1">
      <c r="A13" s="176" t="s">
        <v>167</v>
      </c>
      <c r="B13" s="240"/>
      <c r="C13" s="236"/>
      <c r="D13" s="236"/>
      <c r="E13" s="236"/>
      <c r="F13" s="236"/>
      <c r="G13" s="242"/>
      <c r="H13" s="177"/>
      <c r="I13" s="178"/>
      <c r="J13" s="178"/>
      <c r="K13" s="178"/>
      <c r="L13" s="178"/>
      <c r="M13" s="178"/>
      <c r="N13" s="178"/>
      <c r="O13" s="183"/>
      <c r="P13" s="178"/>
      <c r="Q13" s="178"/>
      <c r="R13" s="178"/>
      <c r="S13" s="178"/>
      <c r="T13" s="178"/>
      <c r="U13" s="178"/>
      <c r="V13" s="58"/>
      <c r="W13" s="57"/>
      <c r="X13" s="57"/>
      <c r="Y13" s="57"/>
    </row>
    <row r="14" spans="1:36" ht="12.95" customHeight="1">
      <c r="A14" s="179" t="s">
        <v>168</v>
      </c>
      <c r="B14" s="241"/>
      <c r="C14" s="239"/>
      <c r="D14" s="239"/>
      <c r="E14" s="239"/>
      <c r="F14" s="239"/>
      <c r="G14" s="243"/>
      <c r="H14" s="180"/>
      <c r="I14" s="181"/>
      <c r="J14" s="181"/>
      <c r="K14" s="181"/>
      <c r="L14" s="181"/>
      <c r="M14" s="181"/>
      <c r="N14" s="181"/>
      <c r="O14" s="184"/>
      <c r="P14" s="181"/>
      <c r="Q14" s="181"/>
      <c r="R14" s="181"/>
      <c r="S14" s="181"/>
      <c r="T14" s="181"/>
      <c r="U14" s="181"/>
      <c r="V14" s="58"/>
      <c r="W14" s="57"/>
      <c r="X14" s="57"/>
      <c r="Y14" s="57"/>
    </row>
    <row r="15" spans="1:36" ht="12.95" customHeight="1">
      <c r="A15" s="176" t="s">
        <v>169</v>
      </c>
      <c r="B15" s="240"/>
      <c r="C15" s="236"/>
      <c r="D15" s="236"/>
      <c r="E15" s="236"/>
      <c r="F15" s="236"/>
      <c r="G15" s="242"/>
      <c r="H15" s="177"/>
      <c r="I15" s="178"/>
      <c r="J15" s="178"/>
      <c r="K15" s="178"/>
      <c r="L15" s="178"/>
      <c r="M15" s="178"/>
      <c r="N15" s="178"/>
      <c r="O15" s="183"/>
      <c r="P15" s="178"/>
      <c r="Q15" s="178"/>
      <c r="R15" s="178"/>
      <c r="S15" s="178"/>
      <c r="T15" s="178"/>
      <c r="U15" s="178"/>
      <c r="V15" s="58"/>
      <c r="W15" s="57"/>
      <c r="X15" s="57"/>
      <c r="Y15" s="57"/>
    </row>
    <row r="16" spans="1:36" ht="12.95" customHeight="1">
      <c r="A16" s="176" t="s">
        <v>170</v>
      </c>
      <c r="B16" s="240"/>
      <c r="C16" s="236"/>
      <c r="D16" s="236"/>
      <c r="E16" s="236"/>
      <c r="F16" s="236"/>
      <c r="G16" s="242"/>
      <c r="H16" s="177"/>
      <c r="I16" s="178"/>
      <c r="J16" s="178"/>
      <c r="K16" s="178"/>
      <c r="L16" s="178"/>
      <c r="M16" s="178"/>
      <c r="N16" s="178"/>
      <c r="O16" s="183"/>
      <c r="P16" s="178"/>
      <c r="Q16" s="178"/>
      <c r="R16" s="178"/>
      <c r="S16" s="178"/>
      <c r="T16" s="178"/>
      <c r="U16" s="178"/>
      <c r="V16" s="58"/>
      <c r="W16" s="57"/>
      <c r="X16" s="57"/>
      <c r="Y16" s="57"/>
    </row>
    <row r="17" spans="1:25" ht="12.95" customHeight="1">
      <c r="A17" s="179" t="s">
        <v>171</v>
      </c>
      <c r="B17" s="241"/>
      <c r="C17" s="239"/>
      <c r="D17" s="239"/>
      <c r="E17" s="239"/>
      <c r="F17" s="239"/>
      <c r="G17" s="243"/>
      <c r="H17" s="180"/>
      <c r="I17" s="181"/>
      <c r="J17" s="181"/>
      <c r="K17" s="181"/>
      <c r="L17" s="181"/>
      <c r="M17" s="181"/>
      <c r="N17" s="181"/>
      <c r="O17" s="184"/>
      <c r="P17" s="181"/>
      <c r="Q17" s="181"/>
      <c r="R17" s="181"/>
      <c r="S17" s="181"/>
      <c r="T17" s="181"/>
      <c r="U17" s="181"/>
      <c r="V17" s="58"/>
      <c r="W17" s="57"/>
      <c r="X17" s="57"/>
      <c r="Y17" s="57"/>
    </row>
    <row r="18" spans="1:25" ht="12.95" customHeight="1">
      <c r="A18" s="176" t="s">
        <v>48</v>
      </c>
      <c r="B18" s="240">
        <f>B8</f>
        <v>1562</v>
      </c>
      <c r="C18" s="235">
        <f t="shared" ref="C18:E18" si="0">C8</f>
        <v>6124</v>
      </c>
      <c r="D18" s="235">
        <f t="shared" si="0"/>
        <v>203202</v>
      </c>
      <c r="E18" s="235">
        <f t="shared" si="0"/>
        <v>2561383</v>
      </c>
      <c r="F18" s="235">
        <f t="shared" ref="F18" si="1">F8</f>
        <v>273</v>
      </c>
      <c r="G18" s="244">
        <f>G8</f>
        <v>2772544</v>
      </c>
      <c r="H18" s="177">
        <f>SUM(H6:H8)</f>
        <v>972.73779653115685</v>
      </c>
      <c r="I18" s="177">
        <f>SUM(I6:I8)</f>
        <v>246.52069251980049</v>
      </c>
      <c r="J18" s="177">
        <f t="shared" ref="J18:K18" si="2">SUM(J6:J8)</f>
        <v>433.60110803893588</v>
      </c>
      <c r="K18" s="177">
        <f t="shared" si="2"/>
        <v>793.64640396804884</v>
      </c>
      <c r="L18" s="177">
        <f t="shared" ref="L18" si="3">SUM(L6:L8)</f>
        <v>22.174044978425176</v>
      </c>
      <c r="M18" s="177">
        <f t="shared" ref="M18" si="4">SUM(M6:M8)</f>
        <v>53.134914278364036</v>
      </c>
      <c r="N18" s="177">
        <f>SUM(N6:N8)</f>
        <v>2521.8149603147308</v>
      </c>
      <c r="O18" s="183">
        <f>SUM(O6:O8)</f>
        <v>10569.378439568</v>
      </c>
      <c r="P18" s="177">
        <f>SUM(P6:P8)</f>
        <v>2678.3421776699997</v>
      </c>
      <c r="Q18" s="177">
        <f t="shared" ref="Q18:U18" si="5">SUM(Q6:Q8)</f>
        <v>4710.2183123059049</v>
      </c>
      <c r="R18" s="177">
        <f t="shared" si="5"/>
        <v>8619.9176248230488</v>
      </c>
      <c r="S18" s="177">
        <f t="shared" ref="S18" si="6">SUM(S6:S8)</f>
        <v>240.80960168000001</v>
      </c>
      <c r="T18" s="177">
        <f t="shared" ref="T18" si="7">SUM(T6:T8)</f>
        <v>577.30590518099996</v>
      </c>
      <c r="U18" s="177">
        <f t="shared" si="5"/>
        <v>27395.972061227956</v>
      </c>
    </row>
    <row r="19" spans="1:25" ht="12.95" customHeight="1">
      <c r="A19" s="176" t="s">
        <v>56</v>
      </c>
      <c r="B19" s="240">
        <f>B11</f>
        <v>1558</v>
      </c>
      <c r="C19" s="235">
        <f t="shared" ref="C19:G19" si="8">C11</f>
        <v>6115</v>
      </c>
      <c r="D19" s="235">
        <f t="shared" si="8"/>
        <v>202590</v>
      </c>
      <c r="E19" s="235">
        <f t="shared" si="8"/>
        <v>2552635</v>
      </c>
      <c r="F19" s="235">
        <f t="shared" ref="F19" si="9">F11</f>
        <v>274</v>
      </c>
      <c r="G19" s="244">
        <f t="shared" si="8"/>
        <v>2763172</v>
      </c>
      <c r="H19" s="177">
        <f>SUM(H9:H11)</f>
        <v>713.1469345859507</v>
      </c>
      <c r="I19" s="177">
        <f>SUM(I9:I11)</f>
        <v>113.12263278371259</v>
      </c>
      <c r="J19" s="177">
        <f t="shared" ref="J19:N19" si="10">SUM(J9:J11)</f>
        <v>148.380611643517</v>
      </c>
      <c r="K19" s="177">
        <f t="shared" si="10"/>
        <v>278.60368638204932</v>
      </c>
      <c r="L19" s="177">
        <f t="shared" ref="L19" si="11">SUM(L9:L11)</f>
        <v>22.272727339250615</v>
      </c>
      <c r="M19" s="177">
        <f t="shared" ref="M19" si="12">SUM(M9:M11)</f>
        <v>13.748475192326676</v>
      </c>
      <c r="N19" s="177">
        <f t="shared" si="10"/>
        <v>1289.2750679268067</v>
      </c>
      <c r="O19" s="183">
        <f>SUM(O9:O11)</f>
        <v>7797.5522529378686</v>
      </c>
      <c r="P19" s="177">
        <f>SUM(P9:P11)</f>
        <v>1236.6427551400002</v>
      </c>
      <c r="Q19" s="177">
        <f t="shared" ref="Q19:U19" si="13">SUM(Q9:Q11)</f>
        <v>1621.00079782993</v>
      </c>
      <c r="R19" s="177">
        <f t="shared" si="13"/>
        <v>3043.5013785209489</v>
      </c>
      <c r="S19" s="177">
        <f t="shared" ref="S19" si="14">SUM(S9:S11)</f>
        <v>243.62970901</v>
      </c>
      <c r="T19" s="177">
        <f t="shared" ref="T19" si="15">SUM(T9:T11)</f>
        <v>150.57461225799995</v>
      </c>
      <c r="U19" s="177">
        <f t="shared" si="13"/>
        <v>14092.901505696747</v>
      </c>
    </row>
    <row r="20" spans="1:25" ht="12.95" customHeight="1">
      <c r="A20" s="176" t="s">
        <v>63</v>
      </c>
      <c r="B20" s="407">
        <f>B14</f>
        <v>0</v>
      </c>
      <c r="C20" s="408">
        <f t="shared" ref="C20:G20" si="16">C14</f>
        <v>0</v>
      </c>
      <c r="D20" s="408">
        <f t="shared" si="16"/>
        <v>0</v>
      </c>
      <c r="E20" s="408">
        <f t="shared" si="16"/>
        <v>0</v>
      </c>
      <c r="F20" s="408">
        <f t="shared" ref="F20" si="17">F14</f>
        <v>0</v>
      </c>
      <c r="G20" s="409">
        <f t="shared" si="16"/>
        <v>0</v>
      </c>
      <c r="H20" s="387">
        <f>SUM(H12:H14)</f>
        <v>0</v>
      </c>
      <c r="I20" s="387">
        <f>SUM(I12:I14)</f>
        <v>0</v>
      </c>
      <c r="J20" s="387">
        <f t="shared" ref="J20:N20" si="18">SUM(J12:J14)</f>
        <v>0</v>
      </c>
      <c r="K20" s="387">
        <f t="shared" si="18"/>
        <v>0</v>
      </c>
      <c r="L20" s="387">
        <f t="shared" ref="L20" si="19">SUM(L12:L14)</f>
        <v>0</v>
      </c>
      <c r="M20" s="387">
        <f t="shared" ref="M20" si="20">SUM(M12:M14)</f>
        <v>0</v>
      </c>
      <c r="N20" s="387">
        <f t="shared" si="18"/>
        <v>0</v>
      </c>
      <c r="O20" s="386">
        <f>SUM(O12:O14)</f>
        <v>0</v>
      </c>
      <c r="P20" s="387">
        <f>SUM(P12:P14)</f>
        <v>0</v>
      </c>
      <c r="Q20" s="387">
        <f t="shared" ref="Q20:U20" si="21">SUM(Q12:Q14)</f>
        <v>0</v>
      </c>
      <c r="R20" s="387">
        <f t="shared" si="21"/>
        <v>0</v>
      </c>
      <c r="S20" s="387">
        <f t="shared" ref="S20" si="22">SUM(S12:S14)</f>
        <v>0</v>
      </c>
      <c r="T20" s="387">
        <f t="shared" ref="T20" si="23">SUM(T12:T14)</f>
        <v>0</v>
      </c>
      <c r="U20" s="387">
        <f t="shared" si="21"/>
        <v>0</v>
      </c>
    </row>
    <row r="21" spans="1:25" ht="12.95" customHeight="1">
      <c r="A21" s="179" t="s">
        <v>57</v>
      </c>
      <c r="B21" s="410">
        <f>B17</f>
        <v>0</v>
      </c>
      <c r="C21" s="411">
        <f t="shared" ref="C21:E21" si="24">C17</f>
        <v>0</v>
      </c>
      <c r="D21" s="411">
        <f t="shared" si="24"/>
        <v>0</v>
      </c>
      <c r="E21" s="411">
        <f t="shared" si="24"/>
        <v>0</v>
      </c>
      <c r="F21" s="411">
        <f t="shared" ref="F21" si="25">F17</f>
        <v>0</v>
      </c>
      <c r="G21" s="412">
        <f>G17</f>
        <v>0</v>
      </c>
      <c r="H21" s="390">
        <f>SUM(H15:H17)</f>
        <v>0</v>
      </c>
      <c r="I21" s="390">
        <f>SUM(I15:I17)</f>
        <v>0</v>
      </c>
      <c r="J21" s="390">
        <f t="shared" ref="J21:N21" si="26">SUM(J15:J17)</f>
        <v>0</v>
      </c>
      <c r="K21" s="390">
        <f t="shared" si="26"/>
        <v>0</v>
      </c>
      <c r="L21" s="390">
        <f t="shared" ref="L21" si="27">SUM(L15:L17)</f>
        <v>0</v>
      </c>
      <c r="M21" s="390">
        <f t="shared" ref="M21" si="28">SUM(M15:M17)</f>
        <v>0</v>
      </c>
      <c r="N21" s="390">
        <f t="shared" si="26"/>
        <v>0</v>
      </c>
      <c r="O21" s="389">
        <f>SUM(O15:O17)</f>
        <v>0</v>
      </c>
      <c r="P21" s="390">
        <f>SUM(P15:P17)</f>
        <v>0</v>
      </c>
      <c r="Q21" s="390">
        <f t="shared" ref="Q21:U21" si="29">SUM(Q15:Q17)</f>
        <v>0</v>
      </c>
      <c r="R21" s="390">
        <f t="shared" si="29"/>
        <v>0</v>
      </c>
      <c r="S21" s="390">
        <f t="shared" ref="S21" si="30">SUM(S15:S17)</f>
        <v>0</v>
      </c>
      <c r="T21" s="390">
        <f t="shared" ref="T21" si="31">SUM(T15:T17)</f>
        <v>0</v>
      </c>
      <c r="U21" s="390">
        <f t="shared" si="29"/>
        <v>0</v>
      </c>
    </row>
    <row r="22" spans="1:25" ht="12.95" customHeight="1">
      <c r="A22" s="176" t="s">
        <v>58</v>
      </c>
      <c r="B22" s="240">
        <f>B11</f>
        <v>1558</v>
      </c>
      <c r="C22" s="235">
        <f t="shared" ref="C22:G22" si="32">C11</f>
        <v>6115</v>
      </c>
      <c r="D22" s="235">
        <f t="shared" si="32"/>
        <v>202590</v>
      </c>
      <c r="E22" s="235">
        <f t="shared" si="32"/>
        <v>2552635</v>
      </c>
      <c r="F22" s="235">
        <f t="shared" ref="F22" si="33">F11</f>
        <v>274</v>
      </c>
      <c r="G22" s="244">
        <f t="shared" si="32"/>
        <v>2763172</v>
      </c>
      <c r="H22" s="177">
        <f>SUM(H6:H11)</f>
        <v>1685.8847311171075</v>
      </c>
      <c r="I22" s="177">
        <f>SUM(I6:I11)</f>
        <v>359.64332530351311</v>
      </c>
      <c r="J22" s="177">
        <f t="shared" ref="J22:N22" si="34">SUM(J6:J11)</f>
        <v>581.98171968245288</v>
      </c>
      <c r="K22" s="177">
        <f t="shared" si="34"/>
        <v>1072.2500903500979</v>
      </c>
      <c r="L22" s="177">
        <f t="shared" ref="L22" si="35">SUM(L6:L11)</f>
        <v>44.446772317675794</v>
      </c>
      <c r="M22" s="177">
        <f t="shared" ref="M22" si="36">SUM(M6:M11)</f>
        <v>66.883389470690716</v>
      </c>
      <c r="N22" s="177">
        <f t="shared" si="34"/>
        <v>3811.0900282415378</v>
      </c>
      <c r="O22" s="183">
        <f>SUM(O6:O11)</f>
        <v>18366.93069250587</v>
      </c>
      <c r="P22" s="177">
        <f>SUM(P6:P11)</f>
        <v>3914.9849328099995</v>
      </c>
      <c r="Q22" s="177">
        <f t="shared" ref="Q22:U22" si="37">SUM(Q6:Q11)</f>
        <v>6331.2191101358358</v>
      </c>
      <c r="R22" s="177">
        <f t="shared" si="37"/>
        <v>11663.419003343999</v>
      </c>
      <c r="S22" s="177">
        <f t="shared" ref="S22" si="38">SUM(S6:S11)</f>
        <v>484.43931069000001</v>
      </c>
      <c r="T22" s="177">
        <f t="shared" ref="T22" si="39">SUM(T6:T11)</f>
        <v>727.88051743899985</v>
      </c>
      <c r="U22" s="177">
        <f t="shared" si="37"/>
        <v>41488.873566924696</v>
      </c>
    </row>
    <row r="23" spans="1:25" ht="12.95" customHeight="1">
      <c r="A23" s="179" t="s">
        <v>59</v>
      </c>
      <c r="B23" s="410">
        <f>B17</f>
        <v>0</v>
      </c>
      <c r="C23" s="411">
        <f t="shared" ref="C23:G23" si="40">C17</f>
        <v>0</v>
      </c>
      <c r="D23" s="411">
        <f t="shared" si="40"/>
        <v>0</v>
      </c>
      <c r="E23" s="411">
        <f t="shared" si="40"/>
        <v>0</v>
      </c>
      <c r="F23" s="411">
        <f t="shared" ref="F23" si="41">F17</f>
        <v>0</v>
      </c>
      <c r="G23" s="412">
        <f t="shared" si="40"/>
        <v>0</v>
      </c>
      <c r="H23" s="390">
        <f>SUM(H12:H17)</f>
        <v>0</v>
      </c>
      <c r="I23" s="390">
        <f>SUM(I12:I17)</f>
        <v>0</v>
      </c>
      <c r="J23" s="390">
        <f t="shared" ref="J23:N23" si="42">SUM(J12:J17)</f>
        <v>0</v>
      </c>
      <c r="K23" s="390">
        <f t="shared" si="42"/>
        <v>0</v>
      </c>
      <c r="L23" s="390">
        <f t="shared" ref="L23" si="43">SUM(L12:L17)</f>
        <v>0</v>
      </c>
      <c r="M23" s="390">
        <f t="shared" ref="M23" si="44">SUM(M12:M17)</f>
        <v>0</v>
      </c>
      <c r="N23" s="390">
        <f t="shared" si="42"/>
        <v>0</v>
      </c>
      <c r="O23" s="389">
        <f>SUM(O12:O17)</f>
        <v>0</v>
      </c>
      <c r="P23" s="390">
        <f>SUM(P12:P17)</f>
        <v>0</v>
      </c>
      <c r="Q23" s="390">
        <f t="shared" ref="Q23:U23" si="45">SUM(Q12:Q17)</f>
        <v>0</v>
      </c>
      <c r="R23" s="390">
        <f t="shared" si="45"/>
        <v>0</v>
      </c>
      <c r="S23" s="390">
        <f t="shared" ref="S23" si="46">SUM(S12:S17)</f>
        <v>0</v>
      </c>
      <c r="T23" s="390">
        <f t="shared" ref="T23" si="47">SUM(T12:T17)</f>
        <v>0</v>
      </c>
      <c r="U23" s="390">
        <f t="shared" si="45"/>
        <v>0</v>
      </c>
    </row>
    <row r="24" spans="1:25" ht="12.95" customHeight="1">
      <c r="A24" s="179" t="s">
        <v>172</v>
      </c>
      <c r="B24" s="410">
        <f>B17</f>
        <v>0</v>
      </c>
      <c r="C24" s="411">
        <f t="shared" ref="C24:G24" si="48">C17</f>
        <v>0</v>
      </c>
      <c r="D24" s="411">
        <f t="shared" si="48"/>
        <v>0</v>
      </c>
      <c r="E24" s="411">
        <f t="shared" si="48"/>
        <v>0</v>
      </c>
      <c r="F24" s="411">
        <f t="shared" ref="F24" si="49">F17</f>
        <v>0</v>
      </c>
      <c r="G24" s="412">
        <f t="shared" si="48"/>
        <v>0</v>
      </c>
      <c r="H24" s="390">
        <f>SUM(H6:H17)</f>
        <v>1685.8847311171075</v>
      </c>
      <c r="I24" s="390">
        <f>SUM(I6:I17)</f>
        <v>359.64332530351311</v>
      </c>
      <c r="J24" s="390">
        <f t="shared" ref="J24:N24" si="50">SUM(J6:J17)</f>
        <v>581.98171968245288</v>
      </c>
      <c r="K24" s="390">
        <f t="shared" si="50"/>
        <v>1072.2500903500979</v>
      </c>
      <c r="L24" s="390">
        <f t="shared" ref="L24" si="51">SUM(L6:L17)</f>
        <v>44.446772317675794</v>
      </c>
      <c r="M24" s="390">
        <f t="shared" ref="M24" si="52">SUM(M6:M17)</f>
        <v>66.883389470690716</v>
      </c>
      <c r="N24" s="390">
        <f t="shared" si="50"/>
        <v>3811.0900282415378</v>
      </c>
      <c r="O24" s="389">
        <f>SUM(O6:O17)</f>
        <v>18366.93069250587</v>
      </c>
      <c r="P24" s="390">
        <f>SUM(P6:P17)</f>
        <v>3914.9849328099995</v>
      </c>
      <c r="Q24" s="390">
        <f t="shared" ref="Q24:U24" si="53">SUM(Q6:Q17)</f>
        <v>6331.2191101358358</v>
      </c>
      <c r="R24" s="390">
        <f t="shared" si="53"/>
        <v>11663.419003343999</v>
      </c>
      <c r="S24" s="390">
        <f t="shared" ref="S24" si="54">SUM(S6:S17)</f>
        <v>484.43931069000001</v>
      </c>
      <c r="T24" s="390">
        <f t="shared" ref="T24" si="55">SUM(T6:T17)</f>
        <v>727.88051743899985</v>
      </c>
      <c r="U24" s="390">
        <f t="shared" si="53"/>
        <v>41488.873566924696</v>
      </c>
    </row>
    <row r="25" spans="1:25" ht="15" customHeight="1"/>
    <row r="26" spans="1:25" ht="26.1" customHeight="1">
      <c r="A26" s="457" t="s">
        <v>311</v>
      </c>
      <c r="B26" s="457"/>
      <c r="C26" s="457"/>
      <c r="D26" s="457"/>
      <c r="E26" s="457"/>
      <c r="F26" s="457"/>
      <c r="G26" s="457"/>
      <c r="H26" s="457"/>
      <c r="I26" s="457" t="s">
        <v>254</v>
      </c>
      <c r="J26" s="457"/>
      <c r="K26" s="457"/>
      <c r="L26" s="457"/>
      <c r="M26" s="457"/>
      <c r="N26" s="118"/>
      <c r="O26" s="118"/>
      <c r="P26" s="457" t="s">
        <v>255</v>
      </c>
      <c r="Q26" s="471"/>
      <c r="R26" s="471"/>
      <c r="S26" s="471"/>
      <c r="T26" s="471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4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1562</v>
      </c>
      <c r="C28" s="74">
        <f>C18</f>
        <v>6124</v>
      </c>
      <c r="D28" s="74">
        <f>D18</f>
        <v>203202</v>
      </c>
      <c r="E28" s="74">
        <f>E18</f>
        <v>2561383</v>
      </c>
      <c r="F28" s="74">
        <f>F18</f>
        <v>273</v>
      </c>
      <c r="G28" s="375"/>
      <c r="H28" s="73" t="str">
        <f>A18</f>
        <v>I. čtvrtletí</v>
      </c>
      <c r="I28" s="75">
        <f>H18</f>
        <v>972.73779653115685</v>
      </c>
      <c r="J28" s="75">
        <f t="shared" ref="J28:M28" si="60">I18</f>
        <v>246.52069251980049</v>
      </c>
      <c r="K28" s="75">
        <f t="shared" si="60"/>
        <v>433.60110803893588</v>
      </c>
      <c r="L28" s="75">
        <f t="shared" si="60"/>
        <v>793.64640396804884</v>
      </c>
      <c r="M28" s="75">
        <f t="shared" si="60"/>
        <v>22.174044978425176</v>
      </c>
      <c r="N28" s="61"/>
      <c r="O28" s="72" t="str">
        <f>A18</f>
        <v>I. čtvrtletí</v>
      </c>
      <c r="P28" s="74">
        <f>O18</f>
        <v>10569.378439568</v>
      </c>
      <c r="Q28" s="74">
        <f t="shared" ref="Q28:T28" si="61">P18</f>
        <v>2678.3421776699997</v>
      </c>
      <c r="R28" s="74">
        <f t="shared" si="61"/>
        <v>4710.2183123059049</v>
      </c>
      <c r="S28" s="74">
        <f t="shared" si="61"/>
        <v>8619.9176248230488</v>
      </c>
      <c r="T28" s="74">
        <f t="shared" si="61"/>
        <v>240.80960168000001</v>
      </c>
      <c r="U28" s="63"/>
    </row>
    <row r="29" spans="1:25" ht="12" customHeight="1">
      <c r="B29" s="420"/>
      <c r="C29" s="420"/>
      <c r="D29" s="420"/>
      <c r="E29" s="375"/>
      <c r="F29" s="375"/>
      <c r="G29" s="375"/>
      <c r="H29" s="73" t="str">
        <f t="shared" ref="H29:H31" si="62">A19</f>
        <v>II. čtvrtletí</v>
      </c>
      <c r="I29" s="75">
        <f t="shared" ref="I29:M29" si="63">H19</f>
        <v>713.1469345859507</v>
      </c>
      <c r="J29" s="75">
        <f t="shared" si="63"/>
        <v>113.12263278371259</v>
      </c>
      <c r="K29" s="75">
        <f t="shared" si="63"/>
        <v>148.380611643517</v>
      </c>
      <c r="L29" s="75">
        <f t="shared" si="63"/>
        <v>278.60368638204932</v>
      </c>
      <c r="M29" s="75">
        <f t="shared" si="63"/>
        <v>22.272727339250615</v>
      </c>
      <c r="N29" s="61"/>
      <c r="O29" s="72" t="str">
        <f t="shared" ref="O29:O31" si="64">A19</f>
        <v>II. čtvrtletí</v>
      </c>
      <c r="P29" s="74">
        <f t="shared" ref="P29:T29" si="65">O19</f>
        <v>7797.5522529378686</v>
      </c>
      <c r="Q29" s="74">
        <f t="shared" si="65"/>
        <v>1236.6427551400002</v>
      </c>
      <c r="R29" s="74">
        <f t="shared" si="65"/>
        <v>1621.00079782993</v>
      </c>
      <c r="S29" s="74">
        <f t="shared" si="65"/>
        <v>3043.5013785209489</v>
      </c>
      <c r="T29" s="74">
        <f t="shared" si="65"/>
        <v>243.62970901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0</v>
      </c>
      <c r="J30" s="75">
        <f t="shared" si="66"/>
        <v>0</v>
      </c>
      <c r="K30" s="75">
        <f t="shared" si="66"/>
        <v>0</v>
      </c>
      <c r="L30" s="75">
        <f t="shared" si="66"/>
        <v>0</v>
      </c>
      <c r="M30" s="75">
        <f t="shared" si="66"/>
        <v>0</v>
      </c>
      <c r="N30" s="61"/>
      <c r="O30" s="72" t="str">
        <f t="shared" si="64"/>
        <v>III. čtvrtletí</v>
      </c>
      <c r="P30" s="74">
        <f t="shared" ref="P30:T30" si="67">O20</f>
        <v>0</v>
      </c>
      <c r="Q30" s="74">
        <f t="shared" si="67"/>
        <v>0</v>
      </c>
      <c r="R30" s="74">
        <f t="shared" si="67"/>
        <v>0</v>
      </c>
      <c r="S30" s="74">
        <f t="shared" si="67"/>
        <v>0</v>
      </c>
      <c r="T30" s="74">
        <f t="shared" si="67"/>
        <v>0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73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73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2023-08-01T12:42:58Z</cp:lastPrinted>
  <dcterms:created xsi:type="dcterms:W3CDTF">2010-02-15T08:19:53Z</dcterms:created>
  <dcterms:modified xsi:type="dcterms:W3CDTF">2023-08-01T12:43:33Z</dcterms:modified>
</cp:coreProperties>
</file>