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2\"/>
    </mc:Choice>
  </mc:AlternateContent>
  <xr:revisionPtr revIDLastSave="0" documentId="13_ncr:1_{69F75A83-F4A9-49AE-A521-E0EC501CD20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Datum_OTE">"2. 5. 2017"</definedName>
    <definedName name="_xlnm.Print_Area" localSheetId="4">'2'!$A$1:$I$51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F23" i="120" l="1"/>
  <c r="E21" i="120"/>
  <c r="G26" i="108" l="1"/>
  <c r="G32" i="108"/>
  <c r="G14" i="108"/>
  <c r="G32" i="107"/>
  <c r="G26" i="107"/>
  <c r="G20" i="107"/>
  <c r="G14" i="107"/>
  <c r="G9" i="107"/>
  <c r="R18" i="122" l="1"/>
  <c r="O19" i="122"/>
  <c r="L18" i="122"/>
  <c r="G18" i="122"/>
  <c r="D18" i="122"/>
  <c r="B18" i="122"/>
  <c r="G23" i="146"/>
  <c r="G20" i="146"/>
  <c r="D20" i="146"/>
  <c r="O20" i="146"/>
  <c r="K19" i="146"/>
  <c r="I19" i="146"/>
  <c r="B20" i="146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S19" i="146"/>
  <c r="K20" i="146"/>
  <c r="B19" i="146"/>
  <c r="T25" i="146" l="1"/>
  <c r="S25" i="146"/>
  <c r="Q25" i="146"/>
  <c r="P25" i="146"/>
  <c r="O25" i="146"/>
  <c r="N25" i="146"/>
  <c r="R25" i="146" s="1"/>
  <c r="K25" i="146"/>
  <c r="I25" i="146"/>
  <c r="G25" i="146"/>
  <c r="E25" i="146"/>
  <c r="D25" i="146"/>
  <c r="B25" i="146"/>
  <c r="T24" i="146"/>
  <c r="S24" i="146"/>
  <c r="Q24" i="146"/>
  <c r="P24" i="146"/>
  <c r="O24" i="146"/>
  <c r="N24" i="146"/>
  <c r="R24" i="146" s="1"/>
  <c r="K24" i="146"/>
  <c r="I24" i="146"/>
  <c r="G24" i="146"/>
  <c r="E24" i="146"/>
  <c r="B24" i="146"/>
  <c r="D24" i="146" s="1"/>
  <c r="Q23" i="146"/>
  <c r="P23" i="146"/>
  <c r="O23" i="146"/>
  <c r="N23" i="146"/>
  <c r="R23" i="146" s="1"/>
  <c r="K23" i="146"/>
  <c r="I23" i="146"/>
  <c r="E23" i="146"/>
  <c r="D23" i="146"/>
  <c r="T22" i="146"/>
  <c r="S22" i="146"/>
  <c r="Q22" i="146"/>
  <c r="P22" i="146"/>
  <c r="O22" i="146"/>
  <c r="N22" i="146"/>
  <c r="R22" i="146" s="1"/>
  <c r="K22" i="146"/>
  <c r="I22" i="146"/>
  <c r="E22" i="146"/>
  <c r="G22" i="146" s="1"/>
  <c r="B22" i="146"/>
  <c r="D22" i="146" s="1"/>
  <c r="T21" i="146"/>
  <c r="S21" i="146"/>
  <c r="Q21" i="146"/>
  <c r="P21" i="146"/>
  <c r="O21" i="146"/>
  <c r="N21" i="146"/>
  <c r="R21" i="146" s="1"/>
  <c r="K21" i="146"/>
  <c r="I21" i="146"/>
  <c r="E21" i="146"/>
  <c r="G21" i="146" s="1"/>
  <c r="D21" i="146"/>
  <c r="B21" i="146"/>
  <c r="Q20" i="146"/>
  <c r="P20" i="146"/>
  <c r="N20" i="146"/>
  <c r="R20" i="146" s="1"/>
  <c r="I20" i="146"/>
  <c r="E20" i="146"/>
  <c r="Q19" i="146"/>
  <c r="P19" i="146"/>
  <c r="O19" i="146"/>
  <c r="N19" i="146"/>
  <c r="R19" i="146" s="1"/>
  <c r="G19" i="146"/>
  <c r="E19" i="146"/>
  <c r="D19" i="146"/>
  <c r="F28" i="147" l="1"/>
  <c r="E28" i="147"/>
  <c r="D28" i="147"/>
  <c r="C28" i="147"/>
  <c r="B28" i="147"/>
  <c r="B36" i="170" l="1"/>
  <c r="B35" i="170"/>
  <c r="B30" i="170"/>
  <c r="B29" i="170"/>
  <c r="B28" i="170"/>
  <c r="B27" i="170"/>
  <c r="B26" i="170"/>
  <c r="B25" i="170"/>
  <c r="B24" i="170"/>
  <c r="B23" i="170"/>
  <c r="B22" i="170"/>
  <c r="B17" i="170"/>
  <c r="B16" i="170"/>
  <c r="B15" i="170"/>
  <c r="B14" i="170"/>
  <c r="B13" i="170"/>
  <c r="B12" i="170"/>
  <c r="B11" i="170"/>
  <c r="B10" i="170"/>
  <c r="B9" i="170"/>
  <c r="B8" i="170"/>
  <c r="B7" i="170"/>
  <c r="B6" i="170"/>
  <c r="B5" i="170"/>
  <c r="B3" i="170"/>
  <c r="A5" i="170"/>
  <c r="A6" i="170"/>
  <c r="A7" i="170"/>
  <c r="A8" i="170"/>
  <c r="A9" i="170"/>
  <c r="A10" i="170"/>
  <c r="A11" i="170"/>
  <c r="A12" i="170"/>
  <c r="A13" i="170"/>
  <c r="A14" i="170"/>
  <c r="A15" i="170"/>
  <c r="A16" i="170"/>
  <c r="A17" i="170"/>
  <c r="A22" i="170"/>
  <c r="A23" i="170"/>
  <c r="A24" i="170"/>
  <c r="A25" i="170"/>
  <c r="A26" i="170"/>
  <c r="A27" i="170"/>
  <c r="A28" i="170"/>
  <c r="A29" i="170"/>
  <c r="A30" i="170"/>
  <c r="A35" i="170"/>
  <c r="A36" i="170"/>
  <c r="A3" i="170"/>
  <c r="A1" i="179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30" i="128"/>
  <c r="A4" i="128"/>
  <c r="D34" i="108"/>
  <c r="D34" i="109"/>
  <c r="D34" i="110"/>
  <c r="I34" i="110" s="1"/>
  <c r="D34" i="111"/>
  <c r="I34" i="111" s="1"/>
  <c r="D34" i="112"/>
  <c r="D34" i="113"/>
  <c r="D34" i="107"/>
  <c r="I34" i="107" s="1"/>
  <c r="I34" i="108"/>
  <c r="I34" i="109"/>
  <c r="I34" i="112"/>
  <c r="I34" i="113"/>
  <c r="D4" i="108" l="1"/>
  <c r="D4" i="109"/>
  <c r="D4" i="110"/>
  <c r="D4" i="111"/>
  <c r="D4" i="112"/>
  <c r="D4" i="113"/>
  <c r="D4" i="107"/>
  <c r="I41" i="167"/>
  <c r="I41" i="166"/>
  <c r="I41" i="168"/>
  <c r="I41" i="165"/>
  <c r="C41" i="167"/>
  <c r="C41" i="166"/>
  <c r="C41" i="168"/>
  <c r="C41" i="165"/>
  <c r="D3" i="167"/>
  <c r="I3" i="167" s="1"/>
  <c r="D3" i="166"/>
  <c r="I3" i="166" s="1"/>
  <c r="D3" i="168"/>
  <c r="I3" i="168" s="1"/>
  <c r="D3" i="165"/>
  <c r="I3" i="165" s="1"/>
  <c r="A3" i="133" l="1"/>
  <c r="D4" i="116"/>
  <c r="A3" i="145" l="1"/>
  <c r="A3" i="147"/>
  <c r="B6" i="146"/>
  <c r="A4" i="146"/>
  <c r="A3" i="122"/>
  <c r="E4" i="170" l="1"/>
  <c r="A4" i="170" l="1"/>
  <c r="B4" i="170"/>
  <c r="B22" i="122"/>
  <c r="B23" i="147" l="1"/>
  <c r="H23" i="147"/>
  <c r="H14" i="116" l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K51" i="105" l="1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H16" i="179" s="1"/>
  <c r="K35" i="105"/>
  <c r="K34" i="105"/>
  <c r="K33" i="105"/>
  <c r="K32" i="105"/>
  <c r="K31" i="105"/>
  <c r="K30" i="105"/>
  <c r="K29" i="105"/>
  <c r="K28" i="105"/>
  <c r="K27" i="105"/>
  <c r="H14" i="179" s="1"/>
  <c r="K26" i="105"/>
  <c r="K25" i="105"/>
  <c r="K24" i="105"/>
  <c r="K23" i="105"/>
  <c r="K22" i="105"/>
  <c r="H13" i="179" s="1"/>
  <c r="K21" i="105"/>
  <c r="K20" i="105"/>
  <c r="K19" i="105"/>
  <c r="K18" i="105"/>
  <c r="H12" i="179" s="1"/>
  <c r="K17" i="105"/>
  <c r="K16" i="105"/>
  <c r="K15" i="105"/>
  <c r="K14" i="105"/>
  <c r="K13" i="105"/>
  <c r="K12" i="105"/>
  <c r="K11" i="105"/>
  <c r="H10" i="179" s="1"/>
  <c r="K10" i="105"/>
  <c r="K9" i="105"/>
  <c r="K8" i="105"/>
  <c r="H9" i="179" s="1"/>
  <c r="K7" i="105"/>
  <c r="K6" i="105"/>
  <c r="G51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E16" i="179" s="1"/>
  <c r="G35" i="105"/>
  <c r="G34" i="105"/>
  <c r="G33" i="105"/>
  <c r="G32" i="105"/>
  <c r="G31" i="105"/>
  <c r="G30" i="105"/>
  <c r="G29" i="105"/>
  <c r="G28" i="105"/>
  <c r="G27" i="105"/>
  <c r="E14" i="179" s="1"/>
  <c r="G26" i="105"/>
  <c r="G25" i="105"/>
  <c r="G24" i="105"/>
  <c r="G23" i="105"/>
  <c r="G22" i="105"/>
  <c r="E13" i="179" s="1"/>
  <c r="G21" i="105"/>
  <c r="G20" i="105"/>
  <c r="G19" i="105"/>
  <c r="G18" i="105"/>
  <c r="E12" i="179" s="1"/>
  <c r="G17" i="105"/>
  <c r="G16" i="105"/>
  <c r="G15" i="105"/>
  <c r="G14" i="105"/>
  <c r="G13" i="105"/>
  <c r="G12" i="105"/>
  <c r="G11" i="105"/>
  <c r="E10" i="179" s="1"/>
  <c r="G10" i="105"/>
  <c r="G9" i="105"/>
  <c r="G8" i="105"/>
  <c r="E9" i="179" s="1"/>
  <c r="G7" i="105"/>
  <c r="G6" i="105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R49" i="128" l="1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R44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R43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N30" i="146" l="1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A57" i="108" l="1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H20" i="168"/>
  <c r="F10" i="161" s="1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K14" i="168"/>
  <c r="H14" i="168"/>
  <c r="G14" i="168"/>
  <c r="A14" i="168"/>
  <c r="H43" i="168" s="1"/>
  <c r="H13" i="168"/>
  <c r="F10" i="126" s="1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K7" i="168"/>
  <c r="H7" i="168"/>
  <c r="G7" i="168"/>
  <c r="A7" i="168"/>
  <c r="B42" i="168" s="1"/>
  <c r="D44" i="167"/>
  <c r="C44" i="167"/>
  <c r="D43" i="167"/>
  <c r="C43" i="167"/>
  <c r="D42" i="167"/>
  <c r="C42" i="167"/>
  <c r="J33" i="167"/>
  <c r="I33" i="167"/>
  <c r="F33" i="167"/>
  <c r="J32" i="167"/>
  <c r="I32" i="167"/>
  <c r="F32" i="167"/>
  <c r="D32" i="167"/>
  <c r="J31" i="167"/>
  <c r="I31" i="167"/>
  <c r="F31" i="167"/>
  <c r="D31" i="167"/>
  <c r="J30" i="167"/>
  <c r="I30" i="167"/>
  <c r="F30" i="167"/>
  <c r="D30" i="167"/>
  <c r="J29" i="167"/>
  <c r="I29" i="167"/>
  <c r="F29" i="167"/>
  <c r="D29" i="167"/>
  <c r="J28" i="167"/>
  <c r="I28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13" i="168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J34" i="167"/>
  <c r="H31" i="167"/>
  <c r="G13" i="168"/>
  <c r="G20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I34" i="167"/>
  <c r="K32" i="167" s="1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I45" i="165" l="1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I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3" i="116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E26" i="179" l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H44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25" i="108"/>
  <c r="G19" i="108"/>
  <c r="G13" i="108"/>
  <c r="G12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G24" i="108"/>
  <c r="H23" i="108"/>
  <c r="G23" i="108"/>
  <c r="H22" i="108"/>
  <c r="G22" i="108"/>
  <c r="H21" i="108"/>
  <c r="G21" i="108"/>
  <c r="H20" i="108"/>
  <c r="H18" i="108"/>
  <c r="G18" i="108"/>
  <c r="H17" i="108"/>
  <c r="G17" i="108"/>
  <c r="H16" i="108"/>
  <c r="G16" i="108"/>
  <c r="H15" i="108"/>
  <c r="G15" i="108"/>
  <c r="H14" i="108"/>
  <c r="H12" i="108"/>
  <c r="H11" i="108"/>
  <c r="G11" i="108"/>
  <c r="H10" i="108"/>
  <c r="G10" i="108"/>
  <c r="H9" i="108"/>
  <c r="G9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G20" i="108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62" i="107" l="1"/>
  <c r="H39" i="145"/>
  <c r="H40" i="145"/>
  <c r="B39" i="145"/>
  <c r="I20" i="122" l="1"/>
  <c r="B20" i="122"/>
  <c r="H22" i="179" l="1"/>
  <c r="H19" i="179"/>
  <c r="E22" i="179"/>
  <c r="E19" i="179"/>
  <c r="E27" i="179" l="1"/>
  <c r="E25" i="179"/>
  <c r="E20" i="179"/>
  <c r="E23" i="179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D18" i="147"/>
  <c r="E18" i="147"/>
  <c r="B18" i="147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H29" i="179" s="1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30" i="179" l="1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B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30" i="116" l="1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E7" i="163"/>
  <c r="E33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9" i="163" l="1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C21" i="141" l="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<sst xmlns="http://schemas.openxmlformats.org/spreadsheetml/2006/main" count="1549" uniqueCount="319">
  <si>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</si>
  <si>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</si>
  <si>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</si>
  <si>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</si>
  <si>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</si>
  <si>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</si>
  <si>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</si>
  <si>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</si>
  <si>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</si>
  <si>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</si>
  <si>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</si>
  <si>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</si>
  <si>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</si>
  <si>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</si>
  <si>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</si>
  <si>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</si>
  <si>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</si>
  <si>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</si>
  <si>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</si>
  <si>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</si>
  <si>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</si>
  <si>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</si>
  <si>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</si>
  <si>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</si>
  <si>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</si>
  <si>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</si>
  <si>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</si>
  <si>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</si>
  <si>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</si>
  <si>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</si>
  <si>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</si>
  <si>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</si>
  <si>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</si>
  <si>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</si>
  <si>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</si>
  <si>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</si>
  <si>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</si>
  <si>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</si>
  <si>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</si>
  <si>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</si>
  <si>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</si>
  <si>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</si>
  <si>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</si>
  <si>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</si>
  <si>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</si>
  <si>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</si>
  <si>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</si>
  <si>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</si>
  <si>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</si>
  <si>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</si>
  <si>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</si>
  <si>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</si>
  <si>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</si>
  <si>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</si>
  <si>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</si>
  <si>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</si>
  <si>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</si>
  <si>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</si>
  <si>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</si>
  <si>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</si>
  <si>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</si>
  <si>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</si>
  <si>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</si>
  <si>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</si>
  <si>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</si>
  <si>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Moravia GS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</si>
  <si>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</si>
  <si>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</si>
  <si>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</si>
  <si>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</si>
  <si>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</si>
  <si>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</si>
  <si>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</si>
  <si>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</si>
  <si>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</si>
  <si>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</si>
  <si>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</si>
  <si>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</si>
  <si>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</si>
  <si>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</si>
  <si>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</si>
  <si>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</si>
  <si>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</si>
  <si>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</si>
  <si>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</si>
  <si>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</si>
  <si>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</si>
  <si>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</si>
  <si>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</si>
  <si>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</si>
  <si>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</si>
  <si>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</si>
  <si>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</si>
  <si>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</si>
  <si>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</si>
  <si>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</si>
  <si>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</si>
  <si>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</si>
  <si>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</si>
  <si>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</si>
  <si>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</si>
  <si>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</si>
  <si>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</si>
  <si>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</si>
  <si>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</si>
  <si>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</si>
  <si>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</si>
  <si>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</si>
  <si>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</si>
  <si>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</si>
  <si>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</si>
  <si>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</si>
  <si>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</si>
  <si>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</si>
  <si>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</si>
  <si>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</si>
  <si>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</si>
  <si>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</si>
  <si>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</si>
  <si>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</si>
  <si>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</si>
  <si>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</si>
  <si>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</si>
  <si>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</si>
  <si>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</si>
  <si>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</si>
  <si>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</si>
  <si>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</si>
  <si>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</si>
  <si>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</si>
  <si>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</si>
  <si>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</si>
  <si>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</si>
  <si>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</si>
  <si>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</si>
  <si>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</si>
  <si>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</si>
  <si>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</si>
  <si>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</si>
  <si>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</si>
  <si>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</si>
  <si>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</si>
  <si>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</si>
  <si>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</si>
  <si>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</si>
  <si>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</si>
  <si>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</si>
  <si>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</si>
  <si>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</si>
  <si>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</si>
  <si>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</si>
  <si>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</si>
  <si>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</si>
  <si>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</si>
  <si>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</si>
  <si>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</si>
  <si>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</si>
  <si>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</si>
  <si>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Denní fyzické množství plynu pro pohon kompresních stanic a ostatní plyn, který představuje neměřené hodnoty rozdílového množství celkové bilance PS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</si>
  <si>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</si>
  <si>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</si>
  <si>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</si>
  <si>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</si>
  <si>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</si>
  <si>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</si>
  <si>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</si>
  <si>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</si>
  <si>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</si>
  <si>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</si>
  <si>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</si>
  <si>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</si>
  <si>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</si>
  <si>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</si>
  <si>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</si>
  <si>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</si>
  <si>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</si>
  <si>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</si>
  <si>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</si>
  <si>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</si>
  <si>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</si>
  <si>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</si>
  <si>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</si>
  <si>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</si>
  <si>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</si>
  <si>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</si>
  <si>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</si>
  <si>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</si>
  <si>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</si>
  <si>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</si>
  <si>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</si>
  <si>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</si>
  <si>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</si>
  <si>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</si>
  <si>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</si>
  <si>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</si>
  <si>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</si>
  <si>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Podíl jednotlivých kategorií na celkovém počtu zákazníků</t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</si>
  <si>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</si>
  <si>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</si>
  <si>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</si>
  <si>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</si>
  <si>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</si>
  <si>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</si>
  <si>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</si>
  <si>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</si>
  <si>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RWE GS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</si>
  <si>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</si>
  <si>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</si>
  <si>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</si>
  <si>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</si>
  <si>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</si>
  <si>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</si>
  <si>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±1,0</t>
  </si>
  <si>
    <t>EG.D, a.s.</t>
  </si>
  <si>
    <t>Společnost EG.D, a.s. (provozovatel regionální distribuční soustavy)</t>
  </si>
  <si>
    <t>EG.D</t>
  </si>
  <si>
    <t xml:space="preserve"> EG.D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</si>
  <si>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</si>
  <si>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</si>
  <si>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</si>
  <si>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</si>
  <si>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</si>
  <si>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</si>
  <si>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</si>
  <si>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</si>
  <si>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</si>
  <si>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</si>
  <si>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</si>
  <si>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</si>
  <si>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</si>
  <si>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</si>
  <si>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</si>
  <si>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</si>
  <si>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</si>
  <si>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</si>
  <si>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</si>
  <si>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</si>
  <si>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</si>
  <si>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</si>
  <si>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PP Distribuce</t>
  </si>
  <si>
    <t>Podíl / meziroční změna u společnosti GasNet</t>
  </si>
  <si>
    <t>Podíl / meziroční změna u společnosti EG.D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</si>
  <si>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</si>
  <si>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</si>
  <si>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</si>
  <si>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</si>
  <si>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</si>
  <si>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</si>
  <si>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</si>
  <si>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</si>
  <si>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</si>
  <si>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</si>
  <si>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</si>
  <si>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</si>
  <si>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</si>
  <si>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</si>
  <si>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</si>
  <si>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</si>
  <si>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</si>
  <si>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</si>
  <si>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</si>
  <si>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</si>
  <si>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</si>
  <si>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</si>
  <si>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</si>
  <si>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</si>
  <si>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</si>
  <si>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</si>
  <si>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</si>
  <si>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</si>
  <si>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</si>
  <si>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</si>
  <si>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</si>
  <si>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</si>
  <si>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</si>
  <si>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</si>
  <si>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</si>
  <si>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</si>
  <si>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</si>
  <si>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</si>
  <si>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</si>
  <si>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</si>
  <si>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</si>
  <si>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</si>
  <si>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</si>
  <si>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</si>
  <si>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</si>
  <si>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</si>
  <si>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</si>
  <si>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</si>
  <si>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</si>
  <si>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</si>
  <si>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</si>
  <si>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</si>
  <si>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</si>
  <si>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</si>
  <si>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</si>
  <si>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</si>
  <si>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</si>
  <si>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</si>
  <si>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</si>
  <si>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</si>
  <si>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5.2 Spotřeba zemního plynu u společnosti PP Distribuce</t>
  </si>
  <si>
    <t>5.3 Spotřeba zemního plynu u společnosti GasNet</t>
  </si>
  <si>
    <t>5.4 Spotřeba zemního plynu u společnosti EG.D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</si>
  <si>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</si>
  <si>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</si>
  <si>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</si>
  <si>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</si>
  <si>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</si>
  <si>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</si>
  <si>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</si>
  <si>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</si>
  <si>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</si>
  <si>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</si>
  <si>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II. ČTVRTLETÍ 2022</t>
    </r>
  </si>
  <si>
    <t>* Prognóza spotřeby plynu do konce 2022 byla zpracována v červnu 2022.</t>
  </si>
  <si>
    <t>X</t>
  </si>
  <si>
    <t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kompetencí,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2022, kterou ERÚ předpokládá zveřejnit do konce května roku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</si>
</sst>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41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39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</cellStyleXfs>
  <cellXfs count="536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124" fillId="0" borderId="0" xfId="0" applyNumberFormat="1" applyFont="1" applyFill="1"/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vertical="center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165" fontId="45" fillId="2" borderId="25" xfId="20" applyNumberFormat="1" applyFont="1" applyFill="1" applyBorder="1" applyAlignment="1">
      <alignment horizontal="right" vertical="center"/>
    </xf>
    <xf numFmtId="0" fontId="45" fillId="2" borderId="6" xfId="2" applyFont="1" applyFill="1" applyBorder="1" applyAlignment="1">
      <alignment horizontal="lef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165" fontId="110" fillId="2" borderId="30" xfId="20" applyNumberFormat="1" applyFont="1" applyFill="1" applyBorder="1" applyAlignment="1">
      <alignment horizontal="right" vertical="center"/>
    </xf>
    <xf numFmtId="165" fontId="110" fillId="2" borderId="29" xfId="20" applyNumberFormat="1" applyFont="1" applyFill="1" applyBorder="1" applyAlignment="1">
      <alignment horizontal="right" vertical="center"/>
    </xf>
    <xf numFmtId="165" fontId="110" fillId="2" borderId="27" xfId="20" applyNumberFormat="1" applyFont="1" applyFill="1" applyBorder="1" applyAlignment="1">
      <alignment horizontal="right" vertical="center"/>
    </xf>
    <xf numFmtId="164" fontId="110" fillId="2" borderId="0" xfId="1" applyNumberFormat="1" applyFont="1" applyFill="1" applyBorder="1" applyAlignment="1">
      <alignment vertical="center"/>
    </xf>
    <xf numFmtId="164" fontId="110" fillId="2" borderId="25" xfId="1" applyNumberFormat="1" applyFont="1" applyFill="1" applyBorder="1" applyAlignment="1">
      <alignment vertical="center"/>
    </xf>
    <xf numFmtId="164" fontId="110" fillId="2" borderId="6" xfId="1" applyNumberFormat="1" applyFont="1" applyFill="1" applyBorder="1" applyAlignment="1">
      <alignment vertical="center"/>
    </xf>
    <xf numFmtId="165" fontId="110" fillId="2" borderId="0" xfId="20" applyNumberFormat="1" applyFont="1" applyFill="1" applyBorder="1" applyAlignment="1">
      <alignment horizontal="right" vertical="center"/>
    </xf>
    <xf numFmtId="165" fontId="110" fillId="2" borderId="25" xfId="20" applyNumberFormat="1" applyFont="1" applyFill="1" applyBorder="1" applyAlignment="1">
      <alignment horizontal="right" vertical="center"/>
    </xf>
    <xf numFmtId="165" fontId="110" fillId="2" borderId="6" xfId="20" applyNumberFormat="1" applyFont="1" applyFill="1" applyBorder="1" applyAlignment="1">
      <alignment horizontal="right" vertical="center"/>
    </xf>
    <xf numFmtId="165" fontId="110" fillId="2" borderId="33" xfId="20" applyNumberFormat="1" applyFont="1" applyFill="1" applyBorder="1" applyAlignment="1">
      <alignment horizontal="right" vertical="center"/>
    </xf>
    <xf numFmtId="165" fontId="110" fillId="2" borderId="32" xfId="20" applyNumberFormat="1" applyFont="1" applyFill="1" applyBorder="1" applyAlignment="1">
      <alignment horizontal="right" vertical="center"/>
    </xf>
    <xf numFmtId="165" fontId="110" fillId="2" borderId="34" xfId="20" applyNumberFormat="1" applyFont="1" applyFill="1" applyBorder="1" applyAlignment="1">
      <alignment horizontal="right" vertical="center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110" fillId="2" borderId="0" xfId="2" applyNumberFormat="1" applyFont="1" applyFill="1" applyBorder="1" applyAlignment="1">
      <alignment horizontal="right" vertical="center"/>
    </xf>
    <xf numFmtId="165" fontId="110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3" fontId="45" fillId="0" borderId="25" xfId="0" applyNumberFormat="1" applyFont="1" applyFill="1" applyBorder="1"/>
    <xf numFmtId="3" fontId="45" fillId="0" borderId="25" xfId="0" applyNumberFormat="1" applyFont="1" applyFill="1" applyBorder="1" applyAlignment="1">
      <alignment horizontal="center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29" xfId="0" applyNumberFormat="1" applyFont="1" applyFill="1" applyBorder="1"/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9" fillId="0" borderId="29" xfId="0" applyFont="1" applyFill="1" applyBorder="1"/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3" fontId="110" fillId="2" borderId="30" xfId="2" applyNumberFormat="1" applyFont="1" applyFill="1" applyBorder="1" applyAlignment="1">
      <alignment horizontal="right" vertical="center"/>
    </xf>
    <xf numFmtId="3" fontId="110" fillId="2" borderId="33" xfId="2" applyNumberFormat="1" applyFont="1" applyFill="1" applyBorder="1" applyAlignment="1">
      <alignment horizontal="right" vertical="center"/>
    </xf>
    <xf numFmtId="3" fontId="110" fillId="2" borderId="29" xfId="2" applyNumberFormat="1" applyFont="1" applyFill="1" applyBorder="1" applyAlignment="1">
      <alignment horizontal="right" vertical="center"/>
    </xf>
    <xf numFmtId="3" fontId="110" fillId="2" borderId="25" xfId="2" applyNumberFormat="1" applyFont="1" applyFill="1" applyBorder="1" applyAlignment="1">
      <alignment horizontal="right" vertical="center"/>
    </xf>
    <xf numFmtId="3" fontId="110" fillId="2" borderId="32" xfId="2" applyNumberFormat="1" applyFont="1" applyFill="1" applyBorder="1" applyAlignment="1">
      <alignment horizontal="right" vertical="center"/>
    </xf>
    <xf numFmtId="3" fontId="110" fillId="2" borderId="27" xfId="2" applyNumberFormat="1" applyFont="1" applyFill="1" applyBorder="1" applyAlignment="1">
      <alignment horizontal="right" vertical="center"/>
    </xf>
    <xf numFmtId="3" fontId="110" fillId="2" borderId="6" xfId="2" applyNumberFormat="1" applyFont="1" applyFill="1" applyBorder="1" applyAlignment="1">
      <alignment horizontal="right" vertical="center"/>
    </xf>
    <xf numFmtId="3" fontId="110" fillId="2" borderId="34" xfId="2" applyNumberFormat="1" applyFont="1" applyFill="1" applyBorder="1" applyAlignment="1">
      <alignment horizontal="right" vertical="center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165" fontId="110" fillId="2" borderId="30" xfId="2" applyNumberFormat="1" applyFont="1" applyFill="1" applyBorder="1" applyAlignment="1">
      <alignment horizontal="right" vertical="center"/>
    </xf>
    <xf numFmtId="165" fontId="110" fillId="2" borderId="25" xfId="2" applyNumberFormat="1" applyFont="1" applyFill="1" applyBorder="1" applyAlignment="1">
      <alignment horizontal="right" vertical="center"/>
    </xf>
    <xf numFmtId="165" fontId="110" fillId="2" borderId="29" xfId="2" applyNumberFormat="1" applyFont="1" applyFill="1" applyBorder="1" applyAlignment="1">
      <alignment horizontal="right" vertical="center"/>
    </xf>
    <xf numFmtId="165" fontId="110" fillId="2" borderId="33" xfId="2" applyNumberFormat="1" applyFont="1" applyFill="1" applyBorder="1" applyAlignment="1">
      <alignment horizontal="right" vertical="center"/>
    </xf>
    <xf numFmtId="165" fontId="110" fillId="2" borderId="32" xfId="2" applyNumberFormat="1" applyFont="1" applyFill="1" applyBorder="1" applyAlignment="1">
      <alignment horizontal="right" vertical="center"/>
    </xf>
    <xf numFmtId="165" fontId="110" fillId="2" borderId="27" xfId="2" applyNumberFormat="1" applyFont="1" applyFill="1" applyBorder="1" applyAlignment="1">
      <alignment horizontal="right" vertical="center"/>
    </xf>
    <xf numFmtId="165" fontId="110" fillId="2" borderId="2" xfId="2" applyNumberFormat="1" applyFont="1" applyFill="1" applyBorder="1" applyAlignment="1">
      <alignment horizontal="right" vertical="center"/>
    </xf>
    <xf numFmtId="165" fontId="110" fillId="2" borderId="34" xfId="2" applyNumberFormat="1" applyFont="1" applyFill="1" applyBorder="1" applyAlignment="1">
      <alignment horizontal="right" vertical="center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16" fillId="0" borderId="0" xfId="2" applyFont="1" applyFill="1" applyBorder="1" applyAlignment="1">
      <alignment wrapText="1"/>
    </xf>
    <xf numFmtId="165" fontId="116" fillId="0" borderId="0" xfId="2" applyNumberFormat="1" applyFont="1" applyFill="1" applyBorder="1"/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center"/>
    </xf>
    <xf numFmtId="165" fontId="45" fillId="2" borderId="31" xfId="20" applyNumberFormat="1" applyFont="1" applyFill="1" applyBorder="1" applyAlignment="1">
      <alignment horizontal="right" vertical="center"/>
    </xf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92" fillId="0" borderId="0" xfId="0" applyFont="1" applyBorder="1" applyAlignment="1">
      <alignment horizontal="right"/>
    </xf>
    <xf numFmtId="0" fontId="92" fillId="0" borderId="0" xfId="0" applyFont="1" applyAlignment="1">
      <alignment horizontal="right"/>
    </xf>
    <xf numFmtId="0" fontId="107" fillId="0" borderId="0" xfId="2" applyFont="1" applyFill="1" applyBorder="1" applyAlignment="1">
      <alignment horizontal="left"/>
    </xf>
    <xf numFmtId="0" fontId="54" fillId="2" borderId="0" xfId="2" applyFont="1" applyFill="1" applyAlignment="1">
      <alignment horizontal="right" vertical="top" wrapText="1"/>
    </xf>
    <xf numFmtId="0" fontId="54" fillId="2" borderId="0" xfId="2" applyFont="1" applyFill="1" applyAlignment="1">
      <alignment horizontal="justify" vertical="top" wrapText="1"/>
    </xf>
    <xf numFmtId="0" fontId="107" fillId="2" borderId="25" xfId="2" applyFont="1" applyFill="1" applyBorder="1" applyAlignment="1">
      <alignment horizontal="left" wrapText="1"/>
    </xf>
    <xf numFmtId="0" fontId="45" fillId="2" borderId="25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center" vertical="center" textRotation="90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0" xfId="0" applyFont="1" applyFill="1" applyBorder="1" applyAlignment="1">
      <alignment horizontal="left" vertical="top" wrapText="1"/>
    </xf>
    <xf numFmtId="0" fontId="45" fillId="2" borderId="25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9" fillId="2" borderId="6" xfId="2" applyFont="1" applyFill="1" applyBorder="1" applyAlignment="1">
      <alignment horizontal="lef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0" xfId="0" applyFont="1" applyFill="1" applyBorder="1" applyAlignment="1">
      <alignment horizontal="left" vertical="center"/>
    </xf>
    <xf numFmtId="0" fontId="109" fillId="2" borderId="25" xfId="0" applyFont="1" applyFill="1" applyBorder="1" applyAlignment="1">
      <alignment horizontal="left" vertical="center" wrapText="1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</cellXfs>
  <cellStyles count="1539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#,##0.0</c:formatCode>
                <c:ptCount val="12"/>
                <c:pt idx="0">
                  <c:v>3368.4318376071833</c:v>
                </c:pt>
                <c:pt idx="1">
                  <c:v>3030.8876179384415</c:v>
                </c:pt>
                <c:pt idx="2">
                  <c:v>3740.0577454539725</c:v>
                </c:pt>
                <c:pt idx="3">
                  <c:v>3646.2681503652043</c:v>
                </c:pt>
                <c:pt idx="4">
                  <c:v>3600.6119231410016</c:v>
                </c:pt>
                <c:pt idx="5">
                  <c:v>2992.0868665099147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#,##0.0</c:formatCode>
                <c:ptCount val="12"/>
                <c:pt idx="0">
                  <c:v>-2936.875920396245</c:v>
                </c:pt>
                <c:pt idx="1">
                  <c:v>-2527.7966007449631</c:v>
                </c:pt>
                <c:pt idx="2">
                  <c:v>-3041.2181782033535</c:v>
                </c:pt>
                <c:pt idx="3">
                  <c:v>-2450.724807779794</c:v>
                </c:pt>
                <c:pt idx="4">
                  <c:v>-2382.2460097610528</c:v>
                </c:pt>
                <c:pt idx="5">
                  <c:v>-2183.7793839814467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13834.782194340585</c:v>
                </c:pt>
                <c:pt idx="1">
                  <c:v>7710.5805403406084</c:v>
                </c:pt>
                <c:pt idx="2">
                  <c:v>11211.790603507792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671362.14960899903</c:v>
                </c:pt>
                <c:pt idx="1">
                  <c:v>882215.91334015864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388896.17215441924</c:v>
                </c:pt>
                <c:pt idx="1">
                  <c:v>583120.9651251164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336354.49487705366</c:v>
                </c:pt>
                <c:pt idx="1">
                  <c:v>415259.58095448907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0.48070742414060691</c:v>
                </c:pt>
                <c:pt idx="1">
                  <c:v>0.46911494963271166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0.27845668285495351</c:v>
                </c:pt>
                <c:pt idx="1">
                  <c:v>0.31007235082481832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0.24083589300443953</c:v>
                </c:pt>
                <c:pt idx="1">
                  <c:v>0.22081269954246988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74550.468344230554</c:v>
                </c:pt>
                <c:pt idx="1">
                  <c:v>84539.005249668597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27622.192440521852</c:v>
                </c:pt>
                <c:pt idx="1">
                  <c:v>52841.612892350029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19349.489106876652</c:v>
                </c:pt>
                <c:pt idx="1">
                  <c:v>21137.906812785921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0.61347226337513872</c:v>
                </c:pt>
                <c:pt idx="1">
                  <c:v>0.53330678716428648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0.22730170973073427</c:v>
                </c:pt>
                <c:pt idx="1">
                  <c:v>0.33334660985153486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0.1592260268941269</c:v>
                </c:pt>
                <c:pt idx="1">
                  <c:v>0.13334660298417852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0.4956244880970368</c:v>
                </c:pt>
                <c:pt idx="1">
                  <c:v>0.45732663818370822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0.27620890985145569</c:v>
                </c:pt>
                <c:pt idx="1">
                  <c:v>0.32801271020938799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0.22816660205150732</c:v>
                </c:pt>
                <c:pt idx="1">
                  <c:v>0.21466065160690373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563107.41134476836</c:v>
                </c:pt>
                <c:pt idx="1">
                  <c:v>684724.79810049001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313816.78660389746</c:v>
                </c:pt>
                <c:pt idx="1">
                  <c:v>491111.64323276636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259233.16487017696</c:v>
                </c:pt>
                <c:pt idx="1">
                  <c:v>321397.13513170317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28310.621999999999</c:v>
                </c:pt>
                <c:pt idx="1">
                  <c:v>33393.978989999996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14858.406010000001</c:v>
                </c:pt>
                <c:pt idx="1">
                  <c:v>23805.156999999996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11605.965</c:v>
                </c:pt>
                <c:pt idx="1">
                  <c:v>12425.360009999999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0.51685304633140661</c:v>
                </c:pt>
                <c:pt idx="1">
                  <c:v>0.47962974108997497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0.27126258158147781</c:v>
                </c:pt>
                <c:pt idx="1">
                  <c:v>0.34190778199672706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0.21188437208711569</c:v>
                </c:pt>
                <c:pt idx="1">
                  <c:v>0.17846247691329786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5393.6479199999985</c:v>
                </c:pt>
                <c:pt idx="1">
                  <c:v>79558.131000000008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32598.787099999998</c:v>
                </c:pt>
                <c:pt idx="1">
                  <c:v>15362.552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46165.875899999999</c:v>
                </c:pt>
                <c:pt idx="1">
                  <c:v>60299.178999999989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#,##0.0</c:formatCode>
                <c:ptCount val="12"/>
                <c:pt idx="0">
                  <c:v>678.60557000000006</c:v>
                </c:pt>
                <c:pt idx="1">
                  <c:v>384.90369700000002</c:v>
                </c:pt>
                <c:pt idx="2">
                  <c:v>267.33676600000001</c:v>
                </c:pt>
                <c:pt idx="3">
                  <c:v>58.112975999999996</c:v>
                </c:pt>
                <c:pt idx="4">
                  <c:v>0</c:v>
                </c:pt>
                <c:pt idx="5">
                  <c:v>1.0541230000000001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#,##0.0</c:formatCode>
                <c:ptCount val="12"/>
                <c:pt idx="0">
                  <c:v>-2.2123170000000001</c:v>
                </c:pt>
                <c:pt idx="1">
                  <c:v>-13.730227999999999</c:v>
                </c:pt>
                <c:pt idx="2">
                  <c:v>-82.844617999999983</c:v>
                </c:pt>
                <c:pt idx="3">
                  <c:v>-583.95101499999998</c:v>
                </c:pt>
                <c:pt idx="4">
                  <c:v>-843.36109899999997</c:v>
                </c:pt>
                <c:pt idx="5">
                  <c:v>-488.84463900000003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6.4089308127002961E-2</c:v>
                </c:pt>
                <c:pt idx="1">
                  <c:v>0.51255122878539872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0.38735077669260803</c:v>
                </c:pt>
                <c:pt idx="1">
                  <c:v>9.8972849234977414E-2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0.54855991518038894</c:v>
                </c:pt>
                <c:pt idx="1">
                  <c:v>0.38847592197962394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74550.468344230554</c:v>
                </c:pt>
                <c:pt idx="1">
                  <c:v>563107.41134476836</c:v>
                </c:pt>
                <c:pt idx="2">
                  <c:v>28310.621999999999</c:v>
                </c:pt>
                <c:pt idx="3">
                  <c:v>5393.6479199999985</c:v>
                </c:pt>
                <c:pt idx="4">
                  <c:v>671362.14960899891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8.043333333333333</c:v>
                </c:pt>
                <c:pt idx="1">
                  <c:v>6.6155555555555559</c:v>
                </c:pt>
                <c:pt idx="2">
                  <c:v>6.1700000000000008</c:v>
                </c:pt>
                <c:pt idx="3">
                  <c:v>6.6166666666666663</c:v>
                </c:pt>
                <c:pt idx="4">
                  <c:v>6.6166666666666663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14.7</c:v>
                </c:pt>
                <c:pt idx="1">
                  <c:v>13.316666666666668</c:v>
                </c:pt>
                <c:pt idx="2">
                  <c:v>13.4</c:v>
                </c:pt>
                <c:pt idx="3">
                  <c:v>13.3</c:v>
                </c:pt>
                <c:pt idx="4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0.4</c:v>
                </c:pt>
                <c:pt idx="1">
                  <c:v>-1</c:v>
                </c:pt>
                <c:pt idx="2">
                  <c:v>-1.5</c:v>
                </c:pt>
                <c:pt idx="3">
                  <c:v>-1</c:v>
                </c:pt>
                <c:pt idx="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0.11104359753919509</c:v>
                </c:pt>
                <c:pt idx="1">
                  <c:v>0.83875358727435245</c:v>
                </c:pt>
                <c:pt idx="2">
                  <c:v>4.2168927778380265E-2</c:v>
                </c:pt>
                <c:pt idx="3">
                  <c:v>8.0338874080721663E-3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27622.192440521852</c:v>
                </c:pt>
                <c:pt idx="1">
                  <c:v>313816.78660389746</c:v>
                </c:pt>
                <c:pt idx="2">
                  <c:v>14858.406010000001</c:v>
                </c:pt>
                <c:pt idx="3">
                  <c:v>32598.787099999998</c:v>
                </c:pt>
                <c:pt idx="4">
                  <c:v>388896.1721544193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16.396774193548389</c:v>
                </c:pt>
                <c:pt idx="1">
                  <c:v>14.49247311827957</c:v>
                </c:pt>
                <c:pt idx="2">
                  <c:v>14.138709677419353</c:v>
                </c:pt>
                <c:pt idx="3">
                  <c:v>14.500000000000002</c:v>
                </c:pt>
                <c:pt idx="4">
                  <c:v>14.500000000000002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21.8</c:v>
                </c:pt>
                <c:pt idx="1">
                  <c:v>20.383333333333333</c:v>
                </c:pt>
                <c:pt idx="2">
                  <c:v>21.2</c:v>
                </c:pt>
                <c:pt idx="3">
                  <c:v>20.6</c:v>
                </c:pt>
                <c:pt idx="4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10.1</c:v>
                </c:pt>
                <c:pt idx="1">
                  <c:v>9.7833333333333332</c:v>
                </c:pt>
                <c:pt idx="2">
                  <c:v>8.5</c:v>
                </c:pt>
                <c:pt idx="3">
                  <c:v>9.6999999999999993</c:v>
                </c:pt>
                <c:pt idx="4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22486349133790021"/>
                  <c:y val="-6.16635788173537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7.1027164622113809E-2</c:v>
                </c:pt>
                <c:pt idx="1">
                  <c:v>0.80694233853062969</c:v>
                </c:pt>
                <c:pt idx="2">
                  <c:v>3.8206614191358415E-2</c:v>
                </c:pt>
                <c:pt idx="3">
                  <c:v>8.3823882655898116E-2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19349.489106876652</c:v>
                </c:pt>
                <c:pt idx="1">
                  <c:v>259233.16487017696</c:v>
                </c:pt>
                <c:pt idx="2">
                  <c:v>11605.965</c:v>
                </c:pt>
                <c:pt idx="3">
                  <c:v>46165.875899999999</c:v>
                </c:pt>
                <c:pt idx="4">
                  <c:v>336354.4948770536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#,##0.0</c:formatCode>
                <c:ptCount val="12"/>
                <c:pt idx="0">
                  <c:v>1134.2625732048143</c:v>
                </c:pt>
                <c:pt idx="1">
                  <c:v>890.50037327489224</c:v>
                </c:pt>
                <c:pt idx="2">
                  <c:v>922.61982519439664</c:v>
                </c:pt>
                <c:pt idx="3">
                  <c:v>671.36203982845257</c:v>
                </c:pt>
                <c:pt idx="4">
                  <c:v>388.89642773175905</c:v>
                </c:pt>
                <c:pt idx="5">
                  <c:v>336.35371810523372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#,##0.0</c:formatCode>
                <c:ptCount val="12"/>
                <c:pt idx="0">
                  <c:v>1205.7431048765241</c:v>
                </c:pt>
                <c:pt idx="1">
                  <c:v>992.34776233082323</c:v>
                </c:pt>
                <c:pt idx="2">
                  <c:v>915.4910560358029</c:v>
                </c:pt>
                <c:pt idx="3">
                  <c:v>605.2961340668877</c:v>
                </c:pt>
                <c:pt idx="4">
                  <c:v>408.72629326716236</c:v>
                </c:pt>
                <c:pt idx="5">
                  <c:v>343.04053123321125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20.776666666666664</c:v>
                </c:pt>
                <c:pt idx="1">
                  <c:v>18.967222222222226</c:v>
                </c:pt>
                <c:pt idx="2">
                  <c:v>18.5</c:v>
                </c:pt>
                <c:pt idx="3">
                  <c:v>18.956666666666667</c:v>
                </c:pt>
                <c:pt idx="4">
                  <c:v>18.956666666666667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29.6</c:v>
                </c:pt>
                <c:pt idx="1">
                  <c:v>25.216666666666669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16</c:v>
                </c:pt>
                <c:pt idx="1">
                  <c:v>14.616666666666667</c:v>
                </c:pt>
                <c:pt idx="2">
                  <c:v>14.9</c:v>
                </c:pt>
                <c:pt idx="3">
                  <c:v>14.7</c:v>
                </c:pt>
                <c:pt idx="4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5.7527071591385745E-2</c:v>
                </c:pt>
                <c:pt idx="1">
                  <c:v>0.77071413885797335</c:v>
                </c:pt>
                <c:pt idx="2">
                  <c:v>3.4505158030494837E-2</c:v>
                </c:pt>
                <c:pt idx="3">
                  <c:v>0.13725363152014614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121522.14989162907</c:v>
                </c:pt>
                <c:pt idx="1">
                  <c:v>1136157.362818843</c:v>
                </c:pt>
                <c:pt idx="2">
                  <c:v>54774.993009999998</c:v>
                </c:pt>
                <c:pt idx="3">
                  <c:v>84158.310920000004</c:v>
                </c:pt>
                <c:pt idx="4">
                  <c:v>1396612.816640472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15.072258064516129</c:v>
                </c:pt>
                <c:pt idx="1">
                  <c:v>13.358416965352452</c:v>
                </c:pt>
                <c:pt idx="2">
                  <c:v>12.936236559139786</c:v>
                </c:pt>
                <c:pt idx="3">
                  <c:v>13.357777777777779</c:v>
                </c:pt>
                <c:pt idx="4">
                  <c:v>13.357777777777779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29.6</c:v>
                </c:pt>
                <c:pt idx="1">
                  <c:v>25.216666666666669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0.4</c:v>
                </c:pt>
                <c:pt idx="1">
                  <c:v>-1</c:v>
                </c:pt>
                <c:pt idx="2">
                  <c:v>-1.5</c:v>
                </c:pt>
                <c:pt idx="3">
                  <c:v>-1</c:v>
                </c:pt>
                <c:pt idx="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23012453500311691"/>
                  <c:y val="-7.14678863671452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8.7012054052280935E-2</c:v>
                </c:pt>
                <c:pt idx="1">
                  <c:v>0.8135091911528135</c:v>
                </c:pt>
                <c:pt idx="2">
                  <c:v>3.9219884249494644E-2</c:v>
                </c:pt>
                <c:pt idx="3">
                  <c:v>6.0258870545410979E-2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333505.95894312812</c:v>
                </c:pt>
                <c:pt idx="1">
                  <c:v>2379425.2386532133</c:v>
                </c:pt>
                <c:pt idx="2">
                  <c:v>118544.4</c:v>
                </c:pt>
                <c:pt idx="3">
                  <c:v>115907.12813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121522.14989162906</c:v>
                </c:pt>
                <c:pt idx="1">
                  <c:v>1136157.3628188428</c:v>
                </c:pt>
                <c:pt idx="2">
                  <c:v>54774.993010000006</c:v>
                </c:pt>
                <c:pt idx="3">
                  <c:v>84158.310919999989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262503.67981999996</c:v>
                </c:pt>
                <c:pt idx="1">
                  <c:v>962530.33163999999</c:v>
                </c:pt>
                <c:pt idx="2">
                  <c:v>187712.58388000005</c:v>
                </c:pt>
                <c:pt idx="3">
                  <c:v>305426.90525000001</c:v>
                </c:pt>
                <c:pt idx="4">
                  <c:v>292293.55342999997</c:v>
                </c:pt>
                <c:pt idx="5">
                  <c:v>800354.80649999972</c:v>
                </c:pt>
                <c:pt idx="6">
                  <c:v>457769.34912000003</c:v>
                </c:pt>
                <c:pt idx="7">
                  <c:v>340143.81011000002</c:v>
                </c:pt>
                <c:pt idx="8">
                  <c:v>356323.92481999996</c:v>
                </c:pt>
                <c:pt idx="9">
                  <c:v>792720.77000390785</c:v>
                </c:pt>
                <c:pt idx="10">
                  <c:v>1020926.8829399999</c:v>
                </c:pt>
                <c:pt idx="11">
                  <c:v>707947.61251000012</c:v>
                </c:pt>
                <c:pt idx="12">
                  <c:v>301039.46130999993</c:v>
                </c:pt>
                <c:pt idx="13">
                  <c:v>376685.67761999997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#,##0.0</c:formatCode>
                <c:ptCount val="14"/>
                <c:pt idx="0">
                  <c:v>6.01</c:v>
                </c:pt>
                <c:pt idx="1">
                  <c:v>8.34</c:v>
                </c:pt>
                <c:pt idx="2">
                  <c:v>5.3533333333333335</c:v>
                </c:pt>
                <c:pt idx="3">
                  <c:v>6.083333333333333</c:v>
                </c:pt>
                <c:pt idx="4">
                  <c:v>6.116666666666668</c:v>
                </c:pt>
                <c:pt idx="5">
                  <c:v>6.8533333333333335</c:v>
                </c:pt>
                <c:pt idx="6">
                  <c:v>6.4099999999999993</c:v>
                </c:pt>
                <c:pt idx="7">
                  <c:v>6.5666666666666664</c:v>
                </c:pt>
                <c:pt idx="8">
                  <c:v>6.7966666666666669</c:v>
                </c:pt>
                <c:pt idx="9">
                  <c:v>8.4066666666666681</c:v>
                </c:pt>
                <c:pt idx="10">
                  <c:v>7.133333333333332</c:v>
                </c:pt>
                <c:pt idx="11">
                  <c:v>7.0333333333333323</c:v>
                </c:pt>
                <c:pt idx="12">
                  <c:v>6.2433333333333332</c:v>
                </c:pt>
                <c:pt idx="13">
                  <c:v>5.953333333333334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#,##0.0</c:formatCode>
                <c:ptCount val="12"/>
                <c:pt idx="0">
                  <c:v>0.78709677419354818</c:v>
                </c:pt>
                <c:pt idx="1">
                  <c:v>3.0892857142857144</c:v>
                </c:pt>
                <c:pt idx="2">
                  <c:v>3.3161290322580643</c:v>
                </c:pt>
                <c:pt idx="3">
                  <c:v>6.6166666666666663</c:v>
                </c:pt>
                <c:pt idx="4">
                  <c:v>14.500000000000002</c:v>
                </c:pt>
                <c:pt idx="5">
                  <c:v>18.956666666666667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#,##0.0</c:formatCode>
                <c:ptCount val="14"/>
                <c:pt idx="0">
                  <c:v>13.912903225806454</c:v>
                </c:pt>
                <c:pt idx="1">
                  <c:v>15.86451612903226</c:v>
                </c:pt>
                <c:pt idx="2">
                  <c:v>13.435483870967742</c:v>
                </c:pt>
                <c:pt idx="3">
                  <c:v>13.829032258064514</c:v>
                </c:pt>
                <c:pt idx="4">
                  <c:v>14.012903225806452</c:v>
                </c:pt>
                <c:pt idx="5">
                  <c:v>14.480645161290322</c:v>
                </c:pt>
                <c:pt idx="6">
                  <c:v>14.08064516129032</c:v>
                </c:pt>
                <c:pt idx="7">
                  <c:v>14.251612903225809</c:v>
                </c:pt>
                <c:pt idx="8">
                  <c:v>14.74193548387097</c:v>
                </c:pt>
                <c:pt idx="9">
                  <c:v>16.79032258064516</c:v>
                </c:pt>
                <c:pt idx="10">
                  <c:v>15.174193548387095</c:v>
                </c:pt>
                <c:pt idx="11">
                  <c:v>14.95161290322581</c:v>
                </c:pt>
                <c:pt idx="12">
                  <c:v>14.093548387096778</c:v>
                </c:pt>
                <c:pt idx="13">
                  <c:v>13.945161290322579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137797.62778000001</c:v>
                </c:pt>
                <c:pt idx="1">
                  <c:v>401307.95427999989</c:v>
                </c:pt>
                <c:pt idx="2">
                  <c:v>108809.83555999999</c:v>
                </c:pt>
                <c:pt idx="3">
                  <c:v>154689.27576000002</c:v>
                </c:pt>
                <c:pt idx="4">
                  <c:v>140153.09307999999</c:v>
                </c:pt>
                <c:pt idx="5">
                  <c:v>493535.63181999989</c:v>
                </c:pt>
                <c:pt idx="6">
                  <c:v>238220.08252999996</c:v>
                </c:pt>
                <c:pt idx="7">
                  <c:v>178140.92499999999</c:v>
                </c:pt>
                <c:pt idx="8">
                  <c:v>193253.03031999993</c:v>
                </c:pt>
                <c:pt idx="9">
                  <c:v>287271.33019497723</c:v>
                </c:pt>
                <c:pt idx="10">
                  <c:v>646835.859176</c:v>
                </c:pt>
                <c:pt idx="11">
                  <c:v>811687.93861000007</c:v>
                </c:pt>
                <c:pt idx="12">
                  <c:v>141289.71729000003</c:v>
                </c:pt>
                <c:pt idx="13">
                  <c:v>196735.81806000005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#,##0.0</c:formatCode>
                <c:ptCount val="14"/>
                <c:pt idx="0">
                  <c:v>18.276666666666664</c:v>
                </c:pt>
                <c:pt idx="1">
                  <c:v>20.443333333333332</c:v>
                </c:pt>
                <c:pt idx="2">
                  <c:v>18.006666666666668</c:v>
                </c:pt>
                <c:pt idx="3">
                  <c:v>18.493333333333336</c:v>
                </c:pt>
                <c:pt idx="4">
                  <c:v>18.493333333333336</c:v>
                </c:pt>
                <c:pt idx="5">
                  <c:v>18.869999999999997</c:v>
                </c:pt>
                <c:pt idx="6">
                  <c:v>18.353333333333328</c:v>
                </c:pt>
                <c:pt idx="7">
                  <c:v>18.82</c:v>
                </c:pt>
                <c:pt idx="8">
                  <c:v>19.223333333333333</c:v>
                </c:pt>
                <c:pt idx="9">
                  <c:v>21.169999999999995</c:v>
                </c:pt>
                <c:pt idx="10">
                  <c:v>19.533333333333335</c:v>
                </c:pt>
                <c:pt idx="11">
                  <c:v>19.353333333333339</c:v>
                </c:pt>
                <c:pt idx="12">
                  <c:v>18.566666666666666</c:v>
                </c:pt>
                <c:pt idx="13">
                  <c:v>18.563333333333336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108733.27883000001</c:v>
                </c:pt>
                <c:pt idx="1">
                  <c:v>315725.60135000001</c:v>
                </c:pt>
                <c:pt idx="2">
                  <c:v>98696.658800000019</c:v>
                </c:pt>
                <c:pt idx="3">
                  <c:v>126489.16445000001</c:v>
                </c:pt>
                <c:pt idx="4">
                  <c:v>124340.99212000001</c:v>
                </c:pt>
                <c:pt idx="5">
                  <c:v>421676.90782000002</c:v>
                </c:pt>
                <c:pt idx="6">
                  <c:v>194792.10178000003</c:v>
                </c:pt>
                <c:pt idx="7">
                  <c:v>148693.34339999998</c:v>
                </c:pt>
                <c:pt idx="8">
                  <c:v>162491.58803000001</c:v>
                </c:pt>
                <c:pt idx="9">
                  <c:v>202033.17146301572</c:v>
                </c:pt>
                <c:pt idx="10">
                  <c:v>549201.00433100003</c:v>
                </c:pt>
                <c:pt idx="11">
                  <c:v>918032.78432999982</c:v>
                </c:pt>
                <c:pt idx="12">
                  <c:v>112607.06672000002</c:v>
                </c:pt>
                <c:pt idx="13">
                  <c:v>147702.29637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#,##0.0</c:formatCode>
                <c:ptCount val="14"/>
                <c:pt idx="0">
                  <c:v>12.733189964157708</c:v>
                </c:pt>
                <c:pt idx="1">
                  <c:v>14.882616487455197</c:v>
                </c:pt>
                <c:pt idx="2">
                  <c:v>12.265161290322581</c:v>
                </c:pt>
                <c:pt idx="3">
                  <c:v>12.801899641577061</c:v>
                </c:pt>
                <c:pt idx="4">
                  <c:v>12.874301075268818</c:v>
                </c:pt>
                <c:pt idx="5">
                  <c:v>13.401326164874552</c:v>
                </c:pt>
                <c:pt idx="6">
                  <c:v>12.947992831541216</c:v>
                </c:pt>
                <c:pt idx="7">
                  <c:v>13.212759856630825</c:v>
                </c:pt>
                <c:pt idx="8">
                  <c:v>13.58731182795699</c:v>
                </c:pt>
                <c:pt idx="9">
                  <c:v>15.455663082437274</c:v>
                </c:pt>
                <c:pt idx="10">
                  <c:v>13.946953405017922</c:v>
                </c:pt>
                <c:pt idx="11">
                  <c:v>13.779426523297493</c:v>
                </c:pt>
                <c:pt idx="12">
                  <c:v>12.967849462365592</c:v>
                </c:pt>
                <c:pt idx="13">
                  <c:v>12.820609318996418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509034.58642999997</c:v>
                </c:pt>
                <c:pt idx="1">
                  <c:v>1679563.8872699998</c:v>
                </c:pt>
                <c:pt idx="2">
                  <c:v>395219.07824</c:v>
                </c:pt>
                <c:pt idx="3">
                  <c:v>586605.3454600001</c:v>
                </c:pt>
                <c:pt idx="4">
                  <c:v>556787.63862999994</c:v>
                </c:pt>
                <c:pt idx="5">
                  <c:v>1715567.3461399998</c:v>
                </c:pt>
                <c:pt idx="6">
                  <c:v>890781.53343000007</c:v>
                </c:pt>
                <c:pt idx="7">
                  <c:v>666978.0785099999</c:v>
                </c:pt>
                <c:pt idx="8">
                  <c:v>712068.54316999996</c:v>
                </c:pt>
                <c:pt idx="9">
                  <c:v>1282025.2716619009</c:v>
                </c:pt>
                <c:pt idx="10">
                  <c:v>2216963.7464469997</c:v>
                </c:pt>
                <c:pt idx="11">
                  <c:v>2437668.3354500006</c:v>
                </c:pt>
                <c:pt idx="12">
                  <c:v>554936.24531999999</c:v>
                </c:pt>
                <c:pt idx="13">
                  <c:v>721123.79205000005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1591</c:v>
                </c:pt>
                <c:pt idx="1">
                  <c:v>6324</c:v>
                </c:pt>
                <c:pt idx="2">
                  <c:v>205977</c:v>
                </c:pt>
                <c:pt idx="3">
                  <c:v>2588055</c:v>
                </c:pt>
                <c:pt idx="4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#,##0.0</c:formatCode>
                <c:ptCount val="4"/>
                <c:pt idx="0">
                  <c:v>1130.5589073510132</c:v>
                </c:pt>
                <c:pt idx="1">
                  <c:v>792.97827088592771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#,##0.0</c:formatCode>
                <c:ptCount val="4"/>
                <c:pt idx="0">
                  <c:v>291.47941689673081</c:v>
                </c:pt>
                <c:pt idx="1">
                  <c:v>121.48613377044437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#,##0.0</c:formatCode>
                <c:ptCount val="4"/>
                <c:pt idx="0">
                  <c:v>491.93637013248167</c:v>
                </c:pt>
                <c:pt idx="1">
                  <c:v>158.560558070436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#,##0.0</c:formatCode>
                <c:ptCount val="4"/>
                <c:pt idx="0">
                  <c:v>943.94375273459264</c:v>
                </c:pt>
                <c:pt idx="1">
                  <c:v>286.95559416623479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#,##0.0</c:formatCode>
                <c:ptCount val="4"/>
                <c:pt idx="0">
                  <c:v>24.554257610078288</c:v>
                </c:pt>
                <c:pt idx="1">
                  <c:v>23.538894514925193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12105.793593597</c:v>
                </c:pt>
                <c:pt idx="1">
                  <c:v>8556.3409606169989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3120.9507358399997</c:v>
                </c:pt>
                <c:pt idx="1">
                  <c:v>1310.7046951699999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5266.4144165960943</c:v>
                </c:pt>
                <c:pt idx="1">
                  <c:v>1710.0677040087473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10103.876503418738</c:v>
                </c:pt>
                <c:pt idx="1">
                  <c:v>3094.2336039831539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262.84610711799996</c:v>
                </c:pt>
                <c:pt idx="1">
                  <c:v>253.97646442999999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29953.648357462036</c:v>
                </c:pt>
                <c:pt idx="1">
                  <c:v>14154.988994736485</c:v>
                </c:pt>
                <c:pt idx="2">
                  <c:v>22378.734660948416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17116.504218966053</c:v>
                </c:pt>
                <c:pt idx="1">
                  <c:v>8791.0006391573988</c:v>
                </c:pt>
                <c:pt idx="2">
                  <c:v>12545.02656277564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135708</xdr:rowOff>
    </xdr:from>
    <xdr:to>
      <xdr:col>2</xdr:col>
      <xdr:colOff>985</xdr:colOff>
      <xdr:row>1</xdr:row>
      <xdr:rowOff>4871807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5212533"/>
          <a:ext cx="6135085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1585813</xdr:colOff>
      <xdr:row>1</xdr:row>
      <xdr:rowOff>3947730</xdr:rowOff>
    </xdr:from>
    <xdr:to>
      <xdr:col>2</xdr:col>
      <xdr:colOff>63003</xdr:colOff>
      <xdr:row>2</xdr:row>
      <xdr:rowOff>157748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588" y="9024555"/>
          <a:ext cx="1839515" cy="12868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53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53</xdr:row>
      <xdr:rowOff>66675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8D57470-C8CE-41B0-9D13-6A6BBB73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629D853-21F0-440B-8467-D525E11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E71C72E-6C87-4172-9D38-6702F73C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2</xdr:row>
      <xdr:rowOff>219074</xdr:rowOff>
    </xdr:from>
    <xdr:ext cx="907958" cy="664845"/>
    <xdr:pic>
      <xdr:nvPicPr>
        <xdr:cNvPr id="9" name="Obrázek 8">
          <a:extLst>
            <a:ext uri="{FF2B5EF4-FFF2-40B4-BE49-F238E27FC236}">
              <a16:creationId xmlns:a16="http://schemas.microsoft.com/office/drawing/2014/main" id="{128EAC60-D702-4C8D-9840-8CEF24BE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20</xdr:col>
      <xdr:colOff>28575</xdr:colOff>
      <xdr:row>38</xdr:row>
      <xdr:rowOff>128386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01E71F8-84D4-46A9-8E1E-57EEF406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6324600" cy="6176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45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45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114301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41</xdr:row>
      <xdr:rowOff>123825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41</xdr:row>
      <xdr:rowOff>114300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50</xdr:row>
      <xdr:rowOff>228599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50</xdr:row>
      <xdr:rowOff>219075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38100</xdr:rowOff>
    </xdr:from>
    <xdr:to>
      <xdr:col>9</xdr:col>
      <xdr:colOff>485775</xdr:colOff>
      <xdr:row>50</xdr:row>
      <xdr:rowOff>209550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53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53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53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53</xdr:row>
      <xdr:rowOff>171451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53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activeCell="E1" sqref="E1"/>
    </sheetView>
  </sheetViews>
  <sheetFormatPr defaultColWidth="9.140625" defaultRowHeight="12.75"/>
  <cols>
    <col min="1" max="1" width="41.5703125" style="135" customWidth="1"/>
    <col min="2" max="2" width="50.42578125" style="135" customWidth="1"/>
    <col min="3" max="9" width="9.85546875" style="135" customWidth="1"/>
    <col min="10" max="10" width="10.28515625" style="135" customWidth="1"/>
    <col min="11" max="16384" width="9.140625" style="135"/>
  </cols>
  <sheetData>
    <row r="1" spans="1:11" ht="399.75" customHeight="1">
      <c r="A1" s="414" t="s">
        <v>315</v>
      </c>
      <c r="B1" s="415"/>
    </row>
    <row r="2" spans="1:11" ht="400.15" customHeight="1">
      <c r="A2" s="136"/>
      <c r="B2" s="137"/>
      <c r="C2" s="138"/>
      <c r="D2" s="138"/>
      <c r="E2" s="138"/>
      <c r="F2" s="138"/>
      <c r="G2" s="138"/>
      <c r="H2" s="138"/>
      <c r="I2" s="138"/>
      <c r="J2" s="138"/>
      <c r="K2" s="135" t="s">
        <v>263</v>
      </c>
    </row>
    <row r="3" spans="1:11">
      <c r="B3" s="139"/>
      <c r="D3" s="140"/>
      <c r="E3" s="141"/>
      <c r="F3" s="141"/>
      <c r="G3" s="141"/>
      <c r="J3" s="142"/>
    </row>
    <row r="9" spans="1:11">
      <c r="B9" s="143"/>
      <c r="I9" s="144"/>
    </row>
    <row r="10" spans="1:11">
      <c r="B10" s="145"/>
      <c r="C10" s="146"/>
    </row>
    <row r="11" spans="1:11">
      <c r="B11" s="145"/>
      <c r="C11" s="146"/>
    </row>
    <row r="12" spans="1:11">
      <c r="B12" s="145"/>
      <c r="C12" s="146"/>
    </row>
    <row r="13" spans="1:11">
      <c r="A13" s="147"/>
      <c r="B13" s="148"/>
      <c r="C13" s="149"/>
      <c r="D13" s="147"/>
      <c r="E13" s="147"/>
      <c r="F13" s="147"/>
      <c r="G13" s="147"/>
      <c r="H13" s="147"/>
      <c r="I13" s="147"/>
      <c r="J13" s="147"/>
    </row>
    <row r="14" spans="1:11">
      <c r="A14" s="147"/>
      <c r="B14" s="148"/>
      <c r="C14" s="149"/>
      <c r="D14" s="147"/>
      <c r="E14" s="147"/>
      <c r="F14" s="147"/>
      <c r="G14" s="147"/>
      <c r="H14" s="147"/>
      <c r="I14" s="147"/>
      <c r="J14" s="147"/>
    </row>
    <row r="15" spans="1:11">
      <c r="A15" s="147"/>
      <c r="B15" s="148"/>
      <c r="C15" s="149"/>
      <c r="D15" s="147"/>
      <c r="E15" s="147"/>
      <c r="F15" s="147"/>
      <c r="G15" s="147"/>
      <c r="H15" s="147"/>
      <c r="I15" s="147"/>
      <c r="J15" s="147"/>
    </row>
    <row r="16" spans="1:11">
      <c r="A16" s="147"/>
      <c r="B16" s="148"/>
      <c r="C16" s="149"/>
      <c r="D16" s="147"/>
      <c r="E16" s="147"/>
      <c r="F16" s="147"/>
      <c r="G16" s="147"/>
      <c r="H16" s="147"/>
      <c r="I16" s="147"/>
      <c r="J16" s="147"/>
    </row>
    <row r="17" spans="1:10">
      <c r="A17" s="147"/>
      <c r="B17" s="148"/>
      <c r="C17" s="149"/>
      <c r="D17" s="147"/>
      <c r="E17" s="147"/>
      <c r="F17" s="147"/>
      <c r="G17" s="147"/>
      <c r="H17" s="147"/>
      <c r="I17" s="147"/>
      <c r="J17" s="147"/>
    </row>
    <row r="18" spans="1:10">
      <c r="A18" s="147"/>
      <c r="B18" s="148"/>
      <c r="C18" s="149"/>
      <c r="D18" s="147"/>
      <c r="E18" s="147"/>
      <c r="F18" s="147"/>
      <c r="G18" s="147"/>
      <c r="H18" s="147"/>
      <c r="I18" s="147"/>
      <c r="J18" s="147"/>
    </row>
    <row r="19" spans="1:10">
      <c r="A19" s="147"/>
      <c r="B19" s="148"/>
      <c r="C19" s="149"/>
      <c r="D19" s="147"/>
      <c r="E19" s="147"/>
      <c r="F19" s="147"/>
      <c r="G19" s="147"/>
      <c r="H19" s="147"/>
      <c r="I19" s="147"/>
      <c r="J19" s="147"/>
    </row>
    <row r="21" spans="1:10">
      <c r="A21" s="147"/>
      <c r="B21" s="148"/>
      <c r="C21" s="149"/>
      <c r="D21" s="147"/>
      <c r="E21" s="147"/>
      <c r="F21" s="147"/>
      <c r="G21" s="147"/>
      <c r="H21" s="147"/>
      <c r="I21" s="147"/>
      <c r="J21" s="147"/>
    </row>
    <row r="22" spans="1:10">
      <c r="A22" s="147"/>
      <c r="B22" s="148"/>
      <c r="C22" s="149"/>
      <c r="D22" s="147"/>
      <c r="E22" s="147"/>
      <c r="F22" s="147"/>
      <c r="G22" s="147"/>
      <c r="H22" s="147"/>
      <c r="I22" s="147"/>
      <c r="J22" s="147"/>
    </row>
    <row r="23" spans="1:10">
      <c r="A23" s="147"/>
      <c r="B23" s="148"/>
      <c r="C23" s="149"/>
      <c r="D23" s="147"/>
      <c r="E23" s="147"/>
      <c r="F23" s="147"/>
      <c r="G23" s="147"/>
      <c r="H23" s="147"/>
      <c r="I23" s="147"/>
      <c r="J23" s="147"/>
    </row>
    <row r="25" spans="1:10">
      <c r="A25" s="147"/>
      <c r="C25" s="149"/>
      <c r="D25" s="147"/>
      <c r="E25" s="147"/>
      <c r="F25" s="147"/>
      <c r="G25" s="147"/>
      <c r="H25" s="147"/>
      <c r="I25" s="147"/>
      <c r="J25" s="147"/>
    </row>
    <row r="26" spans="1:10">
      <c r="A26" s="147"/>
      <c r="C26" s="149"/>
      <c r="D26" s="147"/>
      <c r="E26" s="147"/>
      <c r="F26" s="147"/>
      <c r="G26" s="147"/>
      <c r="H26" s="147"/>
      <c r="I26" s="147"/>
      <c r="J26" s="147"/>
    </row>
    <row r="27" spans="1:10">
      <c r="A27" s="147"/>
      <c r="C27" s="149"/>
      <c r="D27" s="147"/>
      <c r="E27" s="147"/>
      <c r="F27" s="147"/>
      <c r="G27" s="147"/>
      <c r="H27" s="147"/>
      <c r="I27" s="147"/>
      <c r="J27" s="147"/>
    </row>
    <row r="28" spans="1:10">
      <c r="A28" s="416"/>
      <c r="B28" s="416"/>
      <c r="C28" s="416"/>
      <c r="D28" s="416"/>
      <c r="E28" s="416"/>
      <c r="F28" s="416"/>
      <c r="G28" s="416"/>
      <c r="H28" s="416"/>
      <c r="I28" s="416"/>
      <c r="J28" s="416"/>
    </row>
    <row r="29" spans="1:10">
      <c r="A29" s="147"/>
      <c r="B29" s="148"/>
      <c r="C29" s="149"/>
      <c r="D29" s="147"/>
      <c r="E29" s="147"/>
      <c r="F29" s="147"/>
      <c r="G29" s="147"/>
      <c r="H29" s="147"/>
      <c r="I29" s="147"/>
      <c r="J29" s="147"/>
    </row>
    <row r="31" spans="1:10">
      <c r="A31" s="147"/>
      <c r="B31" s="148"/>
      <c r="C31" s="149"/>
      <c r="D31" s="147"/>
      <c r="E31" s="147"/>
      <c r="F31" s="147"/>
      <c r="G31" s="147"/>
      <c r="H31" s="147"/>
      <c r="I31" s="147"/>
      <c r="J31" s="147"/>
    </row>
    <row r="32" spans="1:10">
      <c r="A32" s="147"/>
      <c r="B32" s="148"/>
      <c r="C32" s="149"/>
      <c r="D32" s="147"/>
      <c r="E32" s="147"/>
      <c r="F32" s="147"/>
      <c r="G32" s="147"/>
      <c r="H32" s="147"/>
      <c r="I32" s="147"/>
      <c r="J32" s="147"/>
    </row>
    <row r="33" spans="1:10">
      <c r="A33" s="417"/>
      <c r="B33" s="417"/>
      <c r="C33" s="417"/>
      <c r="D33" s="417"/>
      <c r="E33" s="417"/>
      <c r="F33" s="417"/>
      <c r="G33" s="417"/>
      <c r="H33" s="417"/>
      <c r="I33" s="417"/>
      <c r="J33" s="417"/>
    </row>
    <row r="34" spans="1:10">
      <c r="B34" s="142"/>
      <c r="C34" s="142"/>
      <c r="D34" s="142"/>
      <c r="E34" s="142"/>
      <c r="F34" s="142"/>
      <c r="G34" s="142"/>
      <c r="H34" s="142"/>
      <c r="I34" s="142"/>
      <c r="J34" s="142"/>
    </row>
    <row r="37" spans="1:10">
      <c r="B37" s="145"/>
      <c r="C37" s="146"/>
    </row>
    <row r="39" spans="1:10">
      <c r="B39" s="150"/>
      <c r="C39" s="150"/>
      <c r="D39" s="150"/>
      <c r="E39" s="150"/>
      <c r="F39" s="150"/>
      <c r="G39" s="150"/>
      <c r="H39" s="150"/>
      <c r="I39" s="150"/>
    </row>
    <row r="50" spans="1:10">
      <c r="A50" s="418"/>
      <c r="B50" s="418"/>
      <c r="C50" s="418"/>
      <c r="D50" s="418"/>
      <c r="E50" s="418"/>
      <c r="F50" s="418"/>
      <c r="G50" s="418"/>
      <c r="H50" s="418"/>
      <c r="I50" s="418"/>
      <c r="J50" s="418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topLeftCell="A31" zoomScaleNormal="100" zoomScaleSheetLayoutView="100" workbookViewId="0">
      <selection activeCell="E1" sqref="E1"/>
    </sheetView>
  </sheetViews>
  <sheetFormatPr defaultColWidth="9.140625" defaultRowHeight="12.75"/>
  <cols>
    <col min="1" max="1" width="18.42578125" style="76" customWidth="1"/>
    <col min="2" max="10" width="9" style="76" customWidth="1"/>
    <col min="11" max="12" width="7.7109375" style="76" customWidth="1"/>
    <col min="13" max="16384" width="9.140625" style="76"/>
  </cols>
  <sheetData>
    <row r="1" spans="1:10" ht="18">
      <c r="A1" s="472" t="s">
        <v>300</v>
      </c>
      <c r="B1" s="472"/>
      <c r="C1" s="472"/>
      <c r="D1" s="472"/>
      <c r="E1" s="472"/>
      <c r="F1" s="472"/>
      <c r="G1" s="472"/>
      <c r="H1" s="472"/>
      <c r="I1" s="472"/>
      <c r="J1" s="472"/>
    </row>
    <row r="2" spans="1:10" ht="6" customHeight="1">
      <c r="A2" s="272"/>
      <c r="B2" s="273"/>
      <c r="C2" s="273"/>
      <c r="D2" s="273"/>
      <c r="E2" s="273"/>
      <c r="F2" s="273"/>
      <c r="G2" s="273"/>
      <c r="H2" s="273"/>
      <c r="I2" s="273"/>
      <c r="J2" s="273"/>
    </row>
    <row r="3" spans="1:10" ht="15.75" customHeight="1">
      <c r="A3" s="318">
        <f>'3.1'!A4</f>
        <v>2022</v>
      </c>
      <c r="B3" s="474" t="str">
        <f>'3.1'!D5</f>
        <v>Duben</v>
      </c>
      <c r="C3" s="473"/>
      <c r="D3" s="475"/>
      <c r="E3" s="473" t="str">
        <f>'3.1'!E5</f>
        <v>Květen</v>
      </c>
      <c r="F3" s="473"/>
      <c r="G3" s="473"/>
      <c r="H3" s="474" t="str">
        <f>'3.1'!F5</f>
        <v>Červen</v>
      </c>
      <c r="I3" s="473"/>
      <c r="J3" s="473"/>
    </row>
    <row r="4" spans="1:10" ht="28.5" customHeight="1">
      <c r="A4" s="292"/>
      <c r="B4" s="476" t="s">
        <v>60</v>
      </c>
      <c r="C4" s="477"/>
      <c r="D4" s="225" t="s">
        <v>184</v>
      </c>
      <c r="E4" s="477" t="s">
        <v>60</v>
      </c>
      <c r="F4" s="477"/>
      <c r="G4" s="222" t="s">
        <v>184</v>
      </c>
      <c r="H4" s="476" t="s">
        <v>60</v>
      </c>
      <c r="I4" s="477"/>
      <c r="J4" s="222" t="s">
        <v>184</v>
      </c>
    </row>
    <row r="5" spans="1:10" ht="15" customHeight="1">
      <c r="A5" s="280" t="s">
        <v>176</v>
      </c>
      <c r="B5" s="224" t="s">
        <v>265</v>
      </c>
      <c r="C5" s="222" t="s">
        <v>266</v>
      </c>
      <c r="D5" s="225" t="s">
        <v>234</v>
      </c>
      <c r="E5" s="222" t="s">
        <v>265</v>
      </c>
      <c r="F5" s="222" t="s">
        <v>266</v>
      </c>
      <c r="G5" s="222" t="s">
        <v>234</v>
      </c>
      <c r="H5" s="224" t="s">
        <v>265</v>
      </c>
      <c r="I5" s="222" t="s">
        <v>266</v>
      </c>
      <c r="J5" s="222" t="s">
        <v>234</v>
      </c>
    </row>
    <row r="6" spans="1:10" ht="12.6" customHeight="1">
      <c r="A6" s="155">
        <v>1</v>
      </c>
      <c r="B6" s="156">
        <v>29377.569261023011</v>
      </c>
      <c r="C6" s="157">
        <v>316725.51308963337</v>
      </c>
      <c r="D6" s="286">
        <v>0.4</v>
      </c>
      <c r="E6" s="157">
        <v>14262.719904222582</v>
      </c>
      <c r="F6" s="157">
        <v>153282.16498219356</v>
      </c>
      <c r="G6" s="274">
        <v>11.8</v>
      </c>
      <c r="H6" s="156">
        <v>13608.511540862359</v>
      </c>
      <c r="I6" s="157">
        <v>147456.01537976667</v>
      </c>
      <c r="J6" s="274">
        <v>16.2</v>
      </c>
    </row>
    <row r="7" spans="1:10" ht="12.6" customHeight="1">
      <c r="A7" s="155">
        <v>2</v>
      </c>
      <c r="B7" s="156">
        <v>28700.154712533145</v>
      </c>
      <c r="C7" s="157">
        <v>309435.13208963332</v>
      </c>
      <c r="D7" s="286">
        <v>0.2</v>
      </c>
      <c r="E7" s="157">
        <v>15313.709981013442</v>
      </c>
      <c r="F7" s="157">
        <v>164561.79498219356</v>
      </c>
      <c r="G7" s="274">
        <v>12.8</v>
      </c>
      <c r="H7" s="156">
        <v>13183.347922747937</v>
      </c>
      <c r="I7" s="157">
        <v>142960.34037976668</v>
      </c>
      <c r="J7" s="274">
        <v>15.4</v>
      </c>
    </row>
    <row r="8" spans="1:10" ht="12.6" customHeight="1">
      <c r="A8" s="155">
        <v>3</v>
      </c>
      <c r="B8" s="156">
        <v>29578.261063909591</v>
      </c>
      <c r="C8" s="157">
        <v>318897.58008963335</v>
      </c>
      <c r="D8" s="286">
        <v>-1</v>
      </c>
      <c r="E8" s="157">
        <v>16724.326985173404</v>
      </c>
      <c r="F8" s="157">
        <v>179687.71998219355</v>
      </c>
      <c r="G8" s="274">
        <v>13</v>
      </c>
      <c r="H8" s="156">
        <v>11592.115934613503</v>
      </c>
      <c r="I8" s="157">
        <v>125705.75937976668</v>
      </c>
      <c r="J8" s="274">
        <v>19.5</v>
      </c>
    </row>
    <row r="9" spans="1:10" ht="12.6" customHeight="1">
      <c r="A9" s="155">
        <v>4</v>
      </c>
      <c r="B9" s="156">
        <v>29953.648357462036</v>
      </c>
      <c r="C9" s="157">
        <v>322924.56208963337</v>
      </c>
      <c r="D9" s="286">
        <v>2.2999999999999998</v>
      </c>
      <c r="E9" s="157">
        <v>17116.504218966053</v>
      </c>
      <c r="F9" s="157">
        <v>183781.96298219357</v>
      </c>
      <c r="G9" s="274">
        <v>12.9</v>
      </c>
      <c r="H9" s="156">
        <v>8425.8760036403</v>
      </c>
      <c r="I9" s="157">
        <v>91329.234379766669</v>
      </c>
      <c r="J9" s="274">
        <v>18.3</v>
      </c>
    </row>
    <row r="10" spans="1:10" ht="12.6" customHeight="1">
      <c r="A10" s="155">
        <v>5</v>
      </c>
      <c r="B10" s="156">
        <v>28866.256673424621</v>
      </c>
      <c r="C10" s="157">
        <v>311188.78208963334</v>
      </c>
      <c r="D10" s="286">
        <v>5.8</v>
      </c>
      <c r="E10" s="157">
        <v>16098.683694742524</v>
      </c>
      <c r="F10" s="157">
        <v>172931.20598219355</v>
      </c>
      <c r="G10" s="274">
        <v>13.4</v>
      </c>
      <c r="H10" s="156">
        <v>8634.2173571970052</v>
      </c>
      <c r="I10" s="157">
        <v>93585.503379766669</v>
      </c>
      <c r="J10" s="274">
        <v>19.7</v>
      </c>
    </row>
    <row r="11" spans="1:10" ht="12.6" customHeight="1">
      <c r="A11" s="155">
        <v>6</v>
      </c>
      <c r="B11" s="156">
        <v>24184.794027321281</v>
      </c>
      <c r="C11" s="157">
        <v>260722.65308963336</v>
      </c>
      <c r="D11" s="286">
        <v>9.6</v>
      </c>
      <c r="E11" s="157">
        <v>13368.467128057093</v>
      </c>
      <c r="F11" s="157">
        <v>143659.39898219355</v>
      </c>
      <c r="G11" s="274">
        <v>12.7</v>
      </c>
      <c r="H11" s="156">
        <v>10499.903225772683</v>
      </c>
      <c r="I11" s="157">
        <v>113796.77237976667</v>
      </c>
      <c r="J11" s="274">
        <v>18.2</v>
      </c>
    </row>
    <row r="12" spans="1:10" ht="12.6" customHeight="1">
      <c r="A12" s="155">
        <v>7</v>
      </c>
      <c r="B12" s="156">
        <v>22278.206920331777</v>
      </c>
      <c r="C12" s="157">
        <v>240171.05208963333</v>
      </c>
      <c r="D12" s="286">
        <v>10.8</v>
      </c>
      <c r="E12" s="157">
        <v>11375.936351530127</v>
      </c>
      <c r="F12" s="157">
        <v>122250.33198219354</v>
      </c>
      <c r="G12" s="274">
        <v>12.6</v>
      </c>
      <c r="H12" s="156">
        <v>13107.07376976562</v>
      </c>
      <c r="I12" s="157">
        <v>142183.05537976668</v>
      </c>
      <c r="J12" s="274">
        <v>16.2</v>
      </c>
    </row>
    <row r="13" spans="1:10" ht="12.6" customHeight="1">
      <c r="A13" s="155">
        <v>8</v>
      </c>
      <c r="B13" s="156">
        <v>23065.060553544674</v>
      </c>
      <c r="C13" s="157">
        <v>248680.80008963335</v>
      </c>
      <c r="D13" s="286">
        <v>6.6</v>
      </c>
      <c r="E13" s="157">
        <v>11530.596515591706</v>
      </c>
      <c r="F13" s="157">
        <v>123897.24598219355</v>
      </c>
      <c r="G13" s="274">
        <v>14.2</v>
      </c>
      <c r="H13" s="156">
        <v>13293.82181025209</v>
      </c>
      <c r="I13" s="157">
        <v>144122.94337976669</v>
      </c>
      <c r="J13" s="274">
        <v>17.3</v>
      </c>
    </row>
    <row r="14" spans="1:10" ht="12.6" customHeight="1">
      <c r="A14" s="155">
        <v>9</v>
      </c>
      <c r="B14" s="156">
        <v>23265.131136510692</v>
      </c>
      <c r="C14" s="157">
        <v>250847.44208963335</v>
      </c>
      <c r="D14" s="286">
        <v>2.9</v>
      </c>
      <c r="E14" s="157">
        <v>14953.698061449137</v>
      </c>
      <c r="F14" s="157">
        <v>160538.70498219357</v>
      </c>
      <c r="G14" s="274">
        <v>14.4</v>
      </c>
      <c r="H14" s="156">
        <v>13216.450452227926</v>
      </c>
      <c r="I14" s="157">
        <v>143430.93037976668</v>
      </c>
      <c r="J14" s="274">
        <v>16</v>
      </c>
    </row>
    <row r="15" spans="1:10" ht="12.6" customHeight="1">
      <c r="A15" s="155">
        <v>10</v>
      </c>
      <c r="B15" s="156">
        <v>24911.536567090723</v>
      </c>
      <c r="C15" s="157">
        <v>268589.50708963332</v>
      </c>
      <c r="D15" s="286">
        <v>2.4</v>
      </c>
      <c r="E15" s="157">
        <v>11972.153321956584</v>
      </c>
      <c r="F15" s="157">
        <v>128651.68498219355</v>
      </c>
      <c r="G15" s="274">
        <v>15.8</v>
      </c>
      <c r="H15" s="156">
        <v>10568.249732435033</v>
      </c>
      <c r="I15" s="157">
        <v>114577.88537976667</v>
      </c>
      <c r="J15" s="274">
        <v>16.8</v>
      </c>
    </row>
    <row r="16" spans="1:10" ht="12.6" customHeight="1">
      <c r="A16" s="155">
        <v>11</v>
      </c>
      <c r="B16" s="156">
        <v>26097.043312838454</v>
      </c>
      <c r="C16" s="157">
        <v>281338.87908963335</v>
      </c>
      <c r="D16" s="286">
        <v>4</v>
      </c>
      <c r="E16" s="157">
        <v>11199.03987791211</v>
      </c>
      <c r="F16" s="157">
        <v>120344.59398219355</v>
      </c>
      <c r="G16" s="274">
        <v>19.3</v>
      </c>
      <c r="H16" s="156">
        <v>8453.5494937309231</v>
      </c>
      <c r="I16" s="157">
        <v>91624.77637976667</v>
      </c>
      <c r="J16" s="274">
        <v>18.399999999999999</v>
      </c>
    </row>
    <row r="17" spans="1:10" ht="12.6" customHeight="1">
      <c r="A17" s="155">
        <v>12</v>
      </c>
      <c r="B17" s="156">
        <v>23136.908444500892</v>
      </c>
      <c r="C17" s="157">
        <v>249422.44208963335</v>
      </c>
      <c r="D17" s="286">
        <v>7.8</v>
      </c>
      <c r="E17" s="157">
        <v>11018.352286084688</v>
      </c>
      <c r="F17" s="157">
        <v>118403.30798219354</v>
      </c>
      <c r="G17" s="274">
        <v>18.3</v>
      </c>
      <c r="H17" s="156">
        <v>8972.4199536223168</v>
      </c>
      <c r="I17" s="157">
        <v>97270.09837976667</v>
      </c>
      <c r="J17" s="274">
        <v>20.3</v>
      </c>
    </row>
    <row r="18" spans="1:10" ht="12.6" customHeight="1">
      <c r="A18" s="155">
        <v>13</v>
      </c>
      <c r="B18" s="156">
        <v>20260.558074717246</v>
      </c>
      <c r="C18" s="157">
        <v>218407.88508963335</v>
      </c>
      <c r="D18" s="287">
        <v>11.1</v>
      </c>
      <c r="E18" s="157">
        <v>10684.470526533558</v>
      </c>
      <c r="F18" s="157">
        <v>114818.35898219355</v>
      </c>
      <c r="G18" s="275">
        <v>16.3</v>
      </c>
      <c r="H18" s="156">
        <v>12131.28291592624</v>
      </c>
      <c r="I18" s="157">
        <v>131634.21037976668</v>
      </c>
      <c r="J18" s="275">
        <v>15</v>
      </c>
    </row>
    <row r="19" spans="1:10" ht="12.6" customHeight="1">
      <c r="A19" s="155">
        <v>14</v>
      </c>
      <c r="B19" s="156">
        <v>16984.770957842542</v>
      </c>
      <c r="C19" s="157">
        <v>183108.49308963335</v>
      </c>
      <c r="D19" s="287">
        <v>13.3</v>
      </c>
      <c r="E19" s="157">
        <v>9106.6029789140212</v>
      </c>
      <c r="F19" s="157">
        <v>97869.568982193538</v>
      </c>
      <c r="G19" s="275">
        <v>14.9</v>
      </c>
      <c r="H19" s="156">
        <v>13834.782194340585</v>
      </c>
      <c r="I19" s="157">
        <v>150114.86037976667</v>
      </c>
      <c r="J19" s="275">
        <v>14.7</v>
      </c>
    </row>
    <row r="20" spans="1:10" ht="12.6" customHeight="1">
      <c r="A20" s="155">
        <v>15</v>
      </c>
      <c r="B20" s="156">
        <v>16557.755764080412</v>
      </c>
      <c r="C20" s="157">
        <v>178520.91308963334</v>
      </c>
      <c r="D20" s="287">
        <v>9.6</v>
      </c>
      <c r="E20" s="157">
        <v>9637.9096885026229</v>
      </c>
      <c r="F20" s="157">
        <v>103581.14498219354</v>
      </c>
      <c r="G20" s="275">
        <v>15.5</v>
      </c>
      <c r="H20" s="156">
        <v>12427.050766235481</v>
      </c>
      <c r="I20" s="157">
        <v>134825.34437976667</v>
      </c>
      <c r="J20" s="275">
        <v>18.3</v>
      </c>
    </row>
    <row r="21" spans="1:10" ht="12.6" customHeight="1">
      <c r="A21" s="155">
        <v>16</v>
      </c>
      <c r="B21" s="156">
        <v>19031.121818896976</v>
      </c>
      <c r="C21" s="157">
        <v>205193.47708963335</v>
      </c>
      <c r="D21" s="287">
        <v>4.4000000000000004</v>
      </c>
      <c r="E21" s="157">
        <v>10746.364311248517</v>
      </c>
      <c r="F21" s="157">
        <v>115472.76598219354</v>
      </c>
      <c r="G21" s="275">
        <v>17.8</v>
      </c>
      <c r="H21" s="156">
        <v>11629.900955223708</v>
      </c>
      <c r="I21" s="157">
        <v>126209.88737976667</v>
      </c>
      <c r="J21" s="275">
        <v>18.899999999999999</v>
      </c>
    </row>
    <row r="22" spans="1:10" ht="12.6" customHeight="1">
      <c r="A22" s="155">
        <v>17</v>
      </c>
      <c r="B22" s="156">
        <v>18582.732998040996</v>
      </c>
      <c r="C22" s="157">
        <v>200351.55008963335</v>
      </c>
      <c r="D22" s="287">
        <v>5</v>
      </c>
      <c r="E22" s="157">
        <v>14274.252118107039</v>
      </c>
      <c r="F22" s="157">
        <v>153356.80998219355</v>
      </c>
      <c r="G22" s="275">
        <v>13.9</v>
      </c>
      <c r="H22" s="156">
        <v>9501.7526478405598</v>
      </c>
      <c r="I22" s="157">
        <v>102978.27537976667</v>
      </c>
      <c r="J22" s="275">
        <v>17.7</v>
      </c>
    </row>
    <row r="23" spans="1:10" ht="12.6" customHeight="1">
      <c r="A23" s="155">
        <v>18</v>
      </c>
      <c r="B23" s="156">
        <v>20013.40436965305</v>
      </c>
      <c r="C23" s="276">
        <v>215761.00008963334</v>
      </c>
      <c r="D23" s="288">
        <v>5.9</v>
      </c>
      <c r="E23" s="157">
        <v>12818.28420657059</v>
      </c>
      <c r="F23" s="276">
        <v>137676.37598219357</v>
      </c>
      <c r="G23" s="277">
        <v>13.8</v>
      </c>
      <c r="H23" s="156">
        <v>7710.5805403406084</v>
      </c>
      <c r="I23" s="276">
        <v>83570.777379766674</v>
      </c>
      <c r="J23" s="277">
        <v>22.3</v>
      </c>
    </row>
    <row r="24" spans="1:10" ht="12.6" customHeight="1">
      <c r="A24" s="155">
        <v>19</v>
      </c>
      <c r="B24" s="156">
        <v>24604.542630947501</v>
      </c>
      <c r="C24" s="276">
        <v>265237.19308963337</v>
      </c>
      <c r="D24" s="288">
        <v>3.6</v>
      </c>
      <c r="E24" s="157">
        <v>12561.188824772944</v>
      </c>
      <c r="F24" s="276">
        <v>134910.26498219356</v>
      </c>
      <c r="G24" s="277">
        <v>17.3</v>
      </c>
      <c r="H24" s="156">
        <v>8749.4810855837404</v>
      </c>
      <c r="I24" s="276">
        <v>94939.260379766667</v>
      </c>
      <c r="J24" s="277">
        <v>25</v>
      </c>
    </row>
    <row r="25" spans="1:10" ht="12.6" customHeight="1">
      <c r="A25" s="155">
        <v>20</v>
      </c>
      <c r="B25" s="156">
        <v>25450.334125500449</v>
      </c>
      <c r="C25" s="157">
        <v>274367.49408963334</v>
      </c>
      <c r="D25" s="287">
        <v>4.7</v>
      </c>
      <c r="E25" s="157">
        <v>10998.326804188026</v>
      </c>
      <c r="F25" s="157">
        <v>118133.52898219354</v>
      </c>
      <c r="G25" s="275">
        <v>20.6</v>
      </c>
      <c r="H25" s="156">
        <v>12485.892385557463</v>
      </c>
      <c r="I25" s="157">
        <v>135537.05937976667</v>
      </c>
      <c r="J25" s="275">
        <v>18.600000000000001</v>
      </c>
    </row>
    <row r="26" spans="1:10" ht="12.6" customHeight="1">
      <c r="A26" s="155">
        <v>21</v>
      </c>
      <c r="B26" s="156">
        <v>23419.98916422639</v>
      </c>
      <c r="C26" s="157">
        <v>252483.34408963335</v>
      </c>
      <c r="D26" s="287">
        <v>7</v>
      </c>
      <c r="E26" s="157">
        <v>8791.0006391573988</v>
      </c>
      <c r="F26" s="157">
        <v>94475.318982193538</v>
      </c>
      <c r="G26" s="275">
        <v>15.6</v>
      </c>
      <c r="H26" s="156">
        <v>11899.497273882072</v>
      </c>
      <c r="I26" s="157">
        <v>129184.18637976667</v>
      </c>
      <c r="J26" s="275">
        <v>15.4</v>
      </c>
    </row>
    <row r="27" spans="1:10" ht="12.6" customHeight="1">
      <c r="A27" s="155">
        <v>22</v>
      </c>
      <c r="B27" s="156">
        <v>22256.37488387317</v>
      </c>
      <c r="C27" s="157">
        <v>239936.22908963336</v>
      </c>
      <c r="D27" s="287">
        <v>8</v>
      </c>
      <c r="E27" s="157">
        <v>9431.9256057806524</v>
      </c>
      <c r="F27" s="157">
        <v>101384.86898219354</v>
      </c>
      <c r="G27" s="275">
        <v>13.9</v>
      </c>
      <c r="H27" s="156">
        <v>12775.730923400366</v>
      </c>
      <c r="I27" s="157">
        <v>138929.44237976667</v>
      </c>
      <c r="J27" s="275">
        <v>19.399999999999999</v>
      </c>
    </row>
    <row r="28" spans="1:10" ht="12.6" customHeight="1">
      <c r="A28" s="155">
        <v>23</v>
      </c>
      <c r="B28" s="284">
        <v>17251.837972435689</v>
      </c>
      <c r="C28" s="278">
        <v>185998.55308963335</v>
      </c>
      <c r="D28" s="286">
        <v>9.6</v>
      </c>
      <c r="E28" s="278">
        <v>12950.591032993947</v>
      </c>
      <c r="F28" s="278">
        <v>139496.89698219355</v>
      </c>
      <c r="G28" s="274">
        <v>16.100000000000001</v>
      </c>
      <c r="H28" s="284">
        <v>11809.059174328973</v>
      </c>
      <c r="I28" s="278">
        <v>128209.39137976668</v>
      </c>
      <c r="J28" s="274">
        <v>21.4</v>
      </c>
    </row>
    <row r="29" spans="1:10" ht="12.6" customHeight="1">
      <c r="A29" s="155">
        <v>24</v>
      </c>
      <c r="B29" s="285">
        <v>19025.071844458489</v>
      </c>
      <c r="C29" s="279">
        <v>205128.07108963333</v>
      </c>
      <c r="D29" s="286">
        <v>8.6999999999999993</v>
      </c>
      <c r="E29" s="279">
        <v>13619.738171870835</v>
      </c>
      <c r="F29" s="279">
        <v>146654.40498219355</v>
      </c>
      <c r="G29" s="274">
        <v>15.4</v>
      </c>
      <c r="H29" s="285">
        <v>9903.8770017556708</v>
      </c>
      <c r="I29" s="279">
        <v>107328.04237976667</v>
      </c>
      <c r="J29" s="274">
        <v>20.399999999999999</v>
      </c>
    </row>
    <row r="30" spans="1:10" ht="12.6" customHeight="1">
      <c r="A30" s="155">
        <v>25</v>
      </c>
      <c r="B30" s="156">
        <v>22290.229137905411</v>
      </c>
      <c r="C30" s="157">
        <v>240308.27808963336</v>
      </c>
      <c r="D30" s="287">
        <v>7.1</v>
      </c>
      <c r="E30" s="157">
        <v>12734.477362149406</v>
      </c>
      <c r="F30" s="157">
        <v>136963.58498219357</v>
      </c>
      <c r="G30" s="275">
        <v>12.8</v>
      </c>
      <c r="H30" s="156">
        <v>8251.3978581830506</v>
      </c>
      <c r="I30" s="157">
        <v>89432.330379766674</v>
      </c>
      <c r="J30" s="275">
        <v>18.600000000000001</v>
      </c>
    </row>
    <row r="31" spans="1:10" ht="12.6" customHeight="1">
      <c r="A31" s="155">
        <v>26</v>
      </c>
      <c r="B31" s="156">
        <v>20879.72237608775</v>
      </c>
      <c r="C31" s="157">
        <v>225078.64008963335</v>
      </c>
      <c r="D31" s="287">
        <v>8.6999999999999993</v>
      </c>
      <c r="E31" s="157">
        <v>12213.915220809113</v>
      </c>
      <c r="F31" s="157">
        <v>131305.95398219355</v>
      </c>
      <c r="G31" s="275">
        <v>14.9</v>
      </c>
      <c r="H31" s="156">
        <v>8355.5151089368046</v>
      </c>
      <c r="I31" s="157">
        <v>90575.405379766671</v>
      </c>
      <c r="J31" s="275">
        <v>22</v>
      </c>
    </row>
    <row r="32" spans="1:10" ht="12.6" customHeight="1">
      <c r="A32" s="155">
        <v>27</v>
      </c>
      <c r="B32" s="156">
        <v>20562.429395400213</v>
      </c>
      <c r="C32" s="157">
        <v>221650.84408963335</v>
      </c>
      <c r="D32" s="287">
        <v>9.3000000000000007</v>
      </c>
      <c r="E32" s="157">
        <v>13498.639746778812</v>
      </c>
      <c r="F32" s="157">
        <v>145118.71498219355</v>
      </c>
      <c r="G32" s="275">
        <v>13.4</v>
      </c>
      <c r="H32" s="156">
        <v>12812.611264593968</v>
      </c>
      <c r="I32" s="157">
        <v>139271.84937976667</v>
      </c>
      <c r="J32" s="275">
        <v>24.8</v>
      </c>
    </row>
    <row r="33" spans="1:15" ht="12.6" customHeight="1">
      <c r="A33" s="155">
        <v>28</v>
      </c>
      <c r="B33" s="156">
        <v>19420.616350393706</v>
      </c>
      <c r="C33" s="157">
        <v>209432.66308963334</v>
      </c>
      <c r="D33" s="287">
        <v>9.6</v>
      </c>
      <c r="E33" s="157">
        <v>10098.613656211544</v>
      </c>
      <c r="F33" s="157">
        <v>108536.11998219354</v>
      </c>
      <c r="G33" s="275">
        <v>10.5</v>
      </c>
      <c r="H33" s="156">
        <v>12681.409983625443</v>
      </c>
      <c r="I33" s="157">
        <v>137899.15937976667</v>
      </c>
      <c r="J33" s="275">
        <v>20.7</v>
      </c>
    </row>
    <row r="34" spans="1:15" ht="12.6" customHeight="1">
      <c r="A34" s="155">
        <v>29</v>
      </c>
      <c r="B34" s="156">
        <v>17200.987938765153</v>
      </c>
      <c r="C34" s="157">
        <v>185460.66808963334</v>
      </c>
      <c r="D34" s="287">
        <v>10.3</v>
      </c>
      <c r="E34" s="157">
        <v>10767.800076353979</v>
      </c>
      <c r="F34" s="157">
        <v>115740.36598219354</v>
      </c>
      <c r="G34" s="275">
        <v>9.6999999999999993</v>
      </c>
      <c r="H34" s="156">
        <v>13325.807595577458</v>
      </c>
      <c r="I34" s="157">
        <v>144929.20737976668</v>
      </c>
      <c r="J34" s="275">
        <v>20.5</v>
      </c>
    </row>
    <row r="35" spans="1:15" ht="12.6" customHeight="1">
      <c r="A35" s="155">
        <v>30</v>
      </c>
      <c r="B35" s="156">
        <v>14154.988994736485</v>
      </c>
      <c r="C35" s="157">
        <v>152614.26708963336</v>
      </c>
      <c r="D35" s="287">
        <v>10.8</v>
      </c>
      <c r="E35" s="157">
        <v>15151.366704222726</v>
      </c>
      <c r="F35" s="157">
        <v>162946.92098219355</v>
      </c>
      <c r="G35" s="275">
        <v>11.1</v>
      </c>
      <c r="H35" s="156">
        <v>12512.551233033837</v>
      </c>
      <c r="I35" s="157">
        <v>135911.41937976668</v>
      </c>
      <c r="J35" s="275">
        <v>22.7</v>
      </c>
    </row>
    <row r="36" spans="1:15" ht="12.6" customHeight="1">
      <c r="A36" s="160">
        <v>31</v>
      </c>
      <c r="B36" s="161"/>
      <c r="C36" s="162"/>
      <c r="D36" s="289"/>
      <c r="E36" s="162">
        <v>13876.167444179646</v>
      </c>
      <c r="F36" s="162">
        <v>149225.01398219357</v>
      </c>
      <c r="G36" s="281">
        <v>14.8</v>
      </c>
      <c r="H36" s="161"/>
      <c r="I36" s="162"/>
      <c r="J36" s="281"/>
    </row>
    <row r="37" spans="1:15" ht="12.6" customHeight="1">
      <c r="A37" s="282" t="s">
        <v>0</v>
      </c>
      <c r="B37" s="170">
        <f>SUM(B6:B36)</f>
        <v>671362.03982845251</v>
      </c>
      <c r="C37" s="171">
        <f>SUM(C6:C36)</f>
        <v>7237983.9086890016</v>
      </c>
      <c r="D37" s="290">
        <f>AVERAGE(D6:D36)</f>
        <v>6.6166666666666663</v>
      </c>
      <c r="E37" s="171">
        <f>SUM(E6:E36)</f>
        <v>388895.82344604481</v>
      </c>
      <c r="F37" s="171">
        <f>SUM(F6:F36)</f>
        <v>4179657.1014480009</v>
      </c>
      <c r="G37" s="283">
        <f>AVERAGE(G6:G36)</f>
        <v>14.500000000000002</v>
      </c>
      <c r="H37" s="170">
        <f>SUM(H6:H36)</f>
        <v>336353.71810523374</v>
      </c>
      <c r="I37" s="171">
        <f>SUM(I6:I36)</f>
        <v>3649523.4233929999</v>
      </c>
      <c r="J37" s="283">
        <f>AVERAGE(J6:J36)</f>
        <v>18.956666666666667</v>
      </c>
      <c r="M37" s="77"/>
      <c r="N37" s="77"/>
      <c r="O37" s="77"/>
    </row>
    <row r="38" spans="1:15" ht="12.95" customHeight="1">
      <c r="A38" s="155" t="s">
        <v>177</v>
      </c>
      <c r="B38" s="156">
        <f>MAX(B6:B36)</f>
        <v>29953.648357462036</v>
      </c>
      <c r="C38" s="157">
        <f>MAX(C6:C36)</f>
        <v>322924.56208963337</v>
      </c>
      <c r="D38" s="287">
        <f>VLOOKUP(B38,$B$6:$D$36,3,FALSE)</f>
        <v>2.2999999999999998</v>
      </c>
      <c r="E38" s="157">
        <f>MAX(E6:E36)</f>
        <v>17116.504218966053</v>
      </c>
      <c r="F38" s="157">
        <f>MAX(F6:F36)</f>
        <v>183781.96298219357</v>
      </c>
      <c r="G38" s="275">
        <f>VLOOKUP(E38,$E$6:$G$36,3,FALSE)</f>
        <v>12.9</v>
      </c>
      <c r="H38" s="156">
        <f>MAX(H6:H36)</f>
        <v>13834.782194340585</v>
      </c>
      <c r="I38" s="157">
        <f>MAX(I6:I36)</f>
        <v>150114.86037976667</v>
      </c>
      <c r="J38" s="275">
        <f>VLOOKUP(H38,$H$6:$J$36,3,FALSE)</f>
        <v>14.7</v>
      </c>
    </row>
    <row r="39" spans="1:15" ht="12.95" customHeight="1">
      <c r="A39" s="155" t="s">
        <v>178</v>
      </c>
      <c r="B39" s="156">
        <f>MIN(B6:B36)</f>
        <v>14154.988994736485</v>
      </c>
      <c r="C39" s="157">
        <f>MIN(C6:C36)</f>
        <v>152614.26708963336</v>
      </c>
      <c r="D39" s="287">
        <f>VLOOKUP(B39,$B$6:$D$36,3,FALSE)</f>
        <v>10.8</v>
      </c>
      <c r="E39" s="157">
        <f>MIN(E6:E36)</f>
        <v>8791.0006391573988</v>
      </c>
      <c r="F39" s="157">
        <f>MIN(F6:F36)</f>
        <v>94475.318982193538</v>
      </c>
      <c r="G39" s="275">
        <f>VLOOKUP(E39,$E$6:$G$36,3,FALSE)</f>
        <v>15.6</v>
      </c>
      <c r="H39" s="156">
        <f>MIN(H6:H36)</f>
        <v>7710.5805403406084</v>
      </c>
      <c r="I39" s="157">
        <f>MIN(I6:I36)</f>
        <v>83570.777379766674</v>
      </c>
      <c r="J39" s="275">
        <f>VLOOKUP(H39,$H$6:$J$36,3,FALSE)</f>
        <v>22.3</v>
      </c>
    </row>
    <row r="40" spans="1:15" ht="12.95" customHeight="1">
      <c r="A40" s="160" t="s">
        <v>179</v>
      </c>
      <c r="B40" s="161">
        <f t="shared" ref="B40:J40" si="0">AVERAGE(B6:B36)</f>
        <v>22378.734660948416</v>
      </c>
      <c r="C40" s="162">
        <f t="shared" si="0"/>
        <v>241266.13028963338</v>
      </c>
      <c r="D40" s="289">
        <f t="shared" si="0"/>
        <v>6.6166666666666663</v>
      </c>
      <c r="E40" s="162">
        <f t="shared" si="0"/>
        <v>12545.02656277564</v>
      </c>
      <c r="F40" s="162">
        <f>AVERAGE(F6:F36)</f>
        <v>134827.64843380649</v>
      </c>
      <c r="G40" s="281">
        <f>AVERAGE(G6:G36)</f>
        <v>14.500000000000002</v>
      </c>
      <c r="H40" s="161">
        <f>AVERAGE(H6:H36)</f>
        <v>11211.790603507792</v>
      </c>
      <c r="I40" s="162">
        <f t="shared" si="0"/>
        <v>121650.78077976666</v>
      </c>
      <c r="J40" s="281">
        <f t="shared" si="0"/>
        <v>18.956666666666667</v>
      </c>
    </row>
    <row r="41" spans="1:15" ht="15" customHeight="1">
      <c r="A41" s="43"/>
      <c r="B41" s="469" t="str">
        <f>B3</f>
        <v>Duben</v>
      </c>
      <c r="C41" s="470"/>
      <c r="D41" s="471"/>
      <c r="E41" s="469" t="str">
        <f>E3</f>
        <v>Květen</v>
      </c>
      <c r="F41" s="470"/>
      <c r="G41" s="471"/>
      <c r="H41" s="469" t="str">
        <f>H3</f>
        <v>Červen</v>
      </c>
      <c r="I41" s="470"/>
      <c r="J41" s="470"/>
    </row>
    <row r="42" spans="1:15" ht="15" customHeight="1">
      <c r="A42" s="43"/>
      <c r="B42" s="317" t="s">
        <v>273</v>
      </c>
      <c r="C42" s="79"/>
      <c r="D42" s="315"/>
      <c r="E42" s="317" t="s">
        <v>273</v>
      </c>
      <c r="F42" s="79"/>
      <c r="G42" s="79"/>
      <c r="H42" s="317" t="s">
        <v>273</v>
      </c>
      <c r="I42" s="79"/>
      <c r="J42" s="79"/>
    </row>
    <row r="43" spans="1:15" ht="21" customHeight="1">
      <c r="A43" s="43"/>
      <c r="B43" s="311"/>
      <c r="C43" s="79"/>
      <c r="D43" s="315"/>
      <c r="E43" s="79"/>
      <c r="F43" s="79"/>
      <c r="G43" s="79"/>
      <c r="H43" s="311"/>
      <c r="I43" s="79"/>
      <c r="J43" s="79"/>
    </row>
    <row r="44" spans="1:15" ht="21" customHeight="1">
      <c r="B44" s="311"/>
      <c r="C44" s="79"/>
      <c r="D44" s="315"/>
      <c r="E44" s="79"/>
      <c r="F44" s="79"/>
      <c r="G44" s="79"/>
      <c r="H44" s="311"/>
      <c r="I44" s="79"/>
      <c r="J44" s="79"/>
    </row>
    <row r="45" spans="1:15" ht="21" customHeight="1">
      <c r="B45" s="312" t="s">
        <v>271</v>
      </c>
      <c r="C45" s="81">
        <f>B38</f>
        <v>29953.648357462036</v>
      </c>
      <c r="D45" s="315"/>
      <c r="E45" s="80" t="s">
        <v>271</v>
      </c>
      <c r="F45" s="81">
        <f>E38</f>
        <v>17116.504218966053</v>
      </c>
      <c r="G45" s="79"/>
      <c r="H45" s="312" t="s">
        <v>271</v>
      </c>
      <c r="I45" s="81">
        <f>H38</f>
        <v>13834.782194340585</v>
      </c>
      <c r="J45" s="79"/>
    </row>
    <row r="46" spans="1:15" ht="21" customHeight="1">
      <c r="B46" s="313" t="s">
        <v>272</v>
      </c>
      <c r="C46" s="81">
        <f t="shared" ref="C46:C47" si="1">B39</f>
        <v>14154.988994736485</v>
      </c>
      <c r="D46" s="315"/>
      <c r="E46" s="82" t="s">
        <v>272</v>
      </c>
      <c r="F46" s="81">
        <f t="shared" ref="F46:F47" si="2">E39</f>
        <v>8791.0006391573988</v>
      </c>
      <c r="G46" s="79"/>
      <c r="H46" s="313" t="s">
        <v>272</v>
      </c>
      <c r="I46" s="81">
        <f t="shared" ref="I46:I47" si="3">H39</f>
        <v>7710.5805403406084</v>
      </c>
      <c r="J46" s="79"/>
    </row>
    <row r="47" spans="1:15" ht="21" customHeight="1">
      <c r="B47" s="313" t="s">
        <v>62</v>
      </c>
      <c r="C47" s="81">
        <f t="shared" si="1"/>
        <v>22378.734660948416</v>
      </c>
      <c r="D47" s="315"/>
      <c r="E47" s="82" t="s">
        <v>62</v>
      </c>
      <c r="F47" s="81">
        <f t="shared" si="2"/>
        <v>12545.02656277564</v>
      </c>
      <c r="G47" s="79"/>
      <c r="H47" s="313" t="s">
        <v>62</v>
      </c>
      <c r="I47" s="81">
        <f t="shared" si="3"/>
        <v>11211.790603507792</v>
      </c>
      <c r="J47" s="79"/>
    </row>
    <row r="48" spans="1:15" ht="21" customHeight="1">
      <c r="B48" s="311"/>
      <c r="C48" s="79"/>
      <c r="D48" s="315"/>
      <c r="E48" s="79"/>
      <c r="F48" s="79"/>
      <c r="G48" s="79"/>
      <c r="H48" s="311"/>
      <c r="I48" s="79"/>
      <c r="J48" s="79"/>
    </row>
    <row r="49" spans="1:10" ht="21" customHeight="1">
      <c r="B49" s="311"/>
      <c r="C49" s="79"/>
      <c r="D49" s="315"/>
      <c r="E49" s="79"/>
      <c r="F49" s="79"/>
      <c r="G49" s="79"/>
      <c r="H49" s="311"/>
      <c r="I49" s="79"/>
      <c r="J49" s="79"/>
    </row>
    <row r="50" spans="1:10" ht="21" customHeight="1">
      <c r="B50" s="311"/>
      <c r="C50" s="79"/>
      <c r="D50" s="315"/>
      <c r="E50" s="79"/>
      <c r="F50" s="79"/>
      <c r="G50" s="79"/>
      <c r="H50" s="311"/>
      <c r="I50" s="79"/>
      <c r="J50" s="79"/>
    </row>
    <row r="51" spans="1:10" ht="21" customHeight="1">
      <c r="A51" s="298"/>
      <c r="B51" s="314"/>
      <c r="C51" s="298"/>
      <c r="D51" s="316"/>
      <c r="E51" s="298"/>
      <c r="F51" s="298"/>
      <c r="G51" s="298"/>
      <c r="H51" s="314"/>
      <c r="I51" s="298"/>
      <c r="J51" s="298"/>
    </row>
    <row r="52" spans="1:10" ht="12.75" customHeight="1">
      <c r="A52" s="133" t="s">
        <v>180</v>
      </c>
      <c r="B52" s="301">
        <v>1089.6809428226877</v>
      </c>
      <c r="C52" s="302">
        <v>11747.89854334182</v>
      </c>
      <c r="D52" s="307" t="s">
        <v>212</v>
      </c>
      <c r="E52" s="41">
        <v>637.263070426225</v>
      </c>
      <c r="F52" s="41">
        <v>6848.9729600568699</v>
      </c>
      <c r="G52" s="293" t="s">
        <v>212</v>
      </c>
      <c r="H52" s="301">
        <v>106.52108873214156</v>
      </c>
      <c r="I52" s="302">
        <v>1155.7809160047632</v>
      </c>
      <c r="J52" s="303" t="s">
        <v>212</v>
      </c>
    </row>
    <row r="53" spans="1:10" ht="12.95" customHeight="1">
      <c r="A53" s="295" t="s">
        <v>181</v>
      </c>
      <c r="B53" s="304">
        <v>973.84863072900032</v>
      </c>
      <c r="C53" s="296">
        <v>10499.105252534704</v>
      </c>
      <c r="D53" s="308" t="s">
        <v>212</v>
      </c>
      <c r="E53" s="296">
        <v>601.58532742845614</v>
      </c>
      <c r="F53" s="296">
        <v>6465.5270828241864</v>
      </c>
      <c r="G53" s="297" t="s">
        <v>212</v>
      </c>
      <c r="H53" s="304">
        <v>61.78166883740257</v>
      </c>
      <c r="I53" s="296">
        <v>670.34682663405863</v>
      </c>
      <c r="J53" s="297" t="s">
        <v>212</v>
      </c>
    </row>
    <row r="54" spans="1:10" ht="12.95" customHeight="1">
      <c r="A54" s="294" t="s">
        <v>182</v>
      </c>
      <c r="B54" s="305">
        <v>30348.886888850848</v>
      </c>
      <c r="C54" s="83">
        <v>327192.69472586515</v>
      </c>
      <c r="D54" s="309">
        <v>0</v>
      </c>
      <c r="E54" s="83" t="s">
        <v>317</v>
      </c>
      <c r="F54" s="83" t="s">
        <v>317</v>
      </c>
      <c r="G54" s="270">
        <v>0</v>
      </c>
      <c r="H54" s="305" t="s">
        <v>317</v>
      </c>
      <c r="I54" s="83" t="s">
        <v>317</v>
      </c>
      <c r="J54" s="270">
        <v>0</v>
      </c>
    </row>
    <row r="55" spans="1:10" ht="12.95" customHeight="1">
      <c r="A55" s="295" t="s">
        <v>183</v>
      </c>
      <c r="B55" s="306">
        <v>42035.070457598849</v>
      </c>
      <c r="C55" s="299">
        <v>453181.95775628154</v>
      </c>
      <c r="D55" s="310">
        <v>-12</v>
      </c>
      <c r="E55" s="299" t="s">
        <v>317</v>
      </c>
      <c r="F55" s="299" t="s">
        <v>317</v>
      </c>
      <c r="G55" s="300">
        <v>-12</v>
      </c>
      <c r="H55" s="306" t="s">
        <v>317</v>
      </c>
      <c r="I55" s="299" t="s">
        <v>317</v>
      </c>
      <c r="J55" s="300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topLeftCell="A10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2" width="9.140625" style="85"/>
    <col min="13" max="13" width="9.140625" style="84"/>
    <col min="14" max="14" width="11.140625" style="84" customWidth="1"/>
    <col min="15" max="16384" width="9.140625" style="84"/>
  </cols>
  <sheetData>
    <row r="1" spans="1:21" ht="20.25">
      <c r="A1" s="55" t="s">
        <v>293</v>
      </c>
    </row>
    <row r="2" spans="1:21" s="86" customFormat="1" ht="18">
      <c r="A2" s="472" t="s">
        <v>301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87"/>
      <c r="B3" s="487"/>
      <c r="C3" s="487"/>
      <c r="D3" s="334"/>
      <c r="E3" s="334"/>
      <c r="F3" s="335"/>
      <c r="G3" s="336"/>
      <c r="H3" s="336"/>
      <c r="I3" s="336"/>
      <c r="J3" s="298"/>
      <c r="K3" s="298"/>
    </row>
    <row r="4" spans="1:21" ht="15" customHeight="1">
      <c r="A4" s="497" t="s">
        <v>2</v>
      </c>
      <c r="B4" s="497"/>
      <c r="C4" s="497"/>
      <c r="D4" s="491">
        <f>'3.1'!A4</f>
        <v>2022</v>
      </c>
      <c r="E4" s="492"/>
      <c r="F4" s="492"/>
      <c r="G4" s="492"/>
      <c r="H4" s="411"/>
      <c r="I4" s="491">
        <f>D4-1</f>
        <v>2021</v>
      </c>
      <c r="J4" s="492"/>
      <c r="K4" s="492"/>
    </row>
    <row r="5" spans="1:21" ht="50.1" customHeight="1">
      <c r="A5" s="341"/>
      <c r="B5" s="341"/>
      <c r="C5" s="341"/>
      <c r="D5" s="493"/>
      <c r="E5" s="494"/>
      <c r="F5" s="494"/>
      <c r="G5" s="494"/>
      <c r="H5" s="175"/>
      <c r="I5" s="493"/>
      <c r="J5" s="494"/>
      <c r="K5" s="494"/>
    </row>
    <row r="6" spans="1:21" ht="24.95" customHeight="1">
      <c r="A6" s="497" t="s">
        <v>159</v>
      </c>
      <c r="B6" s="497"/>
      <c r="C6" s="497" t="s">
        <v>185</v>
      </c>
      <c r="D6" s="495" t="s">
        <v>160</v>
      </c>
      <c r="E6" s="489" t="s">
        <v>60</v>
      </c>
      <c r="F6" s="489"/>
      <c r="G6" s="490" t="s">
        <v>33</v>
      </c>
      <c r="H6" s="490" t="s">
        <v>274</v>
      </c>
      <c r="I6" s="488" t="s">
        <v>60</v>
      </c>
      <c r="J6" s="489"/>
      <c r="K6" s="490" t="s">
        <v>33</v>
      </c>
    </row>
    <row r="7" spans="1:21" ht="22.5" customHeight="1">
      <c r="A7" s="498"/>
      <c r="B7" s="498"/>
      <c r="C7" s="498"/>
      <c r="D7" s="496"/>
      <c r="E7" s="222" t="s">
        <v>265</v>
      </c>
      <c r="F7" s="222" t="s">
        <v>266</v>
      </c>
      <c r="G7" s="477"/>
      <c r="H7" s="477"/>
      <c r="I7" s="224" t="s">
        <v>265</v>
      </c>
      <c r="J7" s="222" t="s">
        <v>266</v>
      </c>
      <c r="K7" s="477"/>
    </row>
    <row r="8" spans="1:21" ht="12.95" customHeight="1">
      <c r="A8" s="482" t="str">
        <f>'3.1'!D5</f>
        <v>Duben</v>
      </c>
      <c r="B8" s="482"/>
      <c r="C8" s="165" t="s">
        <v>4</v>
      </c>
      <c r="D8" s="331">
        <v>1597</v>
      </c>
      <c r="E8" s="327">
        <v>282624.58433770988</v>
      </c>
      <c r="F8" s="327">
        <v>3045872.3572199992</v>
      </c>
      <c r="G8" s="328">
        <f t="shared" ref="G8:G13" si="0">E8/$E$14</f>
        <v>0.42097187710434719</v>
      </c>
      <c r="H8" s="328">
        <f>(E8-I8)/I8</f>
        <v>-0.33752991639777041</v>
      </c>
      <c r="I8" s="331">
        <v>426622.4110844644</v>
      </c>
      <c r="J8" s="327">
        <v>4554433.7340050004</v>
      </c>
      <c r="K8" s="328">
        <f>I8/$I$14</f>
        <v>0.4835804984170245</v>
      </c>
      <c r="M8" s="89"/>
      <c r="N8" s="89"/>
      <c r="O8" s="89"/>
      <c r="P8" s="89"/>
      <c r="Q8" s="89"/>
      <c r="R8" s="89"/>
      <c r="S8" s="89"/>
      <c r="T8" s="90"/>
      <c r="U8" s="90"/>
    </row>
    <row r="9" spans="1:21" ht="12.95" customHeight="1">
      <c r="A9" s="483"/>
      <c r="B9" s="483"/>
      <c r="C9" s="155" t="s">
        <v>5</v>
      </c>
      <c r="D9" s="332">
        <v>6325</v>
      </c>
      <c r="E9" s="130">
        <v>65722.493463260209</v>
      </c>
      <c r="F9" s="130">
        <v>709009.25124999997</v>
      </c>
      <c r="G9" s="326">
        <f t="shared" si="0"/>
        <v>9.7894249030179847E-2</v>
      </c>
      <c r="H9" s="326">
        <f t="shared" ref="H9:H12" si="1">(E9-I9)/I9</f>
        <v>-0.13701773595557626</v>
      </c>
      <c r="I9" s="332">
        <v>76157.409255721403</v>
      </c>
      <c r="J9" s="130">
        <v>813040.45298000006</v>
      </c>
      <c r="K9" s="326">
        <f t="shared" ref="K9:K13" si="2">I9/$I$14</f>
        <v>8.6325136629401472E-2</v>
      </c>
      <c r="L9" s="91"/>
      <c r="M9" s="89"/>
      <c r="N9" s="89"/>
      <c r="O9" s="89"/>
      <c r="P9" s="89"/>
      <c r="Q9" s="89"/>
      <c r="R9" s="89"/>
      <c r="S9" s="89"/>
    </row>
    <row r="10" spans="1:21" ht="12.95" customHeight="1">
      <c r="A10" s="483"/>
      <c r="B10" s="483"/>
      <c r="C10" s="155" t="s">
        <v>6</v>
      </c>
      <c r="D10" s="332">
        <v>206580</v>
      </c>
      <c r="E10" s="130">
        <v>106423.92799712559</v>
      </c>
      <c r="F10" s="130">
        <v>1147681.4270952572</v>
      </c>
      <c r="G10" s="326">
        <f t="shared" si="0"/>
        <v>0.15851940425760797</v>
      </c>
      <c r="H10" s="326">
        <f t="shared" si="1"/>
        <v>-8.5336251801951174E-2</v>
      </c>
      <c r="I10" s="332">
        <v>116353.06221197476</v>
      </c>
      <c r="J10" s="130">
        <v>1242159.2859291539</v>
      </c>
      <c r="K10" s="326">
        <f t="shared" si="2"/>
        <v>0.13188728570022082</v>
      </c>
      <c r="L10" s="91"/>
      <c r="M10" s="89"/>
      <c r="N10" s="89"/>
      <c r="O10" s="89"/>
      <c r="P10" s="89"/>
      <c r="Q10" s="89"/>
      <c r="R10" s="89"/>
      <c r="S10" s="89"/>
    </row>
    <row r="11" spans="1:21" ht="12.95" customHeight="1">
      <c r="A11" s="483"/>
      <c r="B11" s="483"/>
      <c r="C11" s="155" t="s">
        <v>7</v>
      </c>
      <c r="D11" s="332">
        <v>2595254</v>
      </c>
      <c r="E11" s="130">
        <v>202247.02490695272</v>
      </c>
      <c r="F11" s="130">
        <v>2180595.4954686509</v>
      </c>
      <c r="G11" s="326">
        <f t="shared" si="0"/>
        <v>0.30124877463637367</v>
      </c>
      <c r="H11" s="326">
        <f t="shared" si="1"/>
        <v>-0.15693888044132689</v>
      </c>
      <c r="I11" s="332">
        <v>239896.04100450664</v>
      </c>
      <c r="J11" s="130">
        <v>2561135.8816678049</v>
      </c>
      <c r="K11" s="326">
        <f t="shared" si="2"/>
        <v>0.27192440918032862</v>
      </c>
      <c r="L11" s="91"/>
      <c r="M11" s="89"/>
      <c r="N11" s="89"/>
      <c r="O11" s="89"/>
      <c r="P11" s="89"/>
      <c r="Q11" s="89"/>
      <c r="R11" s="89"/>
      <c r="S11" s="89"/>
    </row>
    <row r="12" spans="1:21" ht="12.95" customHeight="1">
      <c r="A12" s="483"/>
      <c r="B12" s="483"/>
      <c r="C12" s="155" t="s">
        <v>93</v>
      </c>
      <c r="D12" s="332">
        <v>267</v>
      </c>
      <c r="E12" s="130">
        <v>7534.4390691538383</v>
      </c>
      <c r="F12" s="130">
        <v>81220.817919999987</v>
      </c>
      <c r="G12" s="326">
        <f t="shared" si="0"/>
        <v>1.122261520632626E-2</v>
      </c>
      <c r="H12" s="326">
        <f t="shared" si="1"/>
        <v>-3.8909230970016834E-2</v>
      </c>
      <c r="I12" s="332">
        <v>7839.4666892475234</v>
      </c>
      <c r="J12" s="130">
        <v>83686.269904000015</v>
      </c>
      <c r="K12" s="326">
        <f t="shared" si="2"/>
        <v>8.8861089113281919E-3</v>
      </c>
      <c r="L12" s="91"/>
      <c r="M12" s="89"/>
      <c r="N12" s="89"/>
      <c r="O12" s="89"/>
      <c r="P12" s="89"/>
      <c r="Q12" s="89"/>
      <c r="R12" s="89"/>
      <c r="S12" s="89"/>
    </row>
    <row r="13" spans="1:21" ht="12.95" customHeight="1">
      <c r="A13" s="483"/>
      <c r="B13" s="483"/>
      <c r="C13" s="155" t="s">
        <v>94</v>
      </c>
      <c r="D13" s="332"/>
      <c r="E13" s="130">
        <v>6809.6798347968088</v>
      </c>
      <c r="F13" s="130">
        <v>73604.56656899993</v>
      </c>
      <c r="G13" s="326">
        <f t="shared" si="0"/>
        <v>1.0143079765165139E-2</v>
      </c>
      <c r="H13" s="326">
        <f>(E13-I13)/I13</f>
        <v>-0.5563010530767164</v>
      </c>
      <c r="I13" s="332">
        <v>15347.523094243934</v>
      </c>
      <c r="J13" s="130">
        <v>163953.18577538128</v>
      </c>
      <c r="K13" s="326">
        <f t="shared" si="2"/>
        <v>1.7396561161696415E-2</v>
      </c>
      <c r="L13" s="91"/>
      <c r="M13" s="89"/>
      <c r="N13" s="89"/>
      <c r="O13" s="89"/>
      <c r="P13" s="89"/>
      <c r="Q13" s="89"/>
      <c r="R13" s="89"/>
      <c r="S13" s="89"/>
    </row>
    <row r="14" spans="1:21" ht="12.95" customHeight="1">
      <c r="A14" s="484"/>
      <c r="B14" s="484"/>
      <c r="C14" s="337" t="s">
        <v>0</v>
      </c>
      <c r="D14" s="340">
        <v>2810023</v>
      </c>
      <c r="E14" s="338">
        <v>671362.14960899903</v>
      </c>
      <c r="F14" s="338">
        <v>7237983.9155229079</v>
      </c>
      <c r="G14" s="339">
        <f>SUM(G8:G13)</f>
        <v>1</v>
      </c>
      <c r="H14" s="339">
        <f>(E14-I14)/I14</f>
        <v>-0.2390047159009476</v>
      </c>
      <c r="I14" s="340">
        <v>882215.91334015864</v>
      </c>
      <c r="J14" s="338">
        <v>9418408.8102613408</v>
      </c>
      <c r="K14" s="339">
        <f>SUM(K8:K13)</f>
        <v>1.0000000000000002</v>
      </c>
      <c r="L14" s="91"/>
      <c r="M14" s="89"/>
      <c r="N14" s="89"/>
      <c r="O14" s="89"/>
      <c r="P14" s="89"/>
      <c r="Q14" s="89"/>
      <c r="R14" s="89"/>
      <c r="S14" s="89"/>
    </row>
    <row r="15" spans="1:21" ht="12.95" customHeight="1">
      <c r="A15" s="482" t="str">
        <f>'3.1'!E5</f>
        <v>Květen</v>
      </c>
      <c r="B15" s="482"/>
      <c r="C15" s="165" t="s">
        <v>4</v>
      </c>
      <c r="D15" s="331">
        <v>1593</v>
      </c>
      <c r="E15" s="327">
        <v>258944.525580891</v>
      </c>
      <c r="F15" s="327">
        <v>2782594.1548759998</v>
      </c>
      <c r="G15" s="328">
        <f>E15/$E$21</f>
        <v>0.66584488128639063</v>
      </c>
      <c r="H15" s="328">
        <f>(E15-I15)/I15</f>
        <v>-0.19323174137867799</v>
      </c>
      <c r="I15" s="331">
        <v>320965.18772738858</v>
      </c>
      <c r="J15" s="327">
        <v>3427085.3183309999</v>
      </c>
      <c r="K15" s="328">
        <f>I15/$I$21</f>
        <v>0.55042642423004151</v>
      </c>
      <c r="L15" s="91"/>
      <c r="M15" s="89"/>
      <c r="N15" s="89"/>
      <c r="O15" s="89"/>
      <c r="P15" s="89"/>
      <c r="Q15" s="89"/>
      <c r="R15" s="89"/>
      <c r="S15" s="89"/>
    </row>
    <row r="16" spans="1:21" ht="12.95" customHeight="1">
      <c r="A16" s="483"/>
      <c r="B16" s="483"/>
      <c r="C16" s="155" t="s">
        <v>5</v>
      </c>
      <c r="D16" s="332">
        <v>6336</v>
      </c>
      <c r="E16" s="130">
        <v>31625.946046684192</v>
      </c>
      <c r="F16" s="130">
        <v>339939.87856999988</v>
      </c>
      <c r="G16" s="326">
        <f t="shared" ref="G16:G20" si="3">E16/$E$21</f>
        <v>8.1322338225860602E-2</v>
      </c>
      <c r="H16" s="326">
        <f t="shared" ref="H16:H18" si="4">(E16-I16)/I16</f>
        <v>-0.38197542670467294</v>
      </c>
      <c r="I16" s="332">
        <v>51172.635220722084</v>
      </c>
      <c r="J16" s="130">
        <v>546397.16506999999</v>
      </c>
      <c r="K16" s="326">
        <f t="shared" ref="K16:K20" si="5">I16/$I$21</f>
        <v>8.7756466121471574E-2</v>
      </c>
      <c r="L16" s="92"/>
      <c r="M16" s="89"/>
      <c r="N16" s="89"/>
      <c r="O16" s="89"/>
      <c r="P16" s="89"/>
      <c r="Q16" s="89"/>
      <c r="R16" s="89"/>
      <c r="S16" s="89"/>
    </row>
    <row r="17" spans="1:20" ht="12.95" customHeight="1">
      <c r="A17" s="483"/>
      <c r="B17" s="483"/>
      <c r="C17" s="155" t="s">
        <v>6</v>
      </c>
      <c r="D17" s="332">
        <v>206441</v>
      </c>
      <c r="E17" s="130">
        <v>32388.760273485852</v>
      </c>
      <c r="F17" s="130">
        <v>348165.97261510277</v>
      </c>
      <c r="G17" s="326">
        <f t="shared" si="3"/>
        <v>8.3283823787870109E-2</v>
      </c>
      <c r="H17" s="326">
        <f t="shared" si="4"/>
        <v>-0.48468323805665375</v>
      </c>
      <c r="I17" s="332">
        <v>62852.138073953553</v>
      </c>
      <c r="J17" s="130">
        <v>671095.47281464597</v>
      </c>
      <c r="K17" s="326">
        <f>I17/$I$21</f>
        <v>0.10778576287420533</v>
      </c>
      <c r="L17" s="91"/>
      <c r="M17" s="89"/>
      <c r="N17" s="89"/>
      <c r="O17" s="89"/>
      <c r="P17" s="89"/>
      <c r="Q17" s="89"/>
      <c r="R17" s="89"/>
      <c r="S17" s="89"/>
    </row>
    <row r="18" spans="1:20" ht="12.95" customHeight="1">
      <c r="A18" s="483"/>
      <c r="B18" s="483"/>
      <c r="C18" s="155" t="s">
        <v>7</v>
      </c>
      <c r="D18" s="332">
        <v>2591925</v>
      </c>
      <c r="E18" s="130">
        <v>53285.019932516516</v>
      </c>
      <c r="F18" s="130">
        <v>572759.85395987437</v>
      </c>
      <c r="G18" s="326">
        <f t="shared" si="3"/>
        <v>0.13701605659249996</v>
      </c>
      <c r="H18" s="326">
        <f t="shared" si="4"/>
        <v>-0.59765681251340719</v>
      </c>
      <c r="I18" s="332">
        <v>132436.73955407066</v>
      </c>
      <c r="J18" s="130">
        <v>1414126.7876323396</v>
      </c>
      <c r="K18" s="326">
        <f>I18/$I$21</f>
        <v>0.2271170948649644</v>
      </c>
      <c r="L18" s="91"/>
      <c r="M18" s="89"/>
      <c r="N18" s="89"/>
      <c r="O18" s="89"/>
      <c r="P18" s="89"/>
      <c r="Q18" s="89"/>
      <c r="R18" s="89"/>
      <c r="S18" s="89"/>
    </row>
    <row r="19" spans="1:20" ht="12.95" customHeight="1">
      <c r="A19" s="483"/>
      <c r="B19" s="483"/>
      <c r="C19" s="155" t="s">
        <v>93</v>
      </c>
      <c r="D19" s="332">
        <v>267</v>
      </c>
      <c r="E19" s="130">
        <v>8027.709922027424</v>
      </c>
      <c r="F19" s="130">
        <v>86268.259439999994</v>
      </c>
      <c r="G19" s="326">
        <f t="shared" si="3"/>
        <v>2.0642296059524744E-2</v>
      </c>
      <c r="H19" s="326">
        <f>(E19-I19)/I19</f>
        <v>-3.7710414289309213E-2</v>
      </c>
      <c r="I19" s="332">
        <v>8342.3015703725268</v>
      </c>
      <c r="J19" s="130">
        <v>89068.121380000011</v>
      </c>
      <c r="K19" s="326">
        <f>I19/$I$21</f>
        <v>1.4306296753680559E-2</v>
      </c>
      <c r="L19" s="91"/>
      <c r="M19" s="89"/>
      <c r="N19" s="89"/>
      <c r="O19" s="89"/>
      <c r="P19" s="89"/>
      <c r="Q19" s="89"/>
      <c r="R19" s="89"/>
      <c r="S19" s="89"/>
    </row>
    <row r="20" spans="1:20" ht="12.95" customHeight="1">
      <c r="A20" s="483"/>
      <c r="B20" s="483"/>
      <c r="C20" s="155" t="s">
        <v>94</v>
      </c>
      <c r="D20" s="332"/>
      <c r="E20" s="130">
        <v>4624.2103988143199</v>
      </c>
      <c r="F20" s="130">
        <v>49929.173227999949</v>
      </c>
      <c r="G20" s="326">
        <f t="shared" si="3"/>
        <v>1.1890604047854145E-2</v>
      </c>
      <c r="H20" s="326">
        <f t="shared" ref="H20" si="6">(E20-I20)/I20</f>
        <v>-0.37102370995763712</v>
      </c>
      <c r="I20" s="332">
        <v>7351.96297860905</v>
      </c>
      <c r="J20" s="130">
        <v>78607.827487587041</v>
      </c>
      <c r="K20" s="326">
        <f t="shared" si="5"/>
        <v>1.2607955155636683E-2</v>
      </c>
      <c r="L20" s="91"/>
      <c r="M20" s="89"/>
      <c r="N20" s="89"/>
      <c r="O20" s="89"/>
      <c r="P20" s="89"/>
      <c r="Q20" s="89"/>
      <c r="R20" s="89"/>
      <c r="S20" s="89"/>
    </row>
    <row r="21" spans="1:20" ht="12.95" customHeight="1">
      <c r="A21" s="484"/>
      <c r="B21" s="484"/>
      <c r="C21" s="337" t="s">
        <v>0</v>
      </c>
      <c r="D21" s="340">
        <v>2806562</v>
      </c>
      <c r="E21" s="338">
        <v>388896.17215441924</v>
      </c>
      <c r="F21" s="338">
        <v>4179657.2926889765</v>
      </c>
      <c r="G21" s="339">
        <f>SUM(G15:G20)</f>
        <v>1.0000000000000002</v>
      </c>
      <c r="H21" s="339">
        <f>(E21-I21)/I21</f>
        <v>-0.33307804827258036</v>
      </c>
      <c r="I21" s="340">
        <v>583120.9651251164</v>
      </c>
      <c r="J21" s="338">
        <v>6226380.6927155731</v>
      </c>
      <c r="K21" s="339">
        <f>SUM(K15:K20)</f>
        <v>1</v>
      </c>
      <c r="L21" s="91"/>
      <c r="M21" s="89"/>
      <c r="N21" s="89"/>
      <c r="O21" s="89"/>
      <c r="P21" s="89"/>
      <c r="Q21" s="89"/>
      <c r="R21" s="89"/>
      <c r="S21" s="89"/>
    </row>
    <row r="22" spans="1:20" ht="12.95" customHeight="1">
      <c r="A22" s="482" t="str">
        <f>'3.1'!F5</f>
        <v>Červen</v>
      </c>
      <c r="B22" s="482"/>
      <c r="C22" s="165" t="s">
        <v>4</v>
      </c>
      <c r="D22" s="331">
        <v>1591</v>
      </c>
      <c r="E22" s="327">
        <v>251409.16096732675</v>
      </c>
      <c r="F22" s="327">
        <v>2727874.4485210003</v>
      </c>
      <c r="G22" s="328">
        <f>E22/$E$28</f>
        <v>0.74745295453602711</v>
      </c>
      <c r="H22" s="328">
        <f>(E22-I22)/I22</f>
        <v>-0.20383315097679472</v>
      </c>
      <c r="I22" s="331">
        <v>315774.46520886116</v>
      </c>
      <c r="J22" s="327">
        <v>3373493.851338</v>
      </c>
      <c r="K22" s="328">
        <f>I22/$I$28</f>
        <v>0.76042668174697425</v>
      </c>
      <c r="L22" s="93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83"/>
      <c r="B23" s="483"/>
      <c r="C23" s="155" t="s">
        <v>5</v>
      </c>
      <c r="D23" s="332">
        <v>6324</v>
      </c>
      <c r="E23" s="130">
        <v>24137.694260499968</v>
      </c>
      <c r="F23" s="130">
        <v>261755.56535000011</v>
      </c>
      <c r="G23" s="326">
        <f t="shared" ref="G23:G27" si="7">E23/$E$28</f>
        <v>7.1762662988413231E-2</v>
      </c>
      <c r="H23" s="326">
        <f t="shared" ref="H23:H26" si="8">(E23-I23)/I23</f>
        <v>-0.18482464698741599</v>
      </c>
      <c r="I23" s="332">
        <v>29610.431879835491</v>
      </c>
      <c r="J23" s="130">
        <v>316367.83652999997</v>
      </c>
      <c r="K23" s="326">
        <f t="shared" ref="K23:K27" si="9">I23/$I$28</f>
        <v>7.1305836729341321E-2</v>
      </c>
      <c r="L23" s="93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83"/>
      <c r="B24" s="483"/>
      <c r="C24" s="155" t="s">
        <v>6</v>
      </c>
      <c r="D24" s="332">
        <v>205977</v>
      </c>
      <c r="E24" s="130">
        <v>19747.869799824555</v>
      </c>
      <c r="F24" s="130">
        <v>214220.30429838711</v>
      </c>
      <c r="G24" s="326">
        <f t="shared" si="7"/>
        <v>5.8711478813574101E-2</v>
      </c>
      <c r="H24" s="326">
        <f t="shared" si="8"/>
        <v>8.1440030620157006E-2</v>
      </c>
      <c r="I24" s="332">
        <v>18260.71648975306</v>
      </c>
      <c r="J24" s="130">
        <v>195084.26634655372</v>
      </c>
      <c r="K24" s="326">
        <f t="shared" si="9"/>
        <v>4.3974220770006428E-2</v>
      </c>
      <c r="L24" s="93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83"/>
      <c r="B25" s="483"/>
      <c r="C25" s="155" t="s">
        <v>7</v>
      </c>
      <c r="D25" s="332">
        <v>2588055</v>
      </c>
      <c r="E25" s="130">
        <v>31423.549326765515</v>
      </c>
      <c r="F25" s="130">
        <v>340878.25455462863</v>
      </c>
      <c r="G25" s="326">
        <f t="shared" si="7"/>
        <v>9.3423901881411281E-2</v>
      </c>
      <c r="H25" s="326">
        <f t="shared" si="8"/>
        <v>-0.22780015660970102</v>
      </c>
      <c r="I25" s="332">
        <v>40693.545324746803</v>
      </c>
      <c r="J25" s="130">
        <v>434796.5759434491</v>
      </c>
      <c r="K25" s="326">
        <f t="shared" si="9"/>
        <v>9.7995439939546319E-2</v>
      </c>
      <c r="L25" s="93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83"/>
      <c r="B26" s="483"/>
      <c r="C26" s="155" t="s">
        <v>93</v>
      </c>
      <c r="D26" s="332">
        <v>269</v>
      </c>
      <c r="E26" s="130">
        <v>7976.745523743929</v>
      </c>
      <c r="F26" s="130">
        <v>86487.387070000012</v>
      </c>
      <c r="G26" s="326">
        <f t="shared" si="7"/>
        <v>2.371529337421115E-2</v>
      </c>
      <c r="H26" s="326">
        <f t="shared" si="8"/>
        <v>-6.6285887534721769E-2</v>
      </c>
      <c r="I26" s="332">
        <v>8543.0276968642884</v>
      </c>
      <c r="J26" s="130">
        <v>91266.164200999992</v>
      </c>
      <c r="K26" s="326">
        <f t="shared" si="9"/>
        <v>2.0572740735392142E-2</v>
      </c>
      <c r="L26" s="93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83"/>
      <c r="B27" s="483"/>
      <c r="C27" s="155" t="s">
        <v>94</v>
      </c>
      <c r="D27" s="332"/>
      <c r="E27" s="130">
        <v>1659.4749988929134</v>
      </c>
      <c r="F27" s="130">
        <v>18307.459182999959</v>
      </c>
      <c r="G27" s="326">
        <f t="shared" si="7"/>
        <v>4.9337084063630389E-3</v>
      </c>
      <c r="H27" s="326">
        <f t="shared" ref="H27" si="10">(E27-I27)/I27</f>
        <v>-0.30197739562985382</v>
      </c>
      <c r="I27" s="332">
        <v>2377.3943544282843</v>
      </c>
      <c r="J27" s="130">
        <v>25503.104758402718</v>
      </c>
      <c r="K27" s="326">
        <f t="shared" si="9"/>
        <v>5.7250800787395631E-3</v>
      </c>
      <c r="L27" s="93"/>
      <c r="M27" s="89"/>
      <c r="N27" s="89"/>
      <c r="O27" s="89"/>
      <c r="P27" s="89"/>
      <c r="Q27" s="89"/>
      <c r="R27" s="89"/>
      <c r="S27" s="89"/>
      <c r="T27" s="88"/>
    </row>
    <row r="28" spans="1:20" ht="12.95" customHeight="1">
      <c r="A28" s="484"/>
      <c r="B28" s="484"/>
      <c r="C28" s="337" t="s">
        <v>0</v>
      </c>
      <c r="D28" s="340">
        <v>2802216</v>
      </c>
      <c r="E28" s="338">
        <v>336354.49487705366</v>
      </c>
      <c r="F28" s="338">
        <v>3649523.4189770166</v>
      </c>
      <c r="G28" s="339">
        <f>SUM(G22:G27)</f>
        <v>1</v>
      </c>
      <c r="H28" s="339">
        <f>(E28-I28)/I28</f>
        <v>-0.19001388455883242</v>
      </c>
      <c r="I28" s="340">
        <v>415259.58095448907</v>
      </c>
      <c r="J28" s="338">
        <v>4436511.799117405</v>
      </c>
      <c r="K28" s="339">
        <f>SUM(K22:K27)</f>
        <v>1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85" t="str">
        <f>'3.1'!G5</f>
        <v>II. čtvrtletí</v>
      </c>
      <c r="B29" s="482"/>
      <c r="C29" s="165" t="s">
        <v>4</v>
      </c>
      <c r="D29" s="331">
        <f>D22</f>
        <v>1591</v>
      </c>
      <c r="E29" s="327">
        <f>E8+E15+E22</f>
        <v>792978.2708859276</v>
      </c>
      <c r="F29" s="327">
        <f>F8+F15+F22</f>
        <v>8556340.9606169984</v>
      </c>
      <c r="G29" s="328">
        <f>E29/$E$35</f>
        <v>0.56778676340191625</v>
      </c>
      <c r="H29" s="328">
        <f>(E29-I29)/I29</f>
        <v>-0.25427255897434348</v>
      </c>
      <c r="I29" s="331">
        <f>I8+I15+I22</f>
        <v>1063362.0640207143</v>
      </c>
      <c r="J29" s="327">
        <f>J8+J15+J22</f>
        <v>11355012.903673999</v>
      </c>
      <c r="K29" s="328">
        <f>I29/$I$35</f>
        <v>0.56543872487604385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83"/>
      <c r="B30" s="483"/>
      <c r="C30" s="155" t="s">
        <v>5</v>
      </c>
      <c r="D30" s="332">
        <f t="shared" ref="D30:D33" si="11">D23</f>
        <v>6324</v>
      </c>
      <c r="E30" s="130">
        <f>E9+E16+E23</f>
        <v>121486.13377044437</v>
      </c>
      <c r="F30" s="130">
        <f t="shared" ref="F30" si="12">F9+F16+F23</f>
        <v>1310704.69517</v>
      </c>
      <c r="G30" s="326">
        <f t="shared" ref="G30:G34" si="13">E30/$E$35</f>
        <v>8.6986265859049727E-2</v>
      </c>
      <c r="H30" s="326">
        <f t="shared" ref="H30:H32" si="14">(E30-I30)/I30</f>
        <v>-0.22590948752664552</v>
      </c>
      <c r="I30" s="332">
        <f>I9+I16+I23</f>
        <v>156940.47635627899</v>
      </c>
      <c r="J30" s="130">
        <f t="shared" ref="J30" si="15">J9+J16+J23</f>
        <v>1675805.4545800001</v>
      </c>
      <c r="K30" s="326">
        <f t="shared" ref="K30:K34" si="16">I30/$I$35</f>
        <v>8.3452500173642308E-2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83"/>
      <c r="B31" s="483"/>
      <c r="C31" s="155" t="s">
        <v>6</v>
      </c>
      <c r="D31" s="332">
        <f t="shared" si="11"/>
        <v>205977</v>
      </c>
      <c r="E31" s="130">
        <f t="shared" ref="E31:F31" si="17">E10+E17+E24</f>
        <v>158560.558070436</v>
      </c>
      <c r="F31" s="130">
        <f t="shared" si="17"/>
        <v>1710067.7040087471</v>
      </c>
      <c r="G31" s="326">
        <f t="shared" si="13"/>
        <v>0.1135322232341034</v>
      </c>
      <c r="H31" s="326">
        <f t="shared" si="14"/>
        <v>-0.1970231589355308</v>
      </c>
      <c r="I31" s="332">
        <f t="shared" ref="I31:J31" si="18">I10+I17+I24</f>
        <v>197465.91677568137</v>
      </c>
      <c r="J31" s="130">
        <f t="shared" si="18"/>
        <v>2108339.0250903536</v>
      </c>
      <c r="K31" s="326">
        <f t="shared" si="16"/>
        <v>0.10500174866680709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83"/>
      <c r="B32" s="483"/>
      <c r="C32" s="155" t="s">
        <v>7</v>
      </c>
      <c r="D32" s="332">
        <f t="shared" si="11"/>
        <v>2588055</v>
      </c>
      <c r="E32" s="130">
        <f>E11+E18+E25</f>
        <v>286955.59416623478</v>
      </c>
      <c r="F32" s="130">
        <f t="shared" ref="E32:F34" si="19">F11+F18+F25</f>
        <v>3094233.6039831536</v>
      </c>
      <c r="G32" s="326">
        <f t="shared" si="13"/>
        <v>0.20546538793514835</v>
      </c>
      <c r="H32" s="326">
        <f t="shared" si="14"/>
        <v>-0.30523655228868646</v>
      </c>
      <c r="I32" s="332">
        <f>I11+I18+I25</f>
        <v>413026.32588332408</v>
      </c>
      <c r="J32" s="130">
        <f t="shared" ref="J32" si="20">J11+J18+J25</f>
        <v>4410059.2452435941</v>
      </c>
      <c r="K32" s="326">
        <f t="shared" si="16"/>
        <v>0.2196251746697207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83"/>
      <c r="B33" s="483"/>
      <c r="C33" s="155" t="s">
        <v>93</v>
      </c>
      <c r="D33" s="332">
        <f t="shared" si="11"/>
        <v>269</v>
      </c>
      <c r="E33" s="130">
        <f>E12+E19+E26</f>
        <v>23538.894514925192</v>
      </c>
      <c r="F33" s="130">
        <f t="shared" si="19"/>
        <v>253976.46442999999</v>
      </c>
      <c r="G33" s="326">
        <f t="shared" si="13"/>
        <v>1.685427359283985E-2</v>
      </c>
      <c r="H33" s="326">
        <f>(E33-I33)/I33</f>
        <v>-4.7964053723490205E-2</v>
      </c>
      <c r="I33" s="332">
        <f>I12+I19+I26</f>
        <v>24724.79595648434</v>
      </c>
      <c r="J33" s="130">
        <f t="shared" ref="J33" si="21">J12+J19+J26</f>
        <v>264020.55548500002</v>
      </c>
      <c r="K33" s="326">
        <f t="shared" si="16"/>
        <v>1.3147316019148989E-2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83"/>
      <c r="B34" s="483"/>
      <c r="C34" s="155" t="s">
        <v>94</v>
      </c>
      <c r="D34" s="332"/>
      <c r="E34" s="130">
        <f t="shared" si="19"/>
        <v>13093.365232504042</v>
      </c>
      <c r="F34" s="130">
        <f t="shared" si="19"/>
        <v>141841.19897999984</v>
      </c>
      <c r="G34" s="326">
        <f t="shared" si="13"/>
        <v>9.3750859769423465E-3</v>
      </c>
      <c r="H34" s="326">
        <f t="shared" ref="H34" si="22">(E34-I34)/I34</f>
        <v>-0.47787105056896539</v>
      </c>
      <c r="I34" s="332">
        <f t="shared" ref="I34:J34" si="23">I13+I20+I27</f>
        <v>25076.880427281267</v>
      </c>
      <c r="J34" s="130">
        <f t="shared" si="23"/>
        <v>268064.11802137108</v>
      </c>
      <c r="K34" s="326">
        <f t="shared" si="16"/>
        <v>1.3334535594637055E-2</v>
      </c>
      <c r="M34" s="89"/>
      <c r="N34" s="89"/>
      <c r="O34" s="89"/>
      <c r="P34" s="89"/>
      <c r="Q34" s="89"/>
      <c r="R34" s="89"/>
      <c r="S34" s="89"/>
    </row>
    <row r="35" spans="1:20" ht="12.95" customHeight="1">
      <c r="A35" s="484"/>
      <c r="B35" s="484"/>
      <c r="C35" s="337" t="s">
        <v>0</v>
      </c>
      <c r="D35" s="340">
        <f>SUM(D29:D34)</f>
        <v>2802216</v>
      </c>
      <c r="E35" s="338">
        <f>SUM(E29:E34)</f>
        <v>1396612.816640472</v>
      </c>
      <c r="F35" s="338">
        <f>SUM(F29:F34)</f>
        <v>15067164.627188899</v>
      </c>
      <c r="G35" s="339">
        <f>SUM(G29:G34)</f>
        <v>0.99999999999999989</v>
      </c>
      <c r="H35" s="339">
        <f>(E35-I35)/I35</f>
        <v>-0.25735645749786196</v>
      </c>
      <c r="I35" s="340">
        <f>SUM(I29:I34)</f>
        <v>1880596.4594197643</v>
      </c>
      <c r="J35" s="338">
        <f>SUM(J29:J34)</f>
        <v>20081301.302094318</v>
      </c>
      <c r="K35" s="339">
        <f>SUM(K29:K34)</f>
        <v>0.99999999999999989</v>
      </c>
      <c r="M35" s="89"/>
      <c r="N35" s="89"/>
      <c r="O35" s="89"/>
      <c r="P35" s="89"/>
      <c r="Q35" s="89"/>
      <c r="R35" s="89"/>
      <c r="S35" s="89"/>
    </row>
    <row r="36" spans="1:20" ht="20.100000000000001" customHeight="1">
      <c r="A36" s="127"/>
      <c r="B36" s="322"/>
      <c r="C36" s="102"/>
      <c r="D36" s="88"/>
      <c r="E36" s="88"/>
      <c r="F36" s="88"/>
      <c r="G36" s="486" t="s">
        <v>276</v>
      </c>
      <c r="H36" s="486"/>
      <c r="I36" s="486"/>
      <c r="J36" s="486"/>
      <c r="K36" s="486"/>
    </row>
    <row r="37" spans="1:20" ht="15" customHeight="1">
      <c r="A37" s="478" t="s">
        <v>275</v>
      </c>
      <c r="B37" s="478"/>
      <c r="C37" s="478"/>
      <c r="D37" s="478"/>
      <c r="E37" s="478"/>
      <c r="F37" s="120"/>
      <c r="G37" s="486"/>
      <c r="H37" s="486"/>
      <c r="I37" s="486"/>
      <c r="J37" s="486"/>
      <c r="K37" s="486"/>
      <c r="M37" s="94"/>
      <c r="N37" s="94"/>
      <c r="O37" s="94"/>
      <c r="P37" s="94"/>
      <c r="Q37" s="94"/>
      <c r="R37" s="94"/>
      <c r="S37" s="94"/>
    </row>
    <row r="38" spans="1:20" ht="15" customHeight="1">
      <c r="A38" s="479" t="str">
        <f>A29</f>
        <v>II. čtvrtletí</v>
      </c>
      <c r="B38" s="480"/>
      <c r="C38" s="480"/>
      <c r="D38" s="480"/>
      <c r="E38" s="480"/>
      <c r="F38" s="126"/>
      <c r="G38" s="481" t="str">
        <f>A29</f>
        <v>II. čtvrtletí</v>
      </c>
      <c r="H38" s="481"/>
      <c r="I38" s="481"/>
      <c r="J38" s="481"/>
      <c r="K38" s="481"/>
      <c r="M38" s="94"/>
      <c r="N38" s="94"/>
      <c r="O38" s="94"/>
      <c r="P38" s="94"/>
      <c r="Q38" s="94"/>
      <c r="R38" s="94"/>
      <c r="S38" s="94"/>
    </row>
    <row r="39" spans="1:20" ht="15" customHeight="1">
      <c r="A39" s="127"/>
      <c r="B39" s="127"/>
      <c r="C39" s="127"/>
      <c r="D39" s="76"/>
      <c r="E39" s="76"/>
      <c r="F39" s="76"/>
      <c r="G39" s="127"/>
      <c r="H39" s="127"/>
      <c r="I39" s="127"/>
      <c r="J39" s="127"/>
      <c r="K39" s="127"/>
      <c r="M39" s="94"/>
      <c r="N39" s="94"/>
      <c r="O39" s="94"/>
      <c r="P39" s="94"/>
      <c r="Q39" s="94"/>
      <c r="R39" s="94"/>
      <c r="S39" s="94"/>
      <c r="T39" s="94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/>
      <c r="D41" s="76"/>
      <c r="E41" s="76"/>
      <c r="F41" s="76"/>
      <c r="G41" s="95"/>
      <c r="H41" s="95"/>
      <c r="I41" s="95"/>
      <c r="J41" s="95"/>
      <c r="K41" s="95"/>
    </row>
    <row r="42" spans="1:20" ht="15" customHeight="1">
      <c r="A42" s="95"/>
      <c r="B42" s="95"/>
      <c r="C42" s="95">
        <f>D4</f>
        <v>2022</v>
      </c>
      <c r="D42" s="95">
        <f>I4</f>
        <v>2021</v>
      </c>
      <c r="E42" s="76"/>
      <c r="F42" s="76"/>
      <c r="G42" s="76"/>
      <c r="H42" s="95"/>
      <c r="I42" s="95">
        <f>D4</f>
        <v>2022</v>
      </c>
      <c r="J42" s="95">
        <f>I4</f>
        <v>2021</v>
      </c>
      <c r="K42" s="95"/>
    </row>
    <row r="43" spans="1:20" ht="15" customHeight="1">
      <c r="A43" s="95"/>
      <c r="B43" s="95" t="str">
        <f>A8</f>
        <v>Duben</v>
      </c>
      <c r="C43" s="78">
        <f>E14</f>
        <v>671362.14960899903</v>
      </c>
      <c r="D43" s="78">
        <f>I14</f>
        <v>882215.91334015864</v>
      </c>
      <c r="E43" s="76"/>
      <c r="F43" s="76"/>
      <c r="G43" s="76"/>
      <c r="H43" s="95" t="str">
        <f>A8</f>
        <v>Duben</v>
      </c>
      <c r="I43" s="96">
        <f>E14/E35</f>
        <v>0.48070742414060691</v>
      </c>
      <c r="J43" s="96">
        <f>I14/I35</f>
        <v>0.46911494963271166</v>
      </c>
      <c r="K43" s="95"/>
    </row>
    <row r="44" spans="1:20" ht="15" customHeight="1">
      <c r="A44" s="95"/>
      <c r="B44" s="95" t="str">
        <f>A15</f>
        <v>Květen</v>
      </c>
      <c r="C44" s="78">
        <f>E21</f>
        <v>388896.17215441924</v>
      </c>
      <c r="D44" s="78">
        <f>I21</f>
        <v>583120.9651251164</v>
      </c>
      <c r="E44" s="76"/>
      <c r="F44" s="76"/>
      <c r="G44" s="76"/>
      <c r="H44" s="95" t="str">
        <f>A15</f>
        <v>Květen</v>
      </c>
      <c r="I44" s="96">
        <f>E21/E35</f>
        <v>0.27845668285495351</v>
      </c>
      <c r="J44" s="96">
        <f>I21/I35</f>
        <v>0.31007235082481832</v>
      </c>
      <c r="K44" s="95"/>
    </row>
    <row r="45" spans="1:20" ht="15" customHeight="1">
      <c r="A45" s="95"/>
      <c r="B45" s="95" t="str">
        <f>A22</f>
        <v>Červen</v>
      </c>
      <c r="C45" s="78">
        <f>E28</f>
        <v>336354.49487705366</v>
      </c>
      <c r="D45" s="78">
        <f>I28</f>
        <v>415259.58095448907</v>
      </c>
      <c r="E45" s="76"/>
      <c r="F45" s="76"/>
      <c r="G45" s="76"/>
      <c r="H45" s="95" t="str">
        <f>A22</f>
        <v>Červen</v>
      </c>
      <c r="I45" s="96">
        <f>E28/E35</f>
        <v>0.24083589300443953</v>
      </c>
      <c r="J45" s="96">
        <f>I28/I35</f>
        <v>0.22081269954246988</v>
      </c>
      <c r="K45" s="95"/>
    </row>
    <row r="46" spans="1:20" ht="15" customHeight="1">
      <c r="A46" s="95"/>
      <c r="B46" s="95"/>
      <c r="C46" s="78">
        <f>SUM(C43:C45)</f>
        <v>1396612.8166404718</v>
      </c>
      <c r="D46" s="78">
        <f>SUM(D43:D45)</f>
        <v>1880596.4594197641</v>
      </c>
      <c r="E46" s="95"/>
      <c r="F46" s="95"/>
      <c r="G46" s="95"/>
      <c r="H46" s="95"/>
      <c r="I46" s="97">
        <f>SUM(I43:I45)</f>
        <v>0.99999999999999989</v>
      </c>
      <c r="J46" s="97">
        <f>SUM(J43:J45)</f>
        <v>0.99999999999999989</v>
      </c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  <mergeCell ref="A37:E37"/>
    <mergeCell ref="A38:E38"/>
    <mergeCell ref="G38:K38"/>
    <mergeCell ref="A8:B14"/>
    <mergeCell ref="A15:B21"/>
    <mergeCell ref="A22:B28"/>
    <mergeCell ref="A29:B35"/>
    <mergeCell ref="G36:K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2" t="s">
        <v>302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</row>
    <row r="2" spans="1:21" ht="6" customHeight="1">
      <c r="A2" s="487"/>
      <c r="B2" s="487"/>
      <c r="C2" s="487"/>
      <c r="D2" s="334"/>
      <c r="E2" s="334"/>
      <c r="F2" s="335"/>
      <c r="G2" s="336"/>
      <c r="H2" s="336"/>
      <c r="I2" s="336"/>
      <c r="J2" s="298"/>
      <c r="K2" s="298"/>
    </row>
    <row r="3" spans="1:21" ht="15" customHeight="1">
      <c r="A3" s="497" t="s">
        <v>260</v>
      </c>
      <c r="B3" s="497"/>
      <c r="C3" s="497"/>
      <c r="D3" s="368">
        <f>'3.1'!A4</f>
        <v>2022</v>
      </c>
      <c r="E3" s="492"/>
      <c r="F3" s="492"/>
      <c r="G3" s="492"/>
      <c r="H3" s="367"/>
      <c r="I3" s="491">
        <f>D3-1</f>
        <v>2021</v>
      </c>
      <c r="J3" s="492"/>
      <c r="K3" s="492"/>
    </row>
    <row r="4" spans="1:21" ht="50.1" customHeight="1">
      <c r="A4" s="498"/>
      <c r="B4" s="498"/>
      <c r="C4" s="498"/>
      <c r="D4" s="370"/>
      <c r="E4" s="494"/>
      <c r="F4" s="494"/>
      <c r="G4" s="494"/>
      <c r="H4" s="175"/>
      <c r="I4" s="493"/>
      <c r="J4" s="494"/>
      <c r="K4" s="494"/>
    </row>
    <row r="5" spans="1:21" ht="24.95" customHeight="1">
      <c r="A5" s="497" t="s">
        <v>159</v>
      </c>
      <c r="B5" s="497"/>
      <c r="C5" s="499" t="s">
        <v>185</v>
      </c>
      <c r="D5" s="495" t="s">
        <v>160</v>
      </c>
      <c r="E5" s="489" t="s">
        <v>60</v>
      </c>
      <c r="F5" s="489"/>
      <c r="G5" s="490" t="s">
        <v>33</v>
      </c>
      <c r="H5" s="490" t="s">
        <v>274</v>
      </c>
      <c r="I5" s="488" t="s">
        <v>60</v>
      </c>
      <c r="J5" s="489"/>
      <c r="K5" s="490" t="s">
        <v>33</v>
      </c>
    </row>
    <row r="6" spans="1:21" ht="22.5" customHeight="1">
      <c r="A6" s="498"/>
      <c r="B6" s="498"/>
      <c r="C6" s="500"/>
      <c r="D6" s="496"/>
      <c r="E6" s="222" t="s">
        <v>265</v>
      </c>
      <c r="F6" s="222" t="s">
        <v>266</v>
      </c>
      <c r="G6" s="477"/>
      <c r="H6" s="477"/>
      <c r="I6" s="224" t="s">
        <v>265</v>
      </c>
      <c r="J6" s="222" t="s">
        <v>266</v>
      </c>
      <c r="K6" s="477"/>
    </row>
    <row r="7" spans="1:21" ht="12.95" customHeight="1">
      <c r="A7" s="432" t="str">
        <f>'3.1'!D5</f>
        <v>Duben</v>
      </c>
      <c r="B7" s="432"/>
      <c r="C7" s="165" t="s">
        <v>4</v>
      </c>
      <c r="D7" s="331">
        <v>147</v>
      </c>
      <c r="E7" s="327">
        <v>15510.468847709948</v>
      </c>
      <c r="F7" s="327">
        <v>168355.70262999999</v>
      </c>
      <c r="G7" s="328">
        <f t="shared" ref="G7:G12" si="0">E7/$E$13</f>
        <v>0.20805327172582813</v>
      </c>
      <c r="H7" s="328">
        <f>(E7-I7)/I7</f>
        <v>-0.11023378879534368</v>
      </c>
      <c r="I7" s="331">
        <v>17432.072214464395</v>
      </c>
      <c r="J7" s="327">
        <v>186074.09247</v>
      </c>
      <c r="K7" s="328">
        <f>I7/$I$13</f>
        <v>0.20620152984982906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33"/>
      <c r="B8" s="433"/>
      <c r="C8" s="155" t="s">
        <v>5</v>
      </c>
      <c r="D8" s="332">
        <v>1527</v>
      </c>
      <c r="E8" s="130">
        <v>14302.660463260214</v>
      </c>
      <c r="F8" s="130">
        <v>155245.98737000002</v>
      </c>
      <c r="G8" s="326">
        <f t="shared" si="0"/>
        <v>0.19185205379554257</v>
      </c>
      <c r="H8" s="326">
        <f t="shared" ref="H8:H11" si="1">(E8-I8)/I8</f>
        <v>-8.9494817728689557E-2</v>
      </c>
      <c r="I8" s="332">
        <v>15708.488805721412</v>
      </c>
      <c r="J8" s="130">
        <v>167676.13061000002</v>
      </c>
      <c r="K8" s="326">
        <f t="shared" ref="K8:K12" si="2">I8/$I$13</f>
        <v>0.1858135041846023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33"/>
      <c r="B9" s="433"/>
      <c r="C9" s="155" t="s">
        <v>6</v>
      </c>
      <c r="D9" s="332">
        <v>38303</v>
      </c>
      <c r="E9" s="130">
        <v>17393.224897125587</v>
      </c>
      <c r="F9" s="130">
        <v>188792.03485525702</v>
      </c>
      <c r="G9" s="326">
        <f t="shared" si="0"/>
        <v>0.23330805672224386</v>
      </c>
      <c r="H9" s="326">
        <f t="shared" si="1"/>
        <v>-0.13161429226013346</v>
      </c>
      <c r="I9" s="332">
        <v>20029.377201974745</v>
      </c>
      <c r="J9" s="130">
        <v>213798.31690315402</v>
      </c>
      <c r="K9" s="326">
        <f t="shared" si="2"/>
        <v>0.23692468515358195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33"/>
      <c r="B10" s="433"/>
      <c r="C10" s="155" t="s">
        <v>7</v>
      </c>
      <c r="D10" s="332">
        <v>372497</v>
      </c>
      <c r="E10" s="130">
        <v>24814.944496952703</v>
      </c>
      <c r="F10" s="130">
        <v>269349.92757865082</v>
      </c>
      <c r="G10" s="326">
        <f t="shared" si="0"/>
        <v>0.33286101413034419</v>
      </c>
      <c r="H10" s="326">
        <f t="shared" si="1"/>
        <v>-0.12169398112961746</v>
      </c>
      <c r="I10" s="332">
        <v>28253.187344506641</v>
      </c>
      <c r="J10" s="130">
        <v>301581.2144578048</v>
      </c>
      <c r="K10" s="326">
        <f t="shared" si="2"/>
        <v>0.33420297838928498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33"/>
      <c r="B11" s="433"/>
      <c r="C11" s="155" t="s">
        <v>93</v>
      </c>
      <c r="D11" s="332">
        <v>39</v>
      </c>
      <c r="E11" s="130">
        <v>1011.3110691538385</v>
      </c>
      <c r="F11" s="130">
        <v>10977.11757</v>
      </c>
      <c r="G11" s="326">
        <f t="shared" si="0"/>
        <v>1.3565455611683003E-2</v>
      </c>
      <c r="H11" s="326">
        <f t="shared" si="1"/>
        <v>-0.18705073719288917</v>
      </c>
      <c r="I11" s="332">
        <v>1244.0026892475246</v>
      </c>
      <c r="J11" s="130">
        <v>13278.77939</v>
      </c>
      <c r="K11" s="326">
        <f t="shared" si="2"/>
        <v>1.4715132802587612E-2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33"/>
      <c r="B12" s="433"/>
      <c r="C12" s="155" t="s">
        <v>94</v>
      </c>
      <c r="D12" s="332"/>
      <c r="E12" s="130">
        <v>1517.8585700282724</v>
      </c>
      <c r="F12" s="130">
        <v>16476.324100000002</v>
      </c>
      <c r="G12" s="326">
        <f t="shared" si="0"/>
        <v>2.0360148014358374E-2</v>
      </c>
      <c r="H12" s="326">
        <f>(E12-I12)/I12</f>
        <v>-0.18912483293875648</v>
      </c>
      <c r="I12" s="332">
        <v>1871.8769937538759</v>
      </c>
      <c r="J12" s="130">
        <v>19980.858450000003</v>
      </c>
      <c r="K12" s="326">
        <f t="shared" si="2"/>
        <v>2.2142169620114071E-2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4"/>
      <c r="B13" s="434"/>
      <c r="C13" s="337" t="s">
        <v>0</v>
      </c>
      <c r="D13" s="340">
        <v>412513</v>
      </c>
      <c r="E13" s="338">
        <v>74550.468344230554</v>
      </c>
      <c r="F13" s="338">
        <v>809197.09410390782</v>
      </c>
      <c r="G13" s="339">
        <f>SUM(G7:G12)</f>
        <v>1.0000000000000002</v>
      </c>
      <c r="H13" s="339">
        <f>(E13-I13)/I13</f>
        <v>-0.11815299784920522</v>
      </c>
      <c r="I13" s="340">
        <v>84539.005249668597</v>
      </c>
      <c r="J13" s="338">
        <v>902389.39228095894</v>
      </c>
      <c r="K13" s="339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32" t="str">
        <f>'3.1'!E5</f>
        <v>Květen</v>
      </c>
      <c r="B14" s="432"/>
      <c r="C14" s="165" t="s">
        <v>4</v>
      </c>
      <c r="D14" s="331">
        <v>143</v>
      </c>
      <c r="E14" s="327">
        <v>8143.1996808910008</v>
      </c>
      <c r="F14" s="327">
        <v>87860.812040000004</v>
      </c>
      <c r="G14" s="328">
        <f>E14/$E$20</f>
        <v>0.29480642054122025</v>
      </c>
      <c r="H14" s="328">
        <f>(E14-I14)/I14</f>
        <v>-0.34798255491405283</v>
      </c>
      <c r="I14" s="331">
        <v>12489.235897388584</v>
      </c>
      <c r="J14" s="327">
        <v>133312.59015999999</v>
      </c>
      <c r="K14" s="328">
        <f>I14/$I$20</f>
        <v>0.23635228400071551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33"/>
      <c r="B15" s="433"/>
      <c r="C15" s="155" t="s">
        <v>5</v>
      </c>
      <c r="D15" s="332">
        <v>1530</v>
      </c>
      <c r="E15" s="130">
        <v>4966.9356566841952</v>
      </c>
      <c r="F15" s="130">
        <v>53590.57922</v>
      </c>
      <c r="G15" s="326">
        <f t="shared" ref="G15:G19" si="3">E15/$E$20</f>
        <v>0.17981685079413476</v>
      </c>
      <c r="H15" s="326">
        <f t="shared" ref="H15:H17" si="4">(E15-I15)/I15</f>
        <v>-0.48430309147379919</v>
      </c>
      <c r="I15" s="332">
        <v>9631.5017107220883</v>
      </c>
      <c r="J15" s="130">
        <v>102808.57519</v>
      </c>
      <c r="K15" s="326">
        <f t="shared" ref="K15:K19" si="5">I15/$I$20</f>
        <v>0.18227115304643657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33"/>
      <c r="B16" s="433"/>
      <c r="C16" s="155" t="s">
        <v>6</v>
      </c>
      <c r="D16" s="332">
        <v>38234</v>
      </c>
      <c r="E16" s="130">
        <v>5104.2999034858458</v>
      </c>
      <c r="F16" s="130">
        <v>55072.665975102798</v>
      </c>
      <c r="G16" s="326">
        <f t="shared" si="3"/>
        <v>0.18478981762496954</v>
      </c>
      <c r="H16" s="326">
        <f t="shared" si="4"/>
        <v>-0.56070810129340343</v>
      </c>
      <c r="I16" s="332">
        <v>11619.380913953553</v>
      </c>
      <c r="J16" s="130">
        <v>124027.59530464599</v>
      </c>
      <c r="K16" s="326">
        <f>I16/$I$20</f>
        <v>0.21989073152677577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33"/>
      <c r="B17" s="433"/>
      <c r="C17" s="155" t="s">
        <v>7</v>
      </c>
      <c r="D17" s="332">
        <v>372142</v>
      </c>
      <c r="E17" s="130">
        <v>7327.8285825165203</v>
      </c>
      <c r="F17" s="130">
        <v>79063.351189874389</v>
      </c>
      <c r="G17" s="326">
        <f t="shared" si="3"/>
        <v>0.26528772465456329</v>
      </c>
      <c r="H17" s="326">
        <f t="shared" si="4"/>
        <v>-0.55090462792738459</v>
      </c>
      <c r="I17" s="332">
        <v>16316.865054070662</v>
      </c>
      <c r="J17" s="130">
        <v>174169.48033233971</v>
      </c>
      <c r="K17" s="326">
        <f>I17/$I$20</f>
        <v>0.30878817206642989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33"/>
      <c r="B18" s="433"/>
      <c r="C18" s="155" t="s">
        <v>93</v>
      </c>
      <c r="D18" s="332">
        <v>39</v>
      </c>
      <c r="E18" s="130">
        <v>1082.900922027424</v>
      </c>
      <c r="F18" s="130">
        <v>11683.921769999999</v>
      </c>
      <c r="G18" s="326">
        <f t="shared" si="3"/>
        <v>3.9204017724487526E-2</v>
      </c>
      <c r="H18" s="326">
        <f>(E18-I18)/I18</f>
        <v>-0.16113859871399391</v>
      </c>
      <c r="I18" s="332">
        <v>1290.9175703725266</v>
      </c>
      <c r="J18" s="130">
        <v>13779.512279999999</v>
      </c>
      <c r="K18" s="326">
        <f>I18/$I$20</f>
        <v>2.4429942609859565E-2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33"/>
      <c r="B19" s="433"/>
      <c r="C19" s="155" t="s">
        <v>94</v>
      </c>
      <c r="D19" s="332"/>
      <c r="E19" s="130">
        <v>997.02769491686217</v>
      </c>
      <c r="F19" s="130">
        <v>10756.748210000002</v>
      </c>
      <c r="G19" s="326">
        <f t="shared" si="3"/>
        <v>3.6095168660624455E-2</v>
      </c>
      <c r="H19" s="326">
        <f t="shared" ref="H19" si="6">(E19-I19)/I19</f>
        <v>-0.33251666682554815</v>
      </c>
      <c r="I19" s="332">
        <v>1493.7117458426208</v>
      </c>
      <c r="J19" s="130">
        <v>15944.17786</v>
      </c>
      <c r="K19" s="326">
        <f t="shared" si="5"/>
        <v>2.8267716749782783E-2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4"/>
      <c r="B20" s="434"/>
      <c r="C20" s="337" t="s">
        <v>0</v>
      </c>
      <c r="D20" s="340">
        <v>412088</v>
      </c>
      <c r="E20" s="338">
        <v>27622.192440521852</v>
      </c>
      <c r="F20" s="338">
        <v>298028.07840497722</v>
      </c>
      <c r="G20" s="339">
        <f>SUM(G14:G19)</f>
        <v>0.99999999999999978</v>
      </c>
      <c r="H20" s="339">
        <f>(E20-I20)/I20</f>
        <v>-0.47726439583147612</v>
      </c>
      <c r="I20" s="340">
        <v>52841.612892350029</v>
      </c>
      <c r="J20" s="338">
        <v>564041.9311269857</v>
      </c>
      <c r="K20" s="339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32" t="str">
        <f>'3.1'!F5</f>
        <v>Červen</v>
      </c>
      <c r="B21" s="432"/>
      <c r="C21" s="165" t="s">
        <v>4</v>
      </c>
      <c r="D21" s="331">
        <v>143</v>
      </c>
      <c r="E21" s="327">
        <v>6204.8873373267188</v>
      </c>
      <c r="F21" s="327">
        <v>67960.032089999993</v>
      </c>
      <c r="G21" s="328">
        <f>E21/$E$27</f>
        <v>0.32067447895156836</v>
      </c>
      <c r="H21" s="328">
        <f>(E21-I21)/I21</f>
        <v>-6.4403533615212658E-2</v>
      </c>
      <c r="I21" s="331">
        <v>6632.0123688611757</v>
      </c>
      <c r="J21" s="327">
        <v>70835.250780000017</v>
      </c>
      <c r="K21" s="328">
        <f>I21/$I$27</f>
        <v>0.3137497211809826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33"/>
      <c r="B22" s="433"/>
      <c r="C22" s="155" t="s">
        <v>5</v>
      </c>
      <c r="D22" s="332">
        <v>1520</v>
      </c>
      <c r="E22" s="130">
        <v>3353.1154904999667</v>
      </c>
      <c r="F22" s="130">
        <v>36725.525289999998</v>
      </c>
      <c r="G22" s="326">
        <f t="shared" ref="G22:G26" si="7">E22/$E$27</f>
        <v>0.17329219763783307</v>
      </c>
      <c r="H22" s="326">
        <f t="shared" ref="H22:H26" si="8">(E22-I22)/I22</f>
        <v>-4.8182763547873028E-2</v>
      </c>
      <c r="I22" s="332">
        <v>3522.8564498354895</v>
      </c>
      <c r="J22" s="130">
        <v>37626.950599999996</v>
      </c>
      <c r="K22" s="326">
        <f t="shared" ref="K22:K26" si="9">I22/$I$27</f>
        <v>0.16666061029773205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33"/>
      <c r="B23" s="433"/>
      <c r="C23" s="155" t="s">
        <v>6</v>
      </c>
      <c r="D23" s="332">
        <v>38159</v>
      </c>
      <c r="E23" s="130">
        <v>3064.141829824554</v>
      </c>
      <c r="F23" s="130">
        <v>33560.4957783871</v>
      </c>
      <c r="G23" s="326">
        <f t="shared" si="7"/>
        <v>0.15835776401639373</v>
      </c>
      <c r="H23" s="326">
        <f t="shared" si="8"/>
        <v>-0.13453183299820487</v>
      </c>
      <c r="I23" s="332">
        <v>3540.4442897530607</v>
      </c>
      <c r="J23" s="130">
        <v>37814.802927553697</v>
      </c>
      <c r="K23" s="326">
        <f t="shared" si="9"/>
        <v>0.16749266240550897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33"/>
      <c r="B24" s="433"/>
      <c r="C24" s="155" t="s">
        <v>7</v>
      </c>
      <c r="D24" s="332">
        <v>371241</v>
      </c>
      <c r="E24" s="130">
        <v>4725.5716967655117</v>
      </c>
      <c r="F24" s="130">
        <v>51757.567954628648</v>
      </c>
      <c r="G24" s="326">
        <f t="shared" si="7"/>
        <v>0.24422203969644252</v>
      </c>
      <c r="H24" s="326">
        <f t="shared" si="8"/>
        <v>-6.4157758122366806E-2</v>
      </c>
      <c r="I24" s="332">
        <v>5049.5387847468073</v>
      </c>
      <c r="J24" s="130">
        <v>53933.150303448987</v>
      </c>
      <c r="K24" s="326">
        <f t="shared" si="9"/>
        <v>0.23888546909916533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33"/>
      <c r="B25" s="433"/>
      <c r="C25" s="155" t="s">
        <v>93</v>
      </c>
      <c r="D25" s="332">
        <v>39</v>
      </c>
      <c r="E25" s="130">
        <v>1098.3225237439292</v>
      </c>
      <c r="F25" s="130">
        <v>12029.55035</v>
      </c>
      <c r="G25" s="326">
        <f t="shared" si="7"/>
        <v>5.6762352622198912E-2</v>
      </c>
      <c r="H25" s="326">
        <f t="shared" si="8"/>
        <v>-0.15320236722288622</v>
      </c>
      <c r="I25" s="332">
        <v>1297.0306968642878</v>
      </c>
      <c r="J25" s="130">
        <v>13853.33483</v>
      </c>
      <c r="K25" s="326">
        <f t="shared" si="9"/>
        <v>6.1360413230686514E-2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33"/>
      <c r="B26" s="433"/>
      <c r="C26" s="155" t="s">
        <v>94</v>
      </c>
      <c r="D26" s="332"/>
      <c r="E26" s="130">
        <v>903.45022871597382</v>
      </c>
      <c r="F26" s="130">
        <v>9895.1808599999986</v>
      </c>
      <c r="G26" s="326">
        <f t="shared" si="7"/>
        <v>4.6691167075563506E-2</v>
      </c>
      <c r="H26" s="326">
        <f t="shared" si="8"/>
        <v>-0.17570231571189276</v>
      </c>
      <c r="I26" s="332">
        <v>1096.0242227251015</v>
      </c>
      <c r="J26" s="130">
        <v>11706.423429999999</v>
      </c>
      <c r="K26" s="326">
        <f t="shared" si="9"/>
        <v>5.1851123785924588E-2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4"/>
      <c r="B27" s="434"/>
      <c r="C27" s="337" t="s">
        <v>0</v>
      </c>
      <c r="D27" s="340">
        <v>411102</v>
      </c>
      <c r="E27" s="338">
        <v>19349.489106876652</v>
      </c>
      <c r="F27" s="338">
        <v>211928.35232301572</v>
      </c>
      <c r="G27" s="339">
        <f>SUM(G21:G26)</f>
        <v>1</v>
      </c>
      <c r="H27" s="339">
        <f>(E27-I27)/I27</f>
        <v>-8.4607133608304533E-2</v>
      </c>
      <c r="I27" s="340">
        <v>21137.906812785921</v>
      </c>
      <c r="J27" s="338">
        <v>225769.91287100269</v>
      </c>
      <c r="K27" s="339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01" t="str">
        <f>'3.1'!G5</f>
        <v>II. čtvrtletí</v>
      </c>
      <c r="B28" s="501"/>
      <c r="C28" s="165" t="s">
        <v>4</v>
      </c>
      <c r="D28" s="331">
        <f>D21</f>
        <v>143</v>
      </c>
      <c r="E28" s="327">
        <f>E7+E14+E21</f>
        <v>29858.555865927668</v>
      </c>
      <c r="F28" s="327">
        <f>F7+F14+F21</f>
        <v>324176.54676</v>
      </c>
      <c r="G28" s="328">
        <f>E28/$E$34</f>
        <v>0.24570463814666632</v>
      </c>
      <c r="H28" s="328">
        <f>(E28-I28)/I28</f>
        <v>-0.18315065572001057</v>
      </c>
      <c r="I28" s="331">
        <f>I7+I14+I21</f>
        <v>36553.320480714159</v>
      </c>
      <c r="J28" s="327">
        <f>J7+J14+J21</f>
        <v>390221.93341</v>
      </c>
      <c r="K28" s="328">
        <f>I28/$I$34</f>
        <v>0.23059336750159595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502"/>
      <c r="B29" s="502"/>
      <c r="C29" s="155" t="s">
        <v>5</v>
      </c>
      <c r="D29" s="332">
        <f t="shared" ref="D29:D32" si="10">D22</f>
        <v>1520</v>
      </c>
      <c r="E29" s="130">
        <f>E8+E15+E22</f>
        <v>22622.711610444378</v>
      </c>
      <c r="F29" s="130">
        <f t="shared" ref="F29" si="11">F8+F15+F22</f>
        <v>245562.09187999999</v>
      </c>
      <c r="G29" s="326">
        <f t="shared" ref="G29:G33" si="12">E29/$E$34</f>
        <v>0.18616121942064753</v>
      </c>
      <c r="H29" s="326">
        <f t="shared" ref="H29:H31" si="13">(E29-I29)/I29</f>
        <v>-0.21619957875690782</v>
      </c>
      <c r="I29" s="332">
        <f>I8+I15+I22</f>
        <v>28862.84696627899</v>
      </c>
      <c r="J29" s="130">
        <f t="shared" ref="J29" si="14">J8+J15+J22</f>
        <v>308111.65639999998</v>
      </c>
      <c r="K29" s="326">
        <f t="shared" ref="K29:K33" si="15">I29/$I$34</f>
        <v>0.18207870010466043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502"/>
      <c r="B30" s="502"/>
      <c r="C30" s="155" t="s">
        <v>6</v>
      </c>
      <c r="D30" s="332">
        <f t="shared" si="10"/>
        <v>38159</v>
      </c>
      <c r="E30" s="130">
        <f t="shared" ref="E30:F33" si="16">E9+E16+E23</f>
        <v>25561.66663043599</v>
      </c>
      <c r="F30" s="130">
        <f t="shared" si="16"/>
        <v>277425.19660874695</v>
      </c>
      <c r="G30" s="326">
        <f t="shared" si="12"/>
        <v>0.21034574070020448</v>
      </c>
      <c r="H30" s="326">
        <f t="shared" si="13"/>
        <v>-0.27359346382033906</v>
      </c>
      <c r="I30" s="332">
        <f t="shared" ref="I30:J32" si="17">I9+I16+I23</f>
        <v>35189.202405681361</v>
      </c>
      <c r="J30" s="130">
        <f t="shared" si="17"/>
        <v>375640.71513535373</v>
      </c>
      <c r="K30" s="326">
        <f t="shared" si="15"/>
        <v>0.22198795008794209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502"/>
      <c r="B31" s="502"/>
      <c r="C31" s="155" t="s">
        <v>7</v>
      </c>
      <c r="D31" s="332">
        <f t="shared" si="10"/>
        <v>371241</v>
      </c>
      <c r="E31" s="130">
        <f>E10+E17+E24</f>
        <v>36868.344776234735</v>
      </c>
      <c r="F31" s="130">
        <f t="shared" si="16"/>
        <v>400170.8467231539</v>
      </c>
      <c r="G31" s="326">
        <f t="shared" si="12"/>
        <v>0.30338785817328906</v>
      </c>
      <c r="H31" s="326">
        <f t="shared" si="13"/>
        <v>-0.25698007788856486</v>
      </c>
      <c r="I31" s="332">
        <f>I10+I17+I24</f>
        <v>49619.591183324112</v>
      </c>
      <c r="J31" s="130">
        <f t="shared" si="17"/>
        <v>529683.84509359347</v>
      </c>
      <c r="K31" s="326">
        <f t="shared" si="15"/>
        <v>0.31302077279277751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502"/>
      <c r="B32" s="502"/>
      <c r="C32" s="155" t="s">
        <v>93</v>
      </c>
      <c r="D32" s="332">
        <f t="shared" si="10"/>
        <v>39</v>
      </c>
      <c r="E32" s="130">
        <f>E11+E18+E25</f>
        <v>3192.5345149251916</v>
      </c>
      <c r="F32" s="130">
        <f t="shared" si="16"/>
        <v>34690.589690000001</v>
      </c>
      <c r="G32" s="326">
        <f t="shared" si="12"/>
        <v>2.6271214900100332E-2</v>
      </c>
      <c r="H32" s="326">
        <f>(E32-I32)/I32</f>
        <v>-0.16686446377324893</v>
      </c>
      <c r="I32" s="332">
        <f>I11+I18+I25</f>
        <v>3831.9509564843393</v>
      </c>
      <c r="J32" s="130">
        <f t="shared" si="17"/>
        <v>40911.626499999998</v>
      </c>
      <c r="K32" s="326">
        <f t="shared" si="15"/>
        <v>2.4173521407525538E-2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502"/>
      <c r="B33" s="502"/>
      <c r="C33" s="155" t="s">
        <v>94</v>
      </c>
      <c r="D33" s="332"/>
      <c r="E33" s="130">
        <f t="shared" si="16"/>
        <v>3418.3364936611088</v>
      </c>
      <c r="F33" s="130">
        <f t="shared" si="16"/>
        <v>37128.253170000004</v>
      </c>
      <c r="G33" s="326">
        <f t="shared" si="12"/>
        <v>2.8129328659092272E-2</v>
      </c>
      <c r="H33" s="326">
        <f t="shared" ref="H33" si="18">(E33-I33)/I33</f>
        <v>-0.23383392451810101</v>
      </c>
      <c r="I33" s="332">
        <f t="shared" ref="I33:J33" si="19">I12+I19+I26</f>
        <v>4461.6129623215984</v>
      </c>
      <c r="J33" s="130">
        <f t="shared" si="19"/>
        <v>47631.459740000006</v>
      </c>
      <c r="K33" s="326">
        <f t="shared" si="15"/>
        <v>2.8145688105498425E-2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503"/>
      <c r="B34" s="503"/>
      <c r="C34" s="337" t="s">
        <v>0</v>
      </c>
      <c r="D34" s="340">
        <f>SUM(D28:D33)</f>
        <v>411102</v>
      </c>
      <c r="E34" s="338">
        <f>SUM(E28:E33)</f>
        <v>121522.14989162907</v>
      </c>
      <c r="F34" s="338">
        <f>SUM(F28:F33)</f>
        <v>1319153.5248319008</v>
      </c>
      <c r="G34" s="339">
        <f>SUM(G28:G33)</f>
        <v>1</v>
      </c>
      <c r="H34" s="339">
        <f>(E34-I34)/I34</f>
        <v>-0.23338833788494803</v>
      </c>
      <c r="I34" s="340">
        <f>SUM(I28:I33)</f>
        <v>158518.52495480457</v>
      </c>
      <c r="J34" s="338">
        <f>SUM(J28:J33)</f>
        <v>1692201.2362789474</v>
      </c>
      <c r="K34" s="339">
        <f>SUM(K28:K33)</f>
        <v>1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22"/>
      <c r="C35" s="102"/>
      <c r="D35" s="88"/>
      <c r="E35" s="88"/>
      <c r="F35" s="88"/>
      <c r="G35" s="486" t="s">
        <v>276</v>
      </c>
      <c r="H35" s="486"/>
      <c r="I35" s="486"/>
      <c r="J35" s="486"/>
      <c r="K35" s="486"/>
    </row>
    <row r="36" spans="1:20" ht="15" customHeight="1">
      <c r="A36" s="478" t="s">
        <v>275</v>
      </c>
      <c r="B36" s="478"/>
      <c r="C36" s="478"/>
      <c r="D36" s="478"/>
      <c r="E36" s="478"/>
      <c r="F36" s="120"/>
      <c r="G36" s="486"/>
      <c r="H36" s="486"/>
      <c r="I36" s="486"/>
      <c r="J36" s="486"/>
      <c r="K36" s="486"/>
      <c r="M36" s="94"/>
      <c r="N36" s="94"/>
      <c r="O36" s="94"/>
      <c r="P36" s="94"/>
      <c r="Q36" s="94"/>
      <c r="R36" s="94"/>
      <c r="S36" s="94"/>
    </row>
    <row r="37" spans="1:20" ht="15" customHeight="1">
      <c r="A37" s="479" t="str">
        <f>A28</f>
        <v>II. čtvrtletí</v>
      </c>
      <c r="B37" s="480"/>
      <c r="C37" s="480"/>
      <c r="D37" s="480"/>
      <c r="E37" s="480"/>
      <c r="F37" s="126"/>
      <c r="G37" s="481" t="str">
        <f>A28</f>
        <v>II. čtvrtletí</v>
      </c>
      <c r="H37" s="481"/>
      <c r="I37" s="481"/>
      <c r="J37" s="481"/>
      <c r="K37" s="481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Duben</v>
      </c>
      <c r="C42" s="78">
        <f>E13</f>
        <v>74550.468344230554</v>
      </c>
      <c r="D42" s="78">
        <f>I13</f>
        <v>84539.005249668597</v>
      </c>
      <c r="E42" s="76"/>
      <c r="F42" s="76"/>
      <c r="G42" s="76"/>
      <c r="H42" s="95" t="str">
        <f>A7</f>
        <v>Duben</v>
      </c>
      <c r="I42" s="96">
        <f>E13/E34</f>
        <v>0.61347226337513872</v>
      </c>
      <c r="J42" s="96">
        <f>I13/I34</f>
        <v>0.53330678716428648</v>
      </c>
      <c r="K42" s="95"/>
    </row>
    <row r="43" spans="1:20" ht="15" customHeight="1">
      <c r="A43" s="95"/>
      <c r="B43" s="95" t="str">
        <f>A14</f>
        <v>Květen</v>
      </c>
      <c r="C43" s="78">
        <f>E20</f>
        <v>27622.192440521852</v>
      </c>
      <c r="D43" s="78">
        <f>I20</f>
        <v>52841.612892350029</v>
      </c>
      <c r="E43" s="76"/>
      <c r="F43" s="76"/>
      <c r="G43" s="76"/>
      <c r="H43" s="95" t="str">
        <f>A14</f>
        <v>Květen</v>
      </c>
      <c r="I43" s="96">
        <f>E20/E34</f>
        <v>0.22730170973073427</v>
      </c>
      <c r="J43" s="96">
        <f>I20/I34</f>
        <v>0.33334660985153486</v>
      </c>
      <c r="K43" s="95"/>
    </row>
    <row r="44" spans="1:20" ht="15" customHeight="1">
      <c r="A44" s="95"/>
      <c r="B44" s="95" t="str">
        <f>A21</f>
        <v>Červen</v>
      </c>
      <c r="C44" s="78">
        <f>E27</f>
        <v>19349.489106876652</v>
      </c>
      <c r="D44" s="78">
        <f>I27</f>
        <v>21137.906812785921</v>
      </c>
      <c r="E44" s="76"/>
      <c r="F44" s="76"/>
      <c r="G44" s="76"/>
      <c r="H44" s="95" t="str">
        <f>A21</f>
        <v>Červen</v>
      </c>
      <c r="I44" s="96">
        <f>E27/E34</f>
        <v>0.1592260268941269</v>
      </c>
      <c r="J44" s="96">
        <f>I27/I34</f>
        <v>0.13334660298417852</v>
      </c>
      <c r="K44" s="95"/>
    </row>
    <row r="45" spans="1:20" ht="15" customHeight="1">
      <c r="A45" s="95"/>
      <c r="B45" s="95"/>
      <c r="C45" s="78">
        <f>SUM(C42:C44)</f>
        <v>121522.14989162906</v>
      </c>
      <c r="D45" s="78">
        <f>SUM(D42:D44)</f>
        <v>158518.52495480454</v>
      </c>
      <c r="E45" s="95"/>
      <c r="F45" s="95"/>
      <c r="G45" s="95"/>
      <c r="H45" s="95"/>
      <c r="I45" s="97">
        <f>SUM(I42:I44)</f>
        <v>0.99999999999999989</v>
      </c>
      <c r="J45" s="97">
        <f>SUM(J42:J44)</f>
        <v>0.99999999999999989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2" t="s">
        <v>303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</row>
    <row r="2" spans="1:21" ht="6" customHeight="1">
      <c r="A2" s="487"/>
      <c r="B2" s="487"/>
      <c r="C2" s="487"/>
      <c r="D2" s="334"/>
      <c r="E2" s="334"/>
      <c r="F2" s="335"/>
      <c r="G2" s="336"/>
      <c r="H2" s="336"/>
      <c r="I2" s="336"/>
      <c r="J2" s="298"/>
      <c r="K2" s="298"/>
    </row>
    <row r="3" spans="1:21" ht="15" customHeight="1">
      <c r="A3" s="497" t="s">
        <v>88</v>
      </c>
      <c r="B3" s="497"/>
      <c r="C3" s="497"/>
      <c r="D3" s="368">
        <f>'3.1'!A4</f>
        <v>2022</v>
      </c>
      <c r="E3" s="492"/>
      <c r="F3" s="492"/>
      <c r="G3" s="492"/>
      <c r="H3" s="367"/>
      <c r="I3" s="491">
        <f>D3-1</f>
        <v>2021</v>
      </c>
      <c r="J3" s="492"/>
      <c r="K3" s="492"/>
    </row>
    <row r="4" spans="1:21" ht="50.1" customHeight="1">
      <c r="A4" s="498"/>
      <c r="B4" s="498"/>
      <c r="C4" s="498"/>
      <c r="D4" s="370"/>
      <c r="E4" s="494"/>
      <c r="F4" s="494"/>
      <c r="G4" s="494"/>
      <c r="H4" s="175"/>
      <c r="I4" s="493"/>
      <c r="J4" s="494"/>
      <c r="K4" s="494"/>
    </row>
    <row r="5" spans="1:21" ht="24.95" customHeight="1">
      <c r="A5" s="497" t="s">
        <v>159</v>
      </c>
      <c r="B5" s="497"/>
      <c r="C5" s="499" t="s">
        <v>185</v>
      </c>
      <c r="D5" s="495" t="s">
        <v>160</v>
      </c>
      <c r="E5" s="489" t="s">
        <v>60</v>
      </c>
      <c r="F5" s="489"/>
      <c r="G5" s="490" t="s">
        <v>33</v>
      </c>
      <c r="H5" s="490" t="s">
        <v>274</v>
      </c>
      <c r="I5" s="488" t="s">
        <v>60</v>
      </c>
      <c r="J5" s="489"/>
      <c r="K5" s="490" t="s">
        <v>33</v>
      </c>
    </row>
    <row r="6" spans="1:21" ht="22.5" customHeight="1">
      <c r="A6" s="498"/>
      <c r="B6" s="498"/>
      <c r="C6" s="500"/>
      <c r="D6" s="496"/>
      <c r="E6" s="222" t="s">
        <v>265</v>
      </c>
      <c r="F6" s="222" t="s">
        <v>266</v>
      </c>
      <c r="G6" s="477"/>
      <c r="H6" s="477"/>
      <c r="I6" s="224" t="s">
        <v>265</v>
      </c>
      <c r="J6" s="222" t="s">
        <v>266</v>
      </c>
      <c r="K6" s="477"/>
    </row>
    <row r="7" spans="1:21" ht="12.95" customHeight="1">
      <c r="A7" s="432" t="str">
        <f>'3.1'!D5</f>
        <v>Duben</v>
      </c>
      <c r="B7" s="432"/>
      <c r="C7" s="165" t="s">
        <v>4</v>
      </c>
      <c r="D7" s="331">
        <v>1253</v>
      </c>
      <c r="E7" s="327">
        <v>254646.08799999999</v>
      </c>
      <c r="F7" s="327">
        <v>2744085.0037199995</v>
      </c>
      <c r="G7" s="328">
        <f t="shared" ref="G7:G12" si="0">E7/$E$13</f>
        <v>0.45221583461648007</v>
      </c>
      <c r="H7" s="328">
        <f>(E7-I7)/I7</f>
        <v>-0.20772495252483691</v>
      </c>
      <c r="I7" s="331">
        <v>321411.21799999999</v>
      </c>
      <c r="J7" s="327">
        <v>3431431.3515300001</v>
      </c>
      <c r="K7" s="328">
        <f>I7/$I$13</f>
        <v>0.46940204136265234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33"/>
      <c r="B8" s="433"/>
      <c r="C8" s="155" t="s">
        <v>5</v>
      </c>
      <c r="D8" s="332">
        <v>4325</v>
      </c>
      <c r="E8" s="130">
        <v>47845.115999999995</v>
      </c>
      <c r="F8" s="130">
        <v>515581.90635999985</v>
      </c>
      <c r="G8" s="326">
        <f t="shared" si="0"/>
        <v>8.4966233858901077E-2</v>
      </c>
      <c r="H8" s="326">
        <f t="shared" ref="H8:H11" si="1">(E8-I8)/I8</f>
        <v>-0.1473904034901648</v>
      </c>
      <c r="I8" s="332">
        <v>56116.088999999993</v>
      </c>
      <c r="J8" s="130">
        <v>599103.72312999994</v>
      </c>
      <c r="K8" s="326">
        <f t="shared" ref="K8:K12" si="2">I8/$I$13</f>
        <v>8.1954223296239387E-2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33"/>
      <c r="B9" s="433"/>
      <c r="C9" s="155" t="s">
        <v>6</v>
      </c>
      <c r="D9" s="332">
        <v>156476</v>
      </c>
      <c r="E9" s="130">
        <v>83476.877999999997</v>
      </c>
      <c r="F9" s="130">
        <v>899557.58789000008</v>
      </c>
      <c r="G9" s="326">
        <f t="shared" si="0"/>
        <v>0.14824325931112708</v>
      </c>
      <c r="H9" s="326">
        <f t="shared" si="1"/>
        <v>-7.1816141916658485E-2</v>
      </c>
      <c r="I9" s="332">
        <v>89935.714000000007</v>
      </c>
      <c r="J9" s="130">
        <v>960167.60746600013</v>
      </c>
      <c r="K9" s="326">
        <f t="shared" si="2"/>
        <v>0.13134578191047358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33"/>
      <c r="B10" s="433"/>
      <c r="C10" s="155" t="s">
        <v>7</v>
      </c>
      <c r="D10" s="332">
        <v>2111984</v>
      </c>
      <c r="E10" s="130">
        <v>169032.6</v>
      </c>
      <c r="F10" s="130">
        <v>1821508.9</v>
      </c>
      <c r="G10" s="326">
        <f t="shared" si="0"/>
        <v>0.30017825479570548</v>
      </c>
      <c r="H10" s="326">
        <f t="shared" si="1"/>
        <v>-0.16360865423867202</v>
      </c>
      <c r="I10" s="332">
        <v>202097.50000000003</v>
      </c>
      <c r="J10" s="130">
        <v>2157622.9</v>
      </c>
      <c r="K10" s="326">
        <f t="shared" si="2"/>
        <v>0.29515142515744003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33"/>
      <c r="B11" s="433"/>
      <c r="C11" s="155" t="s">
        <v>93</v>
      </c>
      <c r="D11" s="332">
        <v>205</v>
      </c>
      <c r="E11" s="130">
        <v>6075.9500000000007</v>
      </c>
      <c r="F11" s="130">
        <v>65474.962349999987</v>
      </c>
      <c r="G11" s="326">
        <f t="shared" si="0"/>
        <v>1.0790037349162037E-2</v>
      </c>
      <c r="H11" s="326">
        <f t="shared" si="1"/>
        <v>-1.8088903440627808E-2</v>
      </c>
      <c r="I11" s="332">
        <v>6187.8819999999996</v>
      </c>
      <c r="J11" s="130">
        <v>66062.735514</v>
      </c>
      <c r="K11" s="326">
        <f t="shared" si="2"/>
        <v>9.0370350499440616E-3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33"/>
      <c r="B12" s="433"/>
      <c r="C12" s="155" t="s">
        <v>94</v>
      </c>
      <c r="D12" s="332"/>
      <c r="E12" s="130">
        <v>2030.7793447685381</v>
      </c>
      <c r="F12" s="130">
        <v>21883.846779999942</v>
      </c>
      <c r="G12" s="326">
        <f t="shared" si="0"/>
        <v>3.6063800686245494E-3</v>
      </c>
      <c r="H12" s="326">
        <f>(E12-I12)/I12</f>
        <v>-0.7737644876329397</v>
      </c>
      <c r="I12" s="332">
        <v>8976.3951004900573</v>
      </c>
      <c r="J12" s="130">
        <v>95833.300809714623</v>
      </c>
      <c r="K12" s="326">
        <f t="shared" si="2"/>
        <v>1.3109493223250671E-2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4"/>
      <c r="B13" s="434"/>
      <c r="C13" s="337" t="s">
        <v>0</v>
      </c>
      <c r="D13" s="340">
        <v>2274243</v>
      </c>
      <c r="E13" s="338">
        <v>563107.41134476836</v>
      </c>
      <c r="F13" s="338">
        <v>6068092.2070999993</v>
      </c>
      <c r="G13" s="339">
        <f>SUM(G7:G12)</f>
        <v>1.0000000000000004</v>
      </c>
      <c r="H13" s="339">
        <f>(E13-I13)/I13</f>
        <v>-0.17761498793837041</v>
      </c>
      <c r="I13" s="340">
        <v>684724.79810049001</v>
      </c>
      <c r="J13" s="338">
        <v>7310221.6184497159</v>
      </c>
      <c r="K13" s="339">
        <f>SUM(K7:K12)</f>
        <v>1.0000000000000002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32" t="str">
        <f>'3.1'!E5</f>
        <v>Květen</v>
      </c>
      <c r="B14" s="432"/>
      <c r="C14" s="165" t="s">
        <v>4</v>
      </c>
      <c r="D14" s="331">
        <v>1253</v>
      </c>
      <c r="E14" s="327">
        <v>212404.09400000001</v>
      </c>
      <c r="F14" s="327">
        <v>2282259.15356</v>
      </c>
      <c r="G14" s="328">
        <f>E14/$E$20</f>
        <v>0.67684108392868891</v>
      </c>
      <c r="H14" s="328">
        <f>(E14-I14)/I14</f>
        <v>-0.2567174189524144</v>
      </c>
      <c r="I14" s="331">
        <v>285764.92899999995</v>
      </c>
      <c r="J14" s="327">
        <v>3051368.90552</v>
      </c>
      <c r="K14" s="328">
        <f>I14/$I$20</f>
        <v>0.58187365935561686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33"/>
      <c r="B15" s="433"/>
      <c r="C15" s="155" t="s">
        <v>5</v>
      </c>
      <c r="D15" s="332">
        <v>4331</v>
      </c>
      <c r="E15" s="130">
        <v>24688.883999999998</v>
      </c>
      <c r="F15" s="130">
        <v>265279.9615899999</v>
      </c>
      <c r="G15" s="326">
        <f t="shared" ref="G15:G19" si="3">E15/$E$20</f>
        <v>7.8672923354997398E-2</v>
      </c>
      <c r="H15" s="326">
        <f t="shared" ref="H15:H17" si="4">(E15-I15)/I15</f>
        <v>-0.35692530030653841</v>
      </c>
      <c r="I15" s="332">
        <v>38391.938000000002</v>
      </c>
      <c r="J15" s="130">
        <v>409945.40080000006</v>
      </c>
      <c r="K15" s="326">
        <f t="shared" ref="K15:K19" si="5">I15/$I$20</f>
        <v>7.8173544710288673E-2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33"/>
      <c r="B16" s="433"/>
      <c r="C16" s="155" t="s">
        <v>6</v>
      </c>
      <c r="D16" s="332">
        <v>156401</v>
      </c>
      <c r="E16" s="130">
        <v>25778.22</v>
      </c>
      <c r="F16" s="130">
        <v>276984.44539999997</v>
      </c>
      <c r="G16" s="326">
        <f t="shared" si="3"/>
        <v>8.2144171696390211E-2</v>
      </c>
      <c r="H16" s="326">
        <f t="shared" si="4"/>
        <v>-0.45763109980440969</v>
      </c>
      <c r="I16" s="332">
        <v>47528.942000000003</v>
      </c>
      <c r="J16" s="130">
        <v>507509.09230999998</v>
      </c>
      <c r="K16" s="326">
        <f>I16/$I$20</f>
        <v>9.6778283827967146E-2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33"/>
      <c r="B17" s="433"/>
      <c r="C17" s="155" t="s">
        <v>7</v>
      </c>
      <c r="D17" s="332">
        <v>2109197</v>
      </c>
      <c r="E17" s="130">
        <v>43729.5</v>
      </c>
      <c r="F17" s="130">
        <v>469868.2</v>
      </c>
      <c r="G17" s="326">
        <f t="shared" si="3"/>
        <v>0.139347230188791</v>
      </c>
      <c r="H17" s="326">
        <f t="shared" si="4"/>
        <v>-0.60462788666532852</v>
      </c>
      <c r="I17" s="332">
        <v>110603.4</v>
      </c>
      <c r="J17" s="130">
        <v>1181012.7999999998</v>
      </c>
      <c r="K17" s="326">
        <f>I17/$I$20</f>
        <v>0.2252102989697978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33"/>
      <c r="B18" s="433"/>
      <c r="C18" s="155" t="s">
        <v>93</v>
      </c>
      <c r="D18" s="332">
        <v>205</v>
      </c>
      <c r="E18" s="130">
        <v>6456.2379999999994</v>
      </c>
      <c r="F18" s="130">
        <v>69371.578670000003</v>
      </c>
      <c r="G18" s="326">
        <f t="shared" si="3"/>
        <v>2.0573271652765741E-2</v>
      </c>
      <c r="H18" s="326">
        <f>(E18-I18)/I18</f>
        <v>-2.258034726185764E-2</v>
      </c>
      <c r="I18" s="332">
        <v>6605.3900000000012</v>
      </c>
      <c r="J18" s="130">
        <v>70531.691100000011</v>
      </c>
      <c r="K18" s="326">
        <f>I18/$I$20</f>
        <v>1.3449874567256642E-2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33"/>
      <c r="B19" s="433"/>
      <c r="C19" s="155" t="s">
        <v>94</v>
      </c>
      <c r="D19" s="332"/>
      <c r="E19" s="130">
        <v>759.85060389745627</v>
      </c>
      <c r="F19" s="130">
        <v>8164.51356999994</v>
      </c>
      <c r="G19" s="326">
        <f t="shared" si="3"/>
        <v>2.421319178366793E-3</v>
      </c>
      <c r="H19" s="326">
        <f t="shared" ref="H19" si="6">(E19-I19)/I19</f>
        <v>-0.65726863151065151</v>
      </c>
      <c r="I19" s="332">
        <v>2217.04423276643</v>
      </c>
      <c r="J19" s="130">
        <v>23673.377764920362</v>
      </c>
      <c r="K19" s="326">
        <f t="shared" si="5"/>
        <v>4.5143385690728649E-3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4"/>
      <c r="B20" s="434"/>
      <c r="C20" s="337" t="s">
        <v>0</v>
      </c>
      <c r="D20" s="340">
        <v>2271387</v>
      </c>
      <c r="E20" s="338">
        <v>313816.78660389746</v>
      </c>
      <c r="F20" s="338">
        <v>3371927.8527900004</v>
      </c>
      <c r="G20" s="339">
        <f>SUM(G14:G19)</f>
        <v>1.0000000000000002</v>
      </c>
      <c r="H20" s="339">
        <f>(E20-I20)/I20</f>
        <v>-0.36100723546649566</v>
      </c>
      <c r="I20" s="340">
        <v>491111.64323276636</v>
      </c>
      <c r="J20" s="338">
        <v>5244041.2674949206</v>
      </c>
      <c r="K20" s="339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32" t="str">
        <f>'3.1'!F5</f>
        <v>Červen</v>
      </c>
      <c r="B21" s="432"/>
      <c r="C21" s="165" t="s">
        <v>4</v>
      </c>
      <c r="D21" s="331">
        <v>1253</v>
      </c>
      <c r="E21" s="327">
        <v>193038.25700000001</v>
      </c>
      <c r="F21" s="327">
        <v>2090938.5697499998</v>
      </c>
      <c r="G21" s="328">
        <f>E21/$E$27</f>
        <v>0.74465108311536021</v>
      </c>
      <c r="H21" s="328">
        <f>(E21-I21)/I21</f>
        <v>-0.209453273890814</v>
      </c>
      <c r="I21" s="331">
        <v>244183.23500000002</v>
      </c>
      <c r="J21" s="327">
        <v>2609185.4930199999</v>
      </c>
      <c r="K21" s="328">
        <f>I21/$I$27</f>
        <v>0.7597554810186401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33"/>
      <c r="B22" s="433"/>
      <c r="C22" s="155" t="s">
        <v>5</v>
      </c>
      <c r="D22" s="332">
        <v>4327</v>
      </c>
      <c r="E22" s="130">
        <v>19241.203999999998</v>
      </c>
      <c r="F22" s="130">
        <v>208414.46673000007</v>
      </c>
      <c r="G22" s="326">
        <f t="shared" ref="G22:G26" si="7">E22/$E$27</f>
        <v>7.4223543155197455E-2</v>
      </c>
      <c r="H22" s="326">
        <f t="shared" ref="H22:H26" si="8">(E22-I22)/I22</f>
        <v>-0.20472384316879039</v>
      </c>
      <c r="I22" s="332">
        <v>24194.367999999999</v>
      </c>
      <c r="J22" s="130">
        <v>258524.80018999995</v>
      </c>
      <c r="K22" s="326">
        <f t="shared" ref="K22:K26" si="9">I22/$I$27</f>
        <v>7.5278729507298039E-2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33"/>
      <c r="B23" s="433"/>
      <c r="C23" s="155" t="s">
        <v>6</v>
      </c>
      <c r="D23" s="332">
        <v>156063</v>
      </c>
      <c r="E23" s="130">
        <v>15933.39</v>
      </c>
      <c r="F23" s="130">
        <v>172588.12846000001</v>
      </c>
      <c r="G23" s="326">
        <f t="shared" si="7"/>
        <v>6.1463547721524688E-2</v>
      </c>
      <c r="H23" s="326">
        <f t="shared" si="8"/>
        <v>0.15772748010683685</v>
      </c>
      <c r="I23" s="332">
        <v>13762.643000000002</v>
      </c>
      <c r="J23" s="130">
        <v>147057.62195900001</v>
      </c>
      <c r="K23" s="326">
        <f t="shared" si="9"/>
        <v>4.2821299556264875E-2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33"/>
      <c r="B24" s="433"/>
      <c r="C24" s="155" t="s">
        <v>7</v>
      </c>
      <c r="D24" s="332">
        <v>2106376</v>
      </c>
      <c r="E24" s="130">
        <v>25655.100000000002</v>
      </c>
      <c r="F24" s="130">
        <v>277889.8</v>
      </c>
      <c r="G24" s="326">
        <f t="shared" si="7"/>
        <v>9.8965346555283482E-2</v>
      </c>
      <c r="H24" s="326">
        <f t="shared" si="8"/>
        <v>-0.25245852916580452</v>
      </c>
      <c r="I24" s="332">
        <v>34319.299999999996</v>
      </c>
      <c r="J24" s="130">
        <v>366715.10000000003</v>
      </c>
      <c r="K24" s="326">
        <f t="shared" si="9"/>
        <v>0.10678159898947612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33"/>
      <c r="B25" s="433"/>
      <c r="C25" s="155" t="s">
        <v>93</v>
      </c>
      <c r="D25" s="332">
        <v>207</v>
      </c>
      <c r="E25" s="130">
        <v>6405.9570000000003</v>
      </c>
      <c r="F25" s="130">
        <v>69387.599720000013</v>
      </c>
      <c r="G25" s="326">
        <f t="shared" si="7"/>
        <v>2.4711178460549522E-2</v>
      </c>
      <c r="H25" s="326">
        <f t="shared" si="8"/>
        <v>-5.4771532348691684E-2</v>
      </c>
      <c r="I25" s="332">
        <v>6777.152000000001</v>
      </c>
      <c r="J25" s="130">
        <v>72416.271370999995</v>
      </c>
      <c r="K25" s="326">
        <f t="shared" si="9"/>
        <v>2.10865351902494E-2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33"/>
      <c r="B26" s="433"/>
      <c r="C26" s="155" t="s">
        <v>94</v>
      </c>
      <c r="D26" s="332"/>
      <c r="E26" s="130">
        <v>-1040.7431298230636</v>
      </c>
      <c r="F26" s="130">
        <v>-11273.056070000061</v>
      </c>
      <c r="G26" s="326">
        <f t="shared" si="7"/>
        <v>-4.0146990079153802E-3</v>
      </c>
      <c r="H26" s="326">
        <f t="shared" si="8"/>
        <v>-0.43424432632375903</v>
      </c>
      <c r="I26" s="332">
        <v>-1839.5628682968165</v>
      </c>
      <c r="J26" s="130">
        <v>-19656.384670263946</v>
      </c>
      <c r="K26" s="326">
        <f t="shared" si="9"/>
        <v>-5.7236442619284537E-3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4"/>
      <c r="B27" s="434"/>
      <c r="C27" s="337" t="s">
        <v>0</v>
      </c>
      <c r="D27" s="340">
        <v>2268226</v>
      </c>
      <c r="E27" s="338">
        <v>259233.16487017696</v>
      </c>
      <c r="F27" s="338">
        <v>2807945.5085899993</v>
      </c>
      <c r="G27" s="339">
        <f>SUM(G21:G26)</f>
        <v>0.99999999999999989</v>
      </c>
      <c r="H27" s="339">
        <f>(E27-I27)/I27</f>
        <v>-0.19341793521604494</v>
      </c>
      <c r="I27" s="340">
        <v>321397.13513170317</v>
      </c>
      <c r="J27" s="338">
        <v>3434242.9018697357</v>
      </c>
      <c r="K27" s="339">
        <f>SUM(K21:K26)</f>
        <v>1.0000000000000002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01" t="str">
        <f>'3.1'!G5</f>
        <v>II. čtvrtletí</v>
      </c>
      <c r="B28" s="432"/>
      <c r="C28" s="165" t="s">
        <v>4</v>
      </c>
      <c r="D28" s="331">
        <f>D21</f>
        <v>1253</v>
      </c>
      <c r="E28" s="327">
        <f>E7+E14+E21</f>
        <v>660088.43900000001</v>
      </c>
      <c r="F28" s="327">
        <f>F7+F14+F21</f>
        <v>7117282.7270299997</v>
      </c>
      <c r="G28" s="328">
        <f>E28/$E$34</f>
        <v>0.58098328682419431</v>
      </c>
      <c r="H28" s="328">
        <f>(E28-I28)/I28</f>
        <v>-0.22466533762824015</v>
      </c>
      <c r="I28" s="331">
        <f>I7+I14+I21</f>
        <v>851359.38199999987</v>
      </c>
      <c r="J28" s="327">
        <f>J7+J14+J21</f>
        <v>9091985.7500700001</v>
      </c>
      <c r="K28" s="328">
        <f>I28/$I$34</f>
        <v>0.5686216201550196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33"/>
      <c r="B29" s="433"/>
      <c r="C29" s="155" t="s">
        <v>5</v>
      </c>
      <c r="D29" s="332">
        <f t="shared" ref="D29:D32" si="10">D22</f>
        <v>4327</v>
      </c>
      <c r="E29" s="130">
        <f>E8+E15+E22</f>
        <v>91775.203999999998</v>
      </c>
      <c r="F29" s="130">
        <f t="shared" ref="F29" si="11">F8+F15+F22</f>
        <v>989276.33467999985</v>
      </c>
      <c r="G29" s="326">
        <f t="shared" ref="G29:G33" si="12">E29/$E$34</f>
        <v>8.0776842190506751E-2</v>
      </c>
      <c r="H29" s="326">
        <f t="shared" ref="H29:H31" si="13">(E29-I29)/I29</f>
        <v>-0.22684623170408655</v>
      </c>
      <c r="I29" s="332">
        <f>I8+I15+I22</f>
        <v>118702.395</v>
      </c>
      <c r="J29" s="130">
        <f t="shared" ref="J29" si="14">J8+J15+J22</f>
        <v>1267573.9241199999</v>
      </c>
      <c r="K29" s="326">
        <f t="shared" ref="K29:K33" si="15">I29/$I$34</f>
        <v>7.9281146820299117E-2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33"/>
      <c r="B30" s="433"/>
      <c r="C30" s="155" t="s">
        <v>6</v>
      </c>
      <c r="D30" s="332">
        <f t="shared" si="10"/>
        <v>156063</v>
      </c>
      <c r="E30" s="130">
        <f t="shared" ref="E30:F33" si="16">E9+E16+E23</f>
        <v>125188.488</v>
      </c>
      <c r="F30" s="130">
        <f t="shared" si="16"/>
        <v>1349130.1617500002</v>
      </c>
      <c r="G30" s="326">
        <f t="shared" si="12"/>
        <v>0.11018587045847533</v>
      </c>
      <c r="H30" s="326">
        <f t="shared" si="13"/>
        <v>-0.17218327095824165</v>
      </c>
      <c r="I30" s="332">
        <f t="shared" ref="I30:J32" si="17">I9+I16+I23</f>
        <v>151227.29900000003</v>
      </c>
      <c r="J30" s="130">
        <f t="shared" si="17"/>
        <v>1614734.3217350002</v>
      </c>
      <c r="K30" s="326">
        <f t="shared" si="15"/>
        <v>0.10100448011395452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33"/>
      <c r="B31" s="433"/>
      <c r="C31" s="155" t="s">
        <v>7</v>
      </c>
      <c r="D31" s="332">
        <f t="shared" si="10"/>
        <v>2106376</v>
      </c>
      <c r="E31" s="130">
        <f>E10+E17+E24</f>
        <v>238417.2</v>
      </c>
      <c r="F31" s="130">
        <f t="shared" si="16"/>
        <v>2569266.9</v>
      </c>
      <c r="G31" s="326">
        <f t="shared" si="12"/>
        <v>0.20984522725661811</v>
      </c>
      <c r="H31" s="326">
        <f t="shared" si="13"/>
        <v>-0.31295872689831888</v>
      </c>
      <c r="I31" s="332">
        <f>I10+I17+I24</f>
        <v>347020.2</v>
      </c>
      <c r="J31" s="130">
        <f t="shared" si="17"/>
        <v>3705350.8</v>
      </c>
      <c r="K31" s="326">
        <f t="shared" si="15"/>
        <v>0.23177425717324038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33"/>
      <c r="B32" s="433"/>
      <c r="C32" s="155" t="s">
        <v>93</v>
      </c>
      <c r="D32" s="332">
        <f t="shared" si="10"/>
        <v>207</v>
      </c>
      <c r="E32" s="130">
        <f>E11+E18+E25</f>
        <v>18938.145</v>
      </c>
      <c r="F32" s="130">
        <f t="shared" si="16"/>
        <v>204234.14074</v>
      </c>
      <c r="G32" s="326">
        <f t="shared" si="12"/>
        <v>1.6668593295046608E-2</v>
      </c>
      <c r="H32" s="326">
        <f>(E32-I32)/I32</f>
        <v>-3.2307884591565424E-2</v>
      </c>
      <c r="I32" s="332">
        <f>I11+I18+I25</f>
        <v>19570.424000000003</v>
      </c>
      <c r="J32" s="130">
        <f t="shared" si="17"/>
        <v>209010.69798499998</v>
      </c>
      <c r="K32" s="326">
        <f t="shared" si="15"/>
        <v>1.307105605139227E-2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33"/>
      <c r="B33" s="433"/>
      <c r="C33" s="155" t="s">
        <v>94</v>
      </c>
      <c r="D33" s="332"/>
      <c r="E33" s="130">
        <f t="shared" si="16"/>
        <v>1749.886818842931</v>
      </c>
      <c r="F33" s="130">
        <f t="shared" si="16"/>
        <v>18775.304279999822</v>
      </c>
      <c r="G33" s="326">
        <f t="shared" si="12"/>
        <v>1.5401799751589035E-3</v>
      </c>
      <c r="H33" s="326">
        <f t="shared" ref="H33" si="18">(E33-I33)/I33</f>
        <v>-0.81292389038938673</v>
      </c>
      <c r="I33" s="332">
        <f t="shared" ref="I33:J33" si="19">I12+I19+I26</f>
        <v>9353.8764649596706</v>
      </c>
      <c r="J33" s="130">
        <f t="shared" si="19"/>
        <v>99850.293904371036</v>
      </c>
      <c r="K33" s="326">
        <f t="shared" si="15"/>
        <v>6.2474396860940171E-3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34"/>
      <c r="B34" s="434"/>
      <c r="C34" s="337" t="s">
        <v>0</v>
      </c>
      <c r="D34" s="340">
        <f>SUM(D28:D33)</f>
        <v>2268226</v>
      </c>
      <c r="E34" s="338">
        <f>SUM(E28:E33)</f>
        <v>1136157.362818843</v>
      </c>
      <c r="F34" s="338">
        <f>SUM(F28:F33)</f>
        <v>12247965.56848</v>
      </c>
      <c r="G34" s="339">
        <f>SUM(G28:G33)</f>
        <v>1</v>
      </c>
      <c r="H34" s="339">
        <f>(E34-I34)/I34</f>
        <v>-0.2411622470413968</v>
      </c>
      <c r="I34" s="340">
        <f>SUM(I28:I33)</f>
        <v>1497233.5764649597</v>
      </c>
      <c r="J34" s="338">
        <f>SUM(J28:J33)</f>
        <v>15988505.787814371</v>
      </c>
      <c r="K34" s="339">
        <f>SUM(K28:K33)</f>
        <v>0.99999999999999989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22"/>
      <c r="C35" s="102"/>
      <c r="D35" s="88"/>
      <c r="E35" s="88"/>
      <c r="F35" s="88"/>
      <c r="G35" s="486" t="s">
        <v>276</v>
      </c>
      <c r="H35" s="486"/>
      <c r="I35" s="486"/>
      <c r="J35" s="486"/>
      <c r="K35" s="486"/>
    </row>
    <row r="36" spans="1:20" ht="15" customHeight="1">
      <c r="A36" s="478" t="s">
        <v>275</v>
      </c>
      <c r="B36" s="478"/>
      <c r="C36" s="478"/>
      <c r="D36" s="478"/>
      <c r="E36" s="478"/>
      <c r="F36" s="120"/>
      <c r="G36" s="486"/>
      <c r="H36" s="486"/>
      <c r="I36" s="486"/>
      <c r="J36" s="486"/>
      <c r="K36" s="486"/>
      <c r="M36" s="94"/>
      <c r="N36" s="94"/>
      <c r="O36" s="94"/>
      <c r="P36" s="94"/>
      <c r="Q36" s="94"/>
      <c r="R36" s="94"/>
      <c r="S36" s="94"/>
    </row>
    <row r="37" spans="1:20" ht="15" customHeight="1">
      <c r="A37" s="479" t="str">
        <f>A28</f>
        <v>II. čtvrtletí</v>
      </c>
      <c r="B37" s="480"/>
      <c r="C37" s="480"/>
      <c r="D37" s="480"/>
      <c r="E37" s="480"/>
      <c r="F37" s="126"/>
      <c r="G37" s="481" t="str">
        <f>A28</f>
        <v>II. čtvrtletí</v>
      </c>
      <c r="H37" s="481"/>
      <c r="I37" s="481"/>
      <c r="J37" s="481"/>
      <c r="K37" s="481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Duben</v>
      </c>
      <c r="C42" s="78">
        <f>E13</f>
        <v>563107.41134476836</v>
      </c>
      <c r="D42" s="78">
        <f>I13</f>
        <v>684724.79810049001</v>
      </c>
      <c r="E42" s="76"/>
      <c r="F42" s="76"/>
      <c r="G42" s="76"/>
      <c r="H42" s="95" t="str">
        <f>A7</f>
        <v>Duben</v>
      </c>
      <c r="I42" s="96">
        <f>E13/E34</f>
        <v>0.4956244880970368</v>
      </c>
      <c r="J42" s="96">
        <f>I13/I34</f>
        <v>0.45732663818370822</v>
      </c>
      <c r="K42" s="95"/>
    </row>
    <row r="43" spans="1:20" ht="15" customHeight="1">
      <c r="A43" s="95"/>
      <c r="B43" s="95" t="str">
        <f>A14</f>
        <v>Květen</v>
      </c>
      <c r="C43" s="78">
        <f>E20</f>
        <v>313816.78660389746</v>
      </c>
      <c r="D43" s="78">
        <f>I20</f>
        <v>491111.64323276636</v>
      </c>
      <c r="E43" s="76"/>
      <c r="F43" s="76"/>
      <c r="G43" s="76"/>
      <c r="H43" s="95" t="str">
        <f>A14</f>
        <v>Květen</v>
      </c>
      <c r="I43" s="96">
        <f>E20/E34</f>
        <v>0.27620890985145569</v>
      </c>
      <c r="J43" s="96">
        <f>I20/I34</f>
        <v>0.32801271020938799</v>
      </c>
      <c r="K43" s="95"/>
    </row>
    <row r="44" spans="1:20" ht="15" customHeight="1">
      <c r="A44" s="95"/>
      <c r="B44" s="95" t="str">
        <f>A21</f>
        <v>Červen</v>
      </c>
      <c r="C44" s="78">
        <f>E27</f>
        <v>259233.16487017696</v>
      </c>
      <c r="D44" s="78">
        <f>I27</f>
        <v>321397.13513170317</v>
      </c>
      <c r="E44" s="76"/>
      <c r="F44" s="76"/>
      <c r="G44" s="76"/>
      <c r="H44" s="95" t="str">
        <f>A21</f>
        <v>Červen</v>
      </c>
      <c r="I44" s="96">
        <f>E27/E34</f>
        <v>0.22816660205150732</v>
      </c>
      <c r="J44" s="96">
        <f>I27/I34</f>
        <v>0.21466065160690373</v>
      </c>
      <c r="K44" s="95"/>
    </row>
    <row r="45" spans="1:20" ht="15" customHeight="1">
      <c r="A45" s="95"/>
      <c r="B45" s="95"/>
      <c r="C45" s="78">
        <f>SUM(C42:C44)</f>
        <v>1136157.3628188428</v>
      </c>
      <c r="D45" s="78">
        <f>SUM(D42:D44)</f>
        <v>1497233.5764649597</v>
      </c>
      <c r="E45" s="95"/>
      <c r="F45" s="95"/>
      <c r="G45" s="95"/>
      <c r="H45" s="95"/>
      <c r="I45" s="97">
        <f>SUM(I42:I44)</f>
        <v>0.99999999999999978</v>
      </c>
      <c r="J45" s="97">
        <f>SUM(J42:J44)</f>
        <v>0.99999999999999989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2" t="s">
        <v>304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</row>
    <row r="2" spans="1:21" ht="6" customHeight="1">
      <c r="A2" s="487"/>
      <c r="B2" s="487"/>
      <c r="C2" s="487"/>
      <c r="D2" s="334"/>
      <c r="E2" s="334"/>
      <c r="F2" s="335"/>
      <c r="G2" s="336"/>
      <c r="H2" s="336"/>
      <c r="I2" s="336"/>
      <c r="J2" s="298"/>
      <c r="K2" s="298"/>
    </row>
    <row r="3" spans="1:21" ht="15" customHeight="1">
      <c r="A3" s="497" t="s">
        <v>213</v>
      </c>
      <c r="B3" s="497"/>
      <c r="C3" s="497"/>
      <c r="D3" s="368">
        <f>'3.1'!A4</f>
        <v>2022</v>
      </c>
      <c r="E3" s="492"/>
      <c r="F3" s="492"/>
      <c r="G3" s="492"/>
      <c r="H3" s="367"/>
      <c r="I3" s="491">
        <f>D3-1</f>
        <v>2021</v>
      </c>
      <c r="J3" s="492"/>
      <c r="K3" s="492"/>
    </row>
    <row r="4" spans="1:21" ht="50.1" customHeight="1">
      <c r="A4" s="498"/>
      <c r="B4" s="498"/>
      <c r="C4" s="498"/>
      <c r="D4" s="370"/>
      <c r="E4" s="494"/>
      <c r="F4" s="494"/>
      <c r="G4" s="494"/>
      <c r="H4" s="175"/>
      <c r="I4" s="493"/>
      <c r="J4" s="494"/>
      <c r="K4" s="494"/>
    </row>
    <row r="5" spans="1:21" ht="24.95" customHeight="1">
      <c r="A5" s="497" t="s">
        <v>159</v>
      </c>
      <c r="B5" s="497"/>
      <c r="C5" s="499" t="s">
        <v>185</v>
      </c>
      <c r="D5" s="495" t="s">
        <v>160</v>
      </c>
      <c r="E5" s="489" t="s">
        <v>60</v>
      </c>
      <c r="F5" s="489"/>
      <c r="G5" s="490" t="s">
        <v>33</v>
      </c>
      <c r="H5" s="490" t="s">
        <v>274</v>
      </c>
      <c r="I5" s="488" t="s">
        <v>60</v>
      </c>
      <c r="J5" s="489"/>
      <c r="K5" s="490" t="s">
        <v>33</v>
      </c>
    </row>
    <row r="6" spans="1:21" ht="22.5" customHeight="1">
      <c r="A6" s="498"/>
      <c r="B6" s="498"/>
      <c r="C6" s="500"/>
      <c r="D6" s="496"/>
      <c r="E6" s="222" t="s">
        <v>265</v>
      </c>
      <c r="F6" s="222" t="s">
        <v>266</v>
      </c>
      <c r="G6" s="477"/>
      <c r="H6" s="477"/>
      <c r="I6" s="224" t="s">
        <v>265</v>
      </c>
      <c r="J6" s="222" t="s">
        <v>266</v>
      </c>
      <c r="K6" s="477"/>
    </row>
    <row r="7" spans="1:21" ht="12.95" customHeight="1">
      <c r="A7" s="432" t="str">
        <f>'3.1'!D5</f>
        <v>Duben</v>
      </c>
      <c r="B7" s="432"/>
      <c r="C7" s="165" t="s">
        <v>4</v>
      </c>
      <c r="D7" s="331">
        <v>103</v>
      </c>
      <c r="E7" s="327">
        <v>9930.8464899999999</v>
      </c>
      <c r="F7" s="327">
        <v>106096.18769000001</v>
      </c>
      <c r="G7" s="328">
        <f t="shared" ref="G7:G12" si="0">E7/$E$13</f>
        <v>0.35078164266401496</v>
      </c>
      <c r="H7" s="328">
        <f>(E7-I7)/I7</f>
        <v>-0.19245981183557631</v>
      </c>
      <c r="I7" s="331">
        <v>12297.649869999999</v>
      </c>
      <c r="J7" s="327">
        <v>131322.913971</v>
      </c>
      <c r="K7" s="328">
        <f>I7/$I$13</f>
        <v>0.3682594959313652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33"/>
      <c r="B8" s="433"/>
      <c r="C8" s="155" t="s">
        <v>5</v>
      </c>
      <c r="D8" s="332">
        <v>342</v>
      </c>
      <c r="E8" s="130">
        <v>3511.4169999999999</v>
      </c>
      <c r="F8" s="130">
        <v>37514.22352</v>
      </c>
      <c r="G8" s="326">
        <f t="shared" si="0"/>
        <v>0.12403178566687796</v>
      </c>
      <c r="H8" s="326">
        <f t="shared" ref="H8:H11" si="1">(E8-I8)/I8</f>
        <v>-0.17570367232752812</v>
      </c>
      <c r="I8" s="332">
        <v>4259.8964500000002</v>
      </c>
      <c r="J8" s="130">
        <v>45490.156239999997</v>
      </c>
      <c r="K8" s="326">
        <f t="shared" ref="K8:K12" si="2">I8/$I$13</f>
        <v>0.127564805957255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33"/>
      <c r="B9" s="433"/>
      <c r="C9" s="155" t="s">
        <v>6</v>
      </c>
      <c r="D9" s="332">
        <v>10739</v>
      </c>
      <c r="E9" s="130">
        <v>5506.9440999999997</v>
      </c>
      <c r="F9" s="130">
        <v>58833.43735</v>
      </c>
      <c r="G9" s="326">
        <f t="shared" si="0"/>
        <v>0.19451865451772835</v>
      </c>
      <c r="H9" s="326">
        <f t="shared" si="1"/>
        <v>-0.12004513570322467</v>
      </c>
      <c r="I9" s="332">
        <v>6258.2120100000002</v>
      </c>
      <c r="J9" s="130">
        <v>66829.56856</v>
      </c>
      <c r="K9" s="326">
        <f t="shared" si="2"/>
        <v>0.1874054005925456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33"/>
      <c r="B10" s="433"/>
      <c r="C10" s="155" t="s">
        <v>7</v>
      </c>
      <c r="D10" s="332">
        <v>103258</v>
      </c>
      <c r="E10" s="130">
        <v>8399.4804100000001</v>
      </c>
      <c r="F10" s="130">
        <v>89736.667889999997</v>
      </c>
      <c r="G10" s="326">
        <f t="shared" si="0"/>
        <v>0.29669006954350918</v>
      </c>
      <c r="H10" s="326">
        <f t="shared" si="1"/>
        <v>-0.1200451330370088</v>
      </c>
      <c r="I10" s="332">
        <v>9545.3536599999989</v>
      </c>
      <c r="J10" s="130">
        <v>101931.76721000001</v>
      </c>
      <c r="K10" s="326">
        <f t="shared" si="2"/>
        <v>0.28584056014583964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33"/>
      <c r="B11" s="433"/>
      <c r="C11" s="155" t="s">
        <v>93</v>
      </c>
      <c r="D11" s="332">
        <v>17</v>
      </c>
      <c r="E11" s="130">
        <v>418.69499999999999</v>
      </c>
      <c r="F11" s="130">
        <v>4472.7709999999997</v>
      </c>
      <c r="G11" s="326">
        <f t="shared" si="0"/>
        <v>1.4789325363462519E-2</v>
      </c>
      <c r="H11" s="326">
        <f t="shared" si="1"/>
        <v>9.9124522556341604E-2</v>
      </c>
      <c r="I11" s="332">
        <v>380.935</v>
      </c>
      <c r="J11" s="130">
        <v>4068.1060000000002</v>
      </c>
      <c r="K11" s="326">
        <f t="shared" si="2"/>
        <v>1.1407295911459758E-2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33"/>
      <c r="B12" s="433"/>
      <c r="C12" s="155" t="s">
        <v>94</v>
      </c>
      <c r="D12" s="332"/>
      <c r="E12" s="130">
        <v>543.23900000000003</v>
      </c>
      <c r="F12" s="130">
        <v>5803.683</v>
      </c>
      <c r="G12" s="326">
        <f t="shared" si="0"/>
        <v>1.9188522244407067E-2</v>
      </c>
      <c r="H12" s="326">
        <f>(E12-I12)/I12</f>
        <v>-0.16672444365363256</v>
      </c>
      <c r="I12" s="332">
        <v>651.93200000000002</v>
      </c>
      <c r="J12" s="130">
        <v>6961.7820000000002</v>
      </c>
      <c r="K12" s="326">
        <f t="shared" si="2"/>
        <v>1.9522441461534864E-2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4"/>
      <c r="B13" s="434"/>
      <c r="C13" s="337" t="s">
        <v>0</v>
      </c>
      <c r="D13" s="340">
        <v>114459</v>
      </c>
      <c r="E13" s="338">
        <v>28310.621999999999</v>
      </c>
      <c r="F13" s="338">
        <v>302456.97045000002</v>
      </c>
      <c r="G13" s="339">
        <f>SUM(G7:G12)</f>
        <v>1</v>
      </c>
      <c r="H13" s="339">
        <f>(E13-I13)/I13</f>
        <v>-0.15222375840633531</v>
      </c>
      <c r="I13" s="340">
        <v>33393.978989999996</v>
      </c>
      <c r="J13" s="338">
        <v>356604.29398100002</v>
      </c>
      <c r="K13" s="339">
        <f>SUM(K7:K12)</f>
        <v>0.99999999999999989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32" t="str">
        <f>'3.1'!E5</f>
        <v>Květen</v>
      </c>
      <c r="B14" s="432"/>
      <c r="C14" s="165" t="s">
        <v>4</v>
      </c>
      <c r="D14" s="331">
        <v>103</v>
      </c>
      <c r="E14" s="327">
        <v>8500.8978999999999</v>
      </c>
      <c r="F14" s="327">
        <v>90929.007230000003</v>
      </c>
      <c r="G14" s="328">
        <f>E14/$E$20</f>
        <v>0.57212717799464674</v>
      </c>
      <c r="H14" s="328">
        <f>(E14-I14)/I14</f>
        <v>-0.20468824778744257</v>
      </c>
      <c r="I14" s="331">
        <v>10688.761829999998</v>
      </c>
      <c r="J14" s="327">
        <v>114210.48784</v>
      </c>
      <c r="K14" s="328">
        <f>I14/$I$20</f>
        <v>0.44901034805189477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33"/>
      <c r="B15" s="433"/>
      <c r="C15" s="155" t="s">
        <v>5</v>
      </c>
      <c r="D15" s="332">
        <v>344</v>
      </c>
      <c r="E15" s="130">
        <v>1945.93039</v>
      </c>
      <c r="F15" s="130">
        <v>20814.44976</v>
      </c>
      <c r="G15" s="326">
        <f t="shared" ref="G15:G19" si="3">E15/$E$20</f>
        <v>0.13096494931490971</v>
      </c>
      <c r="H15" s="326">
        <f t="shared" ref="H15:H17" si="4">(E15-I15)/I15</f>
        <v>-0.37419256496098269</v>
      </c>
      <c r="I15" s="332">
        <v>3109.4715099999999</v>
      </c>
      <c r="J15" s="130">
        <v>33225.014080000001</v>
      </c>
      <c r="K15" s="326">
        <f t="shared" ref="K15:K19" si="5">I15/$I$20</f>
        <v>0.1306217602345576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33"/>
      <c r="B16" s="433"/>
      <c r="C16" s="155" t="s">
        <v>6</v>
      </c>
      <c r="D16" s="332">
        <v>10743</v>
      </c>
      <c r="E16" s="130">
        <v>1460.53937</v>
      </c>
      <c r="F16" s="130">
        <v>15622.51324</v>
      </c>
      <c r="G16" s="326">
        <f t="shared" si="3"/>
        <v>9.829717730266814E-2</v>
      </c>
      <c r="H16" s="326">
        <f t="shared" si="4"/>
        <v>-0.59605047134895994</v>
      </c>
      <c r="I16" s="332">
        <v>3615.6481599999997</v>
      </c>
      <c r="J16" s="130">
        <v>38633.5622</v>
      </c>
      <c r="K16" s="326">
        <f>I16/$I$20</f>
        <v>0.15188507935486417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33"/>
      <c r="B17" s="433"/>
      <c r="C17" s="155" t="s">
        <v>7</v>
      </c>
      <c r="D17" s="332">
        <v>103061</v>
      </c>
      <c r="E17" s="130">
        <v>2227.6913500000001</v>
      </c>
      <c r="F17" s="130">
        <v>23828.302770000002</v>
      </c>
      <c r="G17" s="326">
        <f t="shared" si="3"/>
        <v>0.14992801707671199</v>
      </c>
      <c r="H17" s="326">
        <f t="shared" si="4"/>
        <v>-0.59605047457498961</v>
      </c>
      <c r="I17" s="332">
        <v>5514.7764999999999</v>
      </c>
      <c r="J17" s="130">
        <v>58926.329299999998</v>
      </c>
      <c r="K17" s="326">
        <f>I17/$I$20</f>
        <v>0.23166310140277591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33"/>
      <c r="B18" s="433"/>
      <c r="C18" s="155" t="s">
        <v>93</v>
      </c>
      <c r="D18" s="332">
        <v>17</v>
      </c>
      <c r="E18" s="130">
        <v>447.96100000000001</v>
      </c>
      <c r="F18" s="130">
        <v>4791.6329999999998</v>
      </c>
      <c r="G18" s="326">
        <f t="shared" si="3"/>
        <v>3.0148657917848886E-2</v>
      </c>
      <c r="H18" s="326">
        <f>(E18-I18)/I18</f>
        <v>7.2826857493198435E-2</v>
      </c>
      <c r="I18" s="332">
        <v>417.55200000000002</v>
      </c>
      <c r="J18" s="130">
        <v>4461.7749999999996</v>
      </c>
      <c r="K18" s="326">
        <f>I18/$I$20</f>
        <v>1.7540401014788522E-2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33"/>
      <c r="B19" s="433"/>
      <c r="C19" s="155" t="s">
        <v>94</v>
      </c>
      <c r="D19" s="332"/>
      <c r="E19" s="130">
        <v>275.38599999999997</v>
      </c>
      <c r="F19" s="130">
        <v>2945.625</v>
      </c>
      <c r="G19" s="326">
        <f t="shared" si="3"/>
        <v>1.8534020393214438E-2</v>
      </c>
      <c r="H19" s="326">
        <f t="shared" ref="H19" si="6">(E19-I19)/I19</f>
        <v>-0.39996121556519604</v>
      </c>
      <c r="I19" s="332">
        <v>458.947</v>
      </c>
      <c r="J19" s="130">
        <v>4903.8900000000003</v>
      </c>
      <c r="K19" s="326">
        <f t="shared" si="5"/>
        <v>1.9279309941119066E-2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4"/>
      <c r="B20" s="434"/>
      <c r="C20" s="337" t="s">
        <v>0</v>
      </c>
      <c r="D20" s="340">
        <v>114268</v>
      </c>
      <c r="E20" s="338">
        <v>14858.406010000001</v>
      </c>
      <c r="F20" s="338">
        <v>158931.53100000002</v>
      </c>
      <c r="G20" s="339">
        <f>SUM(G14:G19)</f>
        <v>1</v>
      </c>
      <c r="H20" s="339">
        <f>(E20-I20)/I20</f>
        <v>-0.37583247151026966</v>
      </c>
      <c r="I20" s="340">
        <v>23805.156999999996</v>
      </c>
      <c r="J20" s="338">
        <v>254361.05841999999</v>
      </c>
      <c r="K20" s="339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32" t="str">
        <f>'3.1'!F5</f>
        <v>Červen</v>
      </c>
      <c r="B21" s="432"/>
      <c r="C21" s="165" t="s">
        <v>4</v>
      </c>
      <c r="D21" s="331">
        <v>101</v>
      </c>
      <c r="E21" s="327">
        <v>7710.4736300000004</v>
      </c>
      <c r="F21" s="327">
        <v>83027.163959999991</v>
      </c>
      <c r="G21" s="328">
        <f>E21/$E$27</f>
        <v>0.66435437553016918</v>
      </c>
      <c r="H21" s="328">
        <f>(E21-I21)/I21</f>
        <v>2.3498251619290637E-3</v>
      </c>
      <c r="I21" s="331">
        <v>7692.3978399999996</v>
      </c>
      <c r="J21" s="327">
        <v>82157.886010000002</v>
      </c>
      <c r="K21" s="328">
        <f>I21/$I$27</f>
        <v>0.61908852812386239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33"/>
      <c r="B22" s="433"/>
      <c r="C22" s="155" t="s">
        <v>5</v>
      </c>
      <c r="D22" s="332">
        <v>345</v>
      </c>
      <c r="E22" s="130">
        <v>1524.53277</v>
      </c>
      <c r="F22" s="130">
        <v>16416.321329999999</v>
      </c>
      <c r="G22" s="326">
        <f t="shared" ref="G22:G26" si="7">E22/$E$27</f>
        <v>0.13135769149743257</v>
      </c>
      <c r="H22" s="326">
        <f t="shared" ref="H22:H26" si="8">(E22-I22)/I22</f>
        <v>-0.18458896863889607</v>
      </c>
      <c r="I22" s="332">
        <v>1869.6494299999999</v>
      </c>
      <c r="J22" s="130">
        <v>19968.603739999999</v>
      </c>
      <c r="K22" s="326">
        <f t="shared" ref="K22:K26" si="9">I22/$I$27</f>
        <v>0.15047044339120119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33"/>
      <c r="B23" s="433"/>
      <c r="C23" s="155" t="s">
        <v>6</v>
      </c>
      <c r="D23" s="332">
        <v>10693</v>
      </c>
      <c r="E23" s="130">
        <v>683.74097000000006</v>
      </c>
      <c r="F23" s="130">
        <v>7362.5910600000007</v>
      </c>
      <c r="G23" s="326">
        <f t="shared" si="7"/>
        <v>5.8912892637535963E-2</v>
      </c>
      <c r="H23" s="326">
        <f t="shared" si="8"/>
        <v>-0.21274816750683517</v>
      </c>
      <c r="I23" s="332">
        <v>868.51620000000003</v>
      </c>
      <c r="J23" s="130">
        <v>9276.1004599999997</v>
      </c>
      <c r="K23" s="326">
        <f t="shared" si="9"/>
        <v>6.9898674911713893E-2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33"/>
      <c r="B24" s="433"/>
      <c r="C24" s="155" t="s">
        <v>7</v>
      </c>
      <c r="D24" s="332">
        <v>102909</v>
      </c>
      <c r="E24" s="130">
        <v>1042.87763</v>
      </c>
      <c r="F24" s="130">
        <v>11230.886600000002</v>
      </c>
      <c r="G24" s="326">
        <f t="shared" si="7"/>
        <v>8.9857037307970511E-2</v>
      </c>
      <c r="H24" s="326">
        <f t="shared" si="8"/>
        <v>-0.21274818345805099</v>
      </c>
      <c r="I24" s="332">
        <v>1324.7065399999999</v>
      </c>
      <c r="J24" s="130">
        <v>14148.325640000001</v>
      </c>
      <c r="K24" s="326">
        <f t="shared" si="9"/>
        <v>0.10661313144519505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33"/>
      <c r="B25" s="433"/>
      <c r="C25" s="155" t="s">
        <v>93</v>
      </c>
      <c r="D25" s="332">
        <v>17</v>
      </c>
      <c r="E25" s="130">
        <v>431.18299999999999</v>
      </c>
      <c r="F25" s="130">
        <v>4642.05</v>
      </c>
      <c r="G25" s="326">
        <f t="shared" si="7"/>
        <v>3.7151843900959547E-2</v>
      </c>
      <c r="H25" s="326">
        <f t="shared" si="8"/>
        <v>-1.8745164079923587E-2</v>
      </c>
      <c r="I25" s="332">
        <v>439.42</v>
      </c>
      <c r="J25" s="130">
        <v>4692.7740000000003</v>
      </c>
      <c r="K25" s="326">
        <f t="shared" si="9"/>
        <v>3.5364770086850794E-2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33"/>
      <c r="B26" s="433"/>
      <c r="C26" s="155" t="s">
        <v>94</v>
      </c>
      <c r="D26" s="332"/>
      <c r="E26" s="130">
        <v>213.15700000000001</v>
      </c>
      <c r="F26" s="130">
        <v>2295.3130000000001</v>
      </c>
      <c r="G26" s="326">
        <f t="shared" si="7"/>
        <v>1.8366159125932226E-2</v>
      </c>
      <c r="H26" s="326">
        <f t="shared" si="8"/>
        <v>-7.592231326136907E-2</v>
      </c>
      <c r="I26" s="332">
        <v>230.67000000000002</v>
      </c>
      <c r="J26" s="130">
        <v>2463.64</v>
      </c>
      <c r="K26" s="326">
        <f t="shared" si="9"/>
        <v>1.8564452041176717E-2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4"/>
      <c r="B27" s="434"/>
      <c r="C27" s="337" t="s">
        <v>0</v>
      </c>
      <c r="D27" s="340">
        <v>114065</v>
      </c>
      <c r="E27" s="338">
        <v>11605.965</v>
      </c>
      <c r="F27" s="338">
        <v>124974.32594999998</v>
      </c>
      <c r="G27" s="339">
        <f>SUM(G21:G26)</f>
        <v>0.99999999999999989</v>
      </c>
      <c r="H27" s="339">
        <f>(E27-I27)/I27</f>
        <v>-6.5945373763057549E-2</v>
      </c>
      <c r="I27" s="340">
        <v>12425.360009999999</v>
      </c>
      <c r="J27" s="338">
        <v>132707.32985000001</v>
      </c>
      <c r="K27" s="339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01" t="str">
        <f>'3.1'!G5</f>
        <v>II. čtvrtletí</v>
      </c>
      <c r="B28" s="432"/>
      <c r="C28" s="165" t="s">
        <v>4</v>
      </c>
      <c r="D28" s="331">
        <f>D21</f>
        <v>101</v>
      </c>
      <c r="E28" s="327">
        <f>E7+E14+E21</f>
        <v>26142.21802</v>
      </c>
      <c r="F28" s="327">
        <f>F7+F14+F21</f>
        <v>280052.35888000001</v>
      </c>
      <c r="G28" s="328">
        <f>E28/$E$34</f>
        <v>0.47726556560632233</v>
      </c>
      <c r="H28" s="328">
        <f>(E28-I28)/I28</f>
        <v>-0.14787377958994935</v>
      </c>
      <c r="I28" s="331">
        <f>I7+I14+I21</f>
        <v>30678.809539999995</v>
      </c>
      <c r="J28" s="327">
        <f>J7+J14+J21</f>
        <v>327691.28782100003</v>
      </c>
      <c r="K28" s="328">
        <f>I28/$I$34</f>
        <v>0.44063241104107947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33"/>
      <c r="B29" s="433"/>
      <c r="C29" s="155" t="s">
        <v>5</v>
      </c>
      <c r="D29" s="332">
        <f t="shared" ref="D29:D32" si="10">D22</f>
        <v>345</v>
      </c>
      <c r="E29" s="130">
        <f>E8+E15+E22</f>
        <v>6981.8801599999997</v>
      </c>
      <c r="F29" s="130">
        <f t="shared" ref="F29" si="11">F8+F15+F22</f>
        <v>74744.994609999994</v>
      </c>
      <c r="G29" s="326">
        <f t="shared" ref="G29:G33" si="12">E29/$E$34</f>
        <v>0.12746473849344631</v>
      </c>
      <c r="H29" s="326">
        <f t="shared" ref="H29:H31" si="13">(E29-I29)/I29</f>
        <v>-0.24430490112975095</v>
      </c>
      <c r="I29" s="332">
        <f>I8+I15+I22</f>
        <v>9239.0173899999991</v>
      </c>
      <c r="J29" s="130">
        <f t="shared" ref="J29" si="14">J8+J15+J22</f>
        <v>98683.774059999996</v>
      </c>
      <c r="K29" s="326">
        <f t="shared" ref="K29:K33" si="15">I29/$I$34</f>
        <v>0.13269779920561292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33"/>
      <c r="B30" s="433"/>
      <c r="C30" s="155" t="s">
        <v>6</v>
      </c>
      <c r="D30" s="332">
        <f t="shared" si="10"/>
        <v>10693</v>
      </c>
      <c r="E30" s="130">
        <f t="shared" ref="E30:F33" si="16">E9+E16+E23</f>
        <v>7651.224439999999</v>
      </c>
      <c r="F30" s="130">
        <f t="shared" si="16"/>
        <v>81818.541649999999</v>
      </c>
      <c r="G30" s="326">
        <f t="shared" si="12"/>
        <v>0.13968462649740829</v>
      </c>
      <c r="H30" s="326">
        <f t="shared" si="13"/>
        <v>-0.28775308400407507</v>
      </c>
      <c r="I30" s="332">
        <f t="shared" ref="I30:J32" si="17">I9+I16+I23</f>
        <v>10742.37637</v>
      </c>
      <c r="J30" s="130">
        <f t="shared" si="17"/>
        <v>114739.23122</v>
      </c>
      <c r="K30" s="326">
        <f t="shared" si="15"/>
        <v>0.15429018502338601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33"/>
      <c r="B31" s="433"/>
      <c r="C31" s="155" t="s">
        <v>7</v>
      </c>
      <c r="D31" s="332">
        <f t="shared" si="10"/>
        <v>102909</v>
      </c>
      <c r="E31" s="130">
        <f>E10+E17+E24</f>
        <v>11670.04939</v>
      </c>
      <c r="F31" s="130">
        <f t="shared" si="16"/>
        <v>124795.85725999999</v>
      </c>
      <c r="G31" s="326">
        <f t="shared" si="12"/>
        <v>0.2130543291510682</v>
      </c>
      <c r="H31" s="326">
        <f t="shared" si="13"/>
        <v>-0.287753085143656</v>
      </c>
      <c r="I31" s="332">
        <f>I10+I17+I24</f>
        <v>16384.8367</v>
      </c>
      <c r="J31" s="130">
        <f t="shared" si="17"/>
        <v>175006.42215</v>
      </c>
      <c r="K31" s="326">
        <f t="shared" si="15"/>
        <v>0.23533149453606098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33"/>
      <c r="B32" s="433"/>
      <c r="C32" s="155" t="s">
        <v>93</v>
      </c>
      <c r="D32" s="332">
        <f t="shared" si="10"/>
        <v>17</v>
      </c>
      <c r="E32" s="130">
        <f>E11+E18+E25</f>
        <v>1297.8389999999999</v>
      </c>
      <c r="F32" s="130">
        <f t="shared" si="16"/>
        <v>13906.453999999998</v>
      </c>
      <c r="G32" s="326">
        <f t="shared" si="12"/>
        <v>2.3694005762137843E-2</v>
      </c>
      <c r="H32" s="326">
        <f>(E32-I32)/I32</f>
        <v>4.8413976171069219E-2</v>
      </c>
      <c r="I32" s="332">
        <f>I11+I18+I25</f>
        <v>1237.9070000000002</v>
      </c>
      <c r="J32" s="130">
        <f t="shared" si="17"/>
        <v>13222.654999999999</v>
      </c>
      <c r="K32" s="326">
        <f t="shared" si="15"/>
        <v>1.7779762456018356E-2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33"/>
      <c r="B33" s="433"/>
      <c r="C33" s="155" t="s">
        <v>94</v>
      </c>
      <c r="D33" s="332"/>
      <c r="E33" s="130">
        <f t="shared" si="16"/>
        <v>1031.7819999999999</v>
      </c>
      <c r="F33" s="130">
        <f t="shared" si="16"/>
        <v>11044.621000000001</v>
      </c>
      <c r="G33" s="326">
        <f t="shared" si="12"/>
        <v>1.8836734489617053E-2</v>
      </c>
      <c r="H33" s="326">
        <f t="shared" ref="H33" si="18">(E33-I33)/I33</f>
        <v>-0.23090248660317295</v>
      </c>
      <c r="I33" s="332">
        <f t="shared" ref="I33:J33" si="19">I12+I19+I26</f>
        <v>1341.549</v>
      </c>
      <c r="J33" s="130">
        <f t="shared" si="19"/>
        <v>14329.312</v>
      </c>
      <c r="K33" s="326">
        <f t="shared" si="15"/>
        <v>1.9268347737842154E-2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34"/>
      <c r="B34" s="434"/>
      <c r="C34" s="337" t="s">
        <v>0</v>
      </c>
      <c r="D34" s="340">
        <f>SUM(D28:D33)</f>
        <v>114065</v>
      </c>
      <c r="E34" s="338">
        <f>SUM(E28:E33)</f>
        <v>54774.993009999998</v>
      </c>
      <c r="F34" s="338">
        <f>SUM(F28:F33)</f>
        <v>586362.82740000007</v>
      </c>
      <c r="G34" s="339">
        <f>SUM(G28:G33)</f>
        <v>1.0000000000000002</v>
      </c>
      <c r="H34" s="339">
        <f>(E34-I34)/I34</f>
        <v>-0.21327986331132653</v>
      </c>
      <c r="I34" s="340">
        <f>SUM(I28:I33)</f>
        <v>69624.495999999999</v>
      </c>
      <c r="J34" s="338">
        <f>SUM(J28:J33)</f>
        <v>743672.68225100008</v>
      </c>
      <c r="K34" s="339">
        <f>SUM(K28:K33)</f>
        <v>0.99999999999999978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22"/>
      <c r="C35" s="102"/>
      <c r="D35" s="88"/>
      <c r="E35" s="88"/>
      <c r="F35" s="88"/>
      <c r="G35" s="486" t="s">
        <v>276</v>
      </c>
      <c r="H35" s="486"/>
      <c r="I35" s="486"/>
      <c r="J35" s="486"/>
      <c r="K35" s="486"/>
    </row>
    <row r="36" spans="1:20" ht="15" customHeight="1">
      <c r="A36" s="478" t="s">
        <v>275</v>
      </c>
      <c r="B36" s="478"/>
      <c r="C36" s="478"/>
      <c r="D36" s="478"/>
      <c r="E36" s="478"/>
      <c r="F36" s="120"/>
      <c r="G36" s="486"/>
      <c r="H36" s="486"/>
      <c r="I36" s="486"/>
      <c r="J36" s="486"/>
      <c r="K36" s="486"/>
      <c r="M36" s="94"/>
      <c r="N36" s="94"/>
      <c r="O36" s="94"/>
      <c r="P36" s="94"/>
      <c r="Q36" s="94"/>
      <c r="R36" s="94"/>
      <c r="S36" s="94"/>
    </row>
    <row r="37" spans="1:20" ht="15" customHeight="1">
      <c r="A37" s="479" t="str">
        <f>A28</f>
        <v>II. čtvrtletí</v>
      </c>
      <c r="B37" s="480"/>
      <c r="C37" s="480"/>
      <c r="D37" s="480"/>
      <c r="E37" s="480"/>
      <c r="F37" s="126"/>
      <c r="G37" s="481" t="str">
        <f>A28</f>
        <v>II. čtvrtletí</v>
      </c>
      <c r="H37" s="481"/>
      <c r="I37" s="481"/>
      <c r="J37" s="481"/>
      <c r="K37" s="481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Duben</v>
      </c>
      <c r="C42" s="78">
        <f>E13</f>
        <v>28310.621999999999</v>
      </c>
      <c r="D42" s="78">
        <f>I13</f>
        <v>33393.978989999996</v>
      </c>
      <c r="E42" s="76"/>
      <c r="F42" s="76"/>
      <c r="G42" s="76"/>
      <c r="H42" s="95" t="str">
        <f>A7</f>
        <v>Duben</v>
      </c>
      <c r="I42" s="96">
        <f>E13/E34</f>
        <v>0.51685304633140661</v>
      </c>
      <c r="J42" s="96">
        <f>I13/I34</f>
        <v>0.47962974108997497</v>
      </c>
      <c r="K42" s="95"/>
    </row>
    <row r="43" spans="1:20" ht="15" customHeight="1">
      <c r="A43" s="95"/>
      <c r="B43" s="95" t="str">
        <f>A14</f>
        <v>Květen</v>
      </c>
      <c r="C43" s="78">
        <f>E20</f>
        <v>14858.406010000001</v>
      </c>
      <c r="D43" s="78">
        <f>I20</f>
        <v>23805.156999999996</v>
      </c>
      <c r="E43" s="76"/>
      <c r="F43" s="76"/>
      <c r="G43" s="76"/>
      <c r="H43" s="95" t="str">
        <f>A14</f>
        <v>Květen</v>
      </c>
      <c r="I43" s="96">
        <f>E20/E34</f>
        <v>0.27126258158147781</v>
      </c>
      <c r="J43" s="96">
        <f>I20/I34</f>
        <v>0.34190778199672706</v>
      </c>
      <c r="K43" s="95"/>
    </row>
    <row r="44" spans="1:20" ht="15" customHeight="1">
      <c r="A44" s="95"/>
      <c r="B44" s="95" t="str">
        <f>A21</f>
        <v>Červen</v>
      </c>
      <c r="C44" s="78">
        <f>E27</f>
        <v>11605.965</v>
      </c>
      <c r="D44" s="78">
        <f>I27</f>
        <v>12425.360009999999</v>
      </c>
      <c r="E44" s="76"/>
      <c r="F44" s="76"/>
      <c r="G44" s="76"/>
      <c r="H44" s="95" t="str">
        <f>A21</f>
        <v>Červen</v>
      </c>
      <c r="I44" s="96">
        <f>E27/E34</f>
        <v>0.21188437208711569</v>
      </c>
      <c r="J44" s="96">
        <f>I27/I34</f>
        <v>0.17846247691329786</v>
      </c>
      <c r="K44" s="95"/>
    </row>
    <row r="45" spans="1:20" ht="15" customHeight="1">
      <c r="A45" s="95"/>
      <c r="B45" s="95"/>
      <c r="C45" s="78">
        <f>SUM(C42:C44)</f>
        <v>54774.993010000006</v>
      </c>
      <c r="D45" s="78">
        <f>SUM(D42:D44)</f>
        <v>69624.495999999999</v>
      </c>
      <c r="E45" s="95"/>
      <c r="F45" s="95"/>
      <c r="G45" s="95"/>
      <c r="H45" s="95"/>
      <c r="I45" s="97">
        <f>SUM(I42:I44)</f>
        <v>1.0000000000000002</v>
      </c>
      <c r="J45" s="97">
        <f>SUM(J42:J44)</f>
        <v>0.99999999999999989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I3:K4"/>
    <mergeCell ref="E3:G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72" t="s">
        <v>305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</row>
    <row r="2" spans="1:21" ht="6" customHeight="1">
      <c r="A2" s="487"/>
      <c r="B2" s="487"/>
      <c r="C2" s="487"/>
      <c r="D2" s="334"/>
      <c r="E2" s="334"/>
      <c r="F2" s="335"/>
      <c r="G2" s="336"/>
      <c r="H2" s="336"/>
      <c r="I2" s="336"/>
      <c r="J2" s="298"/>
      <c r="K2" s="298"/>
    </row>
    <row r="3" spans="1:21" ht="15" customHeight="1">
      <c r="A3" s="497" t="s">
        <v>34</v>
      </c>
      <c r="B3" s="497"/>
      <c r="C3" s="497"/>
      <c r="D3" s="368">
        <f>'3.1'!A4</f>
        <v>2022</v>
      </c>
      <c r="E3" s="492"/>
      <c r="F3" s="492"/>
      <c r="G3" s="492"/>
      <c r="H3" s="367"/>
      <c r="I3" s="491">
        <f>D3-1</f>
        <v>2021</v>
      </c>
      <c r="J3" s="492"/>
      <c r="K3" s="492"/>
    </row>
    <row r="4" spans="1:21" ht="50.1" customHeight="1">
      <c r="A4" s="498"/>
      <c r="B4" s="498"/>
      <c r="C4" s="498"/>
      <c r="D4" s="370"/>
      <c r="E4" s="494"/>
      <c r="F4" s="494"/>
      <c r="G4" s="494"/>
      <c r="H4" s="175"/>
      <c r="I4" s="493"/>
      <c r="J4" s="494"/>
      <c r="K4" s="494"/>
    </row>
    <row r="5" spans="1:21" ht="24.95" customHeight="1">
      <c r="A5" s="497" t="s">
        <v>159</v>
      </c>
      <c r="B5" s="497"/>
      <c r="C5" s="499" t="s">
        <v>185</v>
      </c>
      <c r="D5" s="495" t="s">
        <v>160</v>
      </c>
      <c r="E5" s="489" t="s">
        <v>60</v>
      </c>
      <c r="F5" s="489"/>
      <c r="G5" s="490" t="s">
        <v>33</v>
      </c>
      <c r="H5" s="490" t="s">
        <v>274</v>
      </c>
      <c r="I5" s="488" t="s">
        <v>60</v>
      </c>
      <c r="J5" s="489"/>
      <c r="K5" s="490" t="s">
        <v>33</v>
      </c>
    </row>
    <row r="6" spans="1:21" ht="22.5" customHeight="1">
      <c r="A6" s="498"/>
      <c r="B6" s="498"/>
      <c r="C6" s="500"/>
      <c r="D6" s="496"/>
      <c r="E6" s="222" t="s">
        <v>265</v>
      </c>
      <c r="F6" s="222" t="s">
        <v>266</v>
      </c>
      <c r="G6" s="477"/>
      <c r="H6" s="477"/>
      <c r="I6" s="224" t="s">
        <v>265</v>
      </c>
      <c r="J6" s="222" t="s">
        <v>266</v>
      </c>
      <c r="K6" s="477"/>
    </row>
    <row r="7" spans="1:21" ht="12.95" customHeight="1">
      <c r="A7" s="432" t="str">
        <f>'3.1'!D5</f>
        <v>Duben</v>
      </c>
      <c r="B7" s="432"/>
      <c r="C7" s="165" t="s">
        <v>4</v>
      </c>
      <c r="D7" s="331">
        <v>94</v>
      </c>
      <c r="E7" s="327">
        <v>2537.1809999999996</v>
      </c>
      <c r="F7" s="327">
        <v>27335.463179999999</v>
      </c>
      <c r="G7" s="328">
        <f t="shared" ref="G7:G12" si="0">E7/$E$13</f>
        <v>0.47040167204684735</v>
      </c>
      <c r="H7" s="328">
        <f>(E7-I7)/I7</f>
        <v>-0.96638670436086238</v>
      </c>
      <c r="I7" s="331">
        <v>75481.471000000005</v>
      </c>
      <c r="J7" s="327">
        <v>805605.37603399996</v>
      </c>
      <c r="K7" s="328">
        <f>I7/$I$13</f>
        <v>0.94875872586800714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33"/>
      <c r="B8" s="433"/>
      <c r="C8" s="155" t="s">
        <v>5</v>
      </c>
      <c r="D8" s="332">
        <v>131</v>
      </c>
      <c r="E8" s="130">
        <v>63.3</v>
      </c>
      <c r="F8" s="130">
        <v>667.13400000000001</v>
      </c>
      <c r="G8" s="326">
        <f t="shared" si="0"/>
        <v>1.1736027441702204E-2</v>
      </c>
      <c r="H8" s="326">
        <f t="shared" ref="H8:H11" si="1">(E8-I8)/I8</f>
        <v>-0.13210392815520675</v>
      </c>
      <c r="I8" s="332">
        <v>72.935000000000002</v>
      </c>
      <c r="J8" s="130">
        <v>770.44299999999998</v>
      </c>
      <c r="K8" s="326">
        <f t="shared" ref="K8:K12" si="2">I8/$I$13</f>
        <v>9.1675104836236028E-4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33"/>
      <c r="B9" s="433"/>
      <c r="C9" s="155" t="s">
        <v>6</v>
      </c>
      <c r="D9" s="332">
        <v>1062</v>
      </c>
      <c r="E9" s="130">
        <v>46.881</v>
      </c>
      <c r="F9" s="130">
        <v>498.36700000000002</v>
      </c>
      <c r="G9" s="326">
        <f t="shared" si="0"/>
        <v>8.6918910346673161E-3</v>
      </c>
      <c r="H9" s="326">
        <f t="shared" si="1"/>
        <v>-0.63870714170115372</v>
      </c>
      <c r="I9" s="332">
        <v>129.75900000000001</v>
      </c>
      <c r="J9" s="130">
        <v>1363.7930000000001</v>
      </c>
      <c r="K9" s="326">
        <f t="shared" si="2"/>
        <v>1.6309960826002812E-3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33"/>
      <c r="B10" s="433"/>
      <c r="C10" s="155" t="s">
        <v>7</v>
      </c>
      <c r="D10" s="332">
        <v>7515</v>
      </c>
      <c r="E10" s="130">
        <v>0</v>
      </c>
      <c r="F10" s="130">
        <v>0</v>
      </c>
      <c r="G10" s="326">
        <f t="shared" si="0"/>
        <v>0</v>
      </c>
      <c r="H10" s="371" t="e">
        <f t="shared" si="1"/>
        <v>#DIV/0!</v>
      </c>
      <c r="I10" s="332">
        <v>0</v>
      </c>
      <c r="J10" s="130">
        <v>0</v>
      </c>
      <c r="K10" s="326">
        <f t="shared" si="2"/>
        <v>0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33"/>
      <c r="B11" s="433"/>
      <c r="C11" s="155" t="s">
        <v>93</v>
      </c>
      <c r="D11" s="332">
        <v>6</v>
      </c>
      <c r="E11" s="130">
        <v>28.483000000000001</v>
      </c>
      <c r="F11" s="130">
        <v>295.96699999999998</v>
      </c>
      <c r="G11" s="326">
        <f t="shared" si="0"/>
        <v>5.2808415422117517E-3</v>
      </c>
      <c r="H11" s="326">
        <f t="shared" si="1"/>
        <v>6.8900814350583636E-2</v>
      </c>
      <c r="I11" s="332">
        <v>26.646999999999998</v>
      </c>
      <c r="J11" s="130">
        <v>276.649</v>
      </c>
      <c r="K11" s="326">
        <f t="shared" si="2"/>
        <v>3.3493748112307963E-4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33"/>
      <c r="B12" s="433"/>
      <c r="C12" s="155" t="s">
        <v>96</v>
      </c>
      <c r="D12" s="332">
        <v>0</v>
      </c>
      <c r="E12" s="130">
        <v>2717.8029199999987</v>
      </c>
      <c r="F12" s="130">
        <v>29440.712688999996</v>
      </c>
      <c r="G12" s="326">
        <f t="shared" si="0"/>
        <v>0.5038895679345714</v>
      </c>
      <c r="H12" s="326">
        <f>(E12-I12)/I12</f>
        <v>-0.2935852420867629</v>
      </c>
      <c r="I12" s="332">
        <v>3847.3190000000018</v>
      </c>
      <c r="J12" s="130">
        <v>41177.244515666673</v>
      </c>
      <c r="K12" s="326">
        <f t="shared" si="2"/>
        <v>4.8358589519907166E-2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4"/>
      <c r="B13" s="434"/>
      <c r="C13" s="337" t="s">
        <v>0</v>
      </c>
      <c r="D13" s="340">
        <v>8808</v>
      </c>
      <c r="E13" s="338">
        <v>5393.6479199999985</v>
      </c>
      <c r="F13" s="338">
        <v>58237.643868999992</v>
      </c>
      <c r="G13" s="339">
        <f>SUM(G7:G12)</f>
        <v>1</v>
      </c>
      <c r="H13" s="339">
        <f>(E13-I13)/I13</f>
        <v>-0.93220494433183698</v>
      </c>
      <c r="I13" s="340">
        <v>79558.131000000008</v>
      </c>
      <c r="J13" s="338">
        <v>849193.50554966647</v>
      </c>
      <c r="K13" s="339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32" t="str">
        <f>'3.1'!E5</f>
        <v>Květen</v>
      </c>
      <c r="B14" s="432"/>
      <c r="C14" s="165" t="s">
        <v>4</v>
      </c>
      <c r="D14" s="331">
        <v>94</v>
      </c>
      <c r="E14" s="327">
        <v>29896.333999999995</v>
      </c>
      <c r="F14" s="327">
        <v>321545.18204599991</v>
      </c>
      <c r="G14" s="328">
        <f>E14/$E$20</f>
        <v>0.91709958129086333</v>
      </c>
      <c r="H14" s="328">
        <f>(E14-I14)/I14</f>
        <v>1.4867480418200867</v>
      </c>
      <c r="I14" s="331">
        <v>12022.261</v>
      </c>
      <c r="J14" s="327">
        <v>128193.33481100001</v>
      </c>
      <c r="K14" s="328">
        <f>I14/$I$20</f>
        <v>0.78256926323178599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33"/>
      <c r="B15" s="433"/>
      <c r="C15" s="155" t="s">
        <v>5</v>
      </c>
      <c r="D15" s="332">
        <v>131</v>
      </c>
      <c r="E15" s="130">
        <v>24.196000000000002</v>
      </c>
      <c r="F15" s="130">
        <v>254.88800000000001</v>
      </c>
      <c r="G15" s="326">
        <f t="shared" ref="G15:G19" si="3">E15/$E$20</f>
        <v>7.4223620424208978E-4</v>
      </c>
      <c r="H15" s="326">
        <f t="shared" ref="H15:H17" si="4">(E15-I15)/I15</f>
        <v>-0.39089719061524508</v>
      </c>
      <c r="I15" s="332">
        <v>39.723999999999997</v>
      </c>
      <c r="J15" s="130">
        <v>418.17500000000001</v>
      </c>
      <c r="K15" s="326">
        <f t="shared" ref="K15:K19" si="5">I15/$I$20</f>
        <v>2.5857683020373175E-3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33"/>
      <c r="B16" s="433"/>
      <c r="C16" s="155" t="s">
        <v>6</v>
      </c>
      <c r="D16" s="332">
        <v>1063</v>
      </c>
      <c r="E16" s="130">
        <v>45.700999999999993</v>
      </c>
      <c r="F16" s="130">
        <v>486.34800000000001</v>
      </c>
      <c r="G16" s="326">
        <f t="shared" si="3"/>
        <v>1.4019233249325401E-3</v>
      </c>
      <c r="H16" s="326">
        <f t="shared" si="4"/>
        <v>-0.48165413363276516</v>
      </c>
      <c r="I16" s="332">
        <v>88.167000000000002</v>
      </c>
      <c r="J16" s="130">
        <v>925.22299999999996</v>
      </c>
      <c r="K16" s="326">
        <f>I16/$I$20</f>
        <v>5.7390855373508258E-3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33"/>
      <c r="B17" s="433"/>
      <c r="C17" s="155" t="s">
        <v>7</v>
      </c>
      <c r="D17" s="332">
        <v>7525</v>
      </c>
      <c r="E17" s="130">
        <v>0</v>
      </c>
      <c r="F17" s="130">
        <v>0</v>
      </c>
      <c r="G17" s="326">
        <f t="shared" si="3"/>
        <v>0</v>
      </c>
      <c r="H17" s="371">
        <f t="shared" si="4"/>
        <v>-1</v>
      </c>
      <c r="I17" s="332">
        <v>1.698</v>
      </c>
      <c r="J17" s="130">
        <v>18.178000000000001</v>
      </c>
      <c r="K17" s="326">
        <f>I17/$I$20</f>
        <v>1.1052851114840816E-4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33"/>
      <c r="B18" s="433"/>
      <c r="C18" s="155" t="s">
        <v>93</v>
      </c>
      <c r="D18" s="332">
        <v>6</v>
      </c>
      <c r="E18" s="130">
        <v>40.61</v>
      </c>
      <c r="F18" s="130">
        <v>421.12599999999998</v>
      </c>
      <c r="G18" s="326">
        <f t="shared" si="3"/>
        <v>1.2457518703203531E-3</v>
      </c>
      <c r="H18" s="326">
        <f>(E18-I18)/I18</f>
        <v>0.42781801561071653</v>
      </c>
      <c r="I18" s="332">
        <v>28.442</v>
      </c>
      <c r="J18" s="130">
        <v>295.14299999999997</v>
      </c>
      <c r="K18" s="326">
        <f>I18/$I$20</f>
        <v>1.8513851084116753E-3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33"/>
      <c r="B19" s="433"/>
      <c r="C19" s="155" t="s">
        <v>96</v>
      </c>
      <c r="D19" s="332">
        <v>0</v>
      </c>
      <c r="E19" s="130">
        <v>2591.946100000001</v>
      </c>
      <c r="F19" s="130">
        <v>28062.286448000006</v>
      </c>
      <c r="G19" s="326">
        <f t="shared" si="3"/>
        <v>7.9510507309641626E-2</v>
      </c>
      <c r="H19" s="326">
        <f t="shared" ref="H19" si="6">(E19-I19)/I19</f>
        <v>-0.18550146751051089</v>
      </c>
      <c r="I19" s="332">
        <v>3182.2599999999993</v>
      </c>
      <c r="J19" s="130">
        <v>34086.381862666669</v>
      </c>
      <c r="K19" s="326">
        <f t="shared" si="5"/>
        <v>0.20714396930926576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4"/>
      <c r="B20" s="434"/>
      <c r="C20" s="337" t="s">
        <v>0</v>
      </c>
      <c r="D20" s="340">
        <v>8819</v>
      </c>
      <c r="E20" s="338">
        <v>32598.787099999998</v>
      </c>
      <c r="F20" s="338">
        <v>350769.83049399988</v>
      </c>
      <c r="G20" s="339">
        <f>SUM(G14:G19)</f>
        <v>0.99999999999999989</v>
      </c>
      <c r="H20" s="339">
        <f>(E20-I20)/I20</f>
        <v>1.1219643129605028</v>
      </c>
      <c r="I20" s="340">
        <v>15362.552</v>
      </c>
      <c r="J20" s="338">
        <v>163936.43567366668</v>
      </c>
      <c r="K20" s="339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32" t="str">
        <f>'3.1'!F5</f>
        <v>Červen</v>
      </c>
      <c r="B21" s="432"/>
      <c r="C21" s="165" t="s">
        <v>4</v>
      </c>
      <c r="D21" s="331">
        <v>94</v>
      </c>
      <c r="E21" s="327">
        <v>44455.542999999998</v>
      </c>
      <c r="F21" s="327">
        <v>485948.68272099993</v>
      </c>
      <c r="G21" s="328">
        <f>E21/$E$27</f>
        <v>0.96295244340853059</v>
      </c>
      <c r="H21" s="328">
        <f>(E21-I21)/I21</f>
        <v>-0.22371203779081841</v>
      </c>
      <c r="I21" s="331">
        <v>57266.819999999992</v>
      </c>
      <c r="J21" s="327">
        <v>611315.22152800008</v>
      </c>
      <c r="K21" s="328">
        <f>I21/$I$27</f>
        <v>0.94971143802803693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33"/>
      <c r="B22" s="433"/>
      <c r="C22" s="155" t="s">
        <v>5</v>
      </c>
      <c r="D22" s="332">
        <v>132</v>
      </c>
      <c r="E22" s="130">
        <v>18.841999999999999</v>
      </c>
      <c r="F22" s="130">
        <v>199.25200000000001</v>
      </c>
      <c r="G22" s="326">
        <f t="shared" ref="G22:G26" si="7">E22/$E$27</f>
        <v>4.0813695468084899E-4</v>
      </c>
      <c r="H22" s="326">
        <f t="shared" ref="H22:H26" si="8">(E22-I22)/I22</f>
        <v>-0.20018677307071914</v>
      </c>
      <c r="I22" s="332">
        <v>23.558</v>
      </c>
      <c r="J22" s="130">
        <v>247.482</v>
      </c>
      <c r="K22" s="326">
        <f t="shared" ref="K22:K26" si="9">I22/$I$27</f>
        <v>3.9068525294515212E-4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33"/>
      <c r="B23" s="433"/>
      <c r="C23" s="155" t="s">
        <v>6</v>
      </c>
      <c r="D23" s="332">
        <v>1062</v>
      </c>
      <c r="E23" s="130">
        <v>66.597000000000008</v>
      </c>
      <c r="F23" s="130">
        <v>709.08900000000017</v>
      </c>
      <c r="G23" s="326">
        <f t="shared" si="7"/>
        <v>1.4425590049294398E-3</v>
      </c>
      <c r="H23" s="326">
        <f t="shared" si="8"/>
        <v>-0.2526679609035718</v>
      </c>
      <c r="I23" s="332">
        <v>89.113</v>
      </c>
      <c r="J23" s="130">
        <v>935.7410000000001</v>
      </c>
      <c r="K23" s="326">
        <f t="shared" si="9"/>
        <v>1.4778476502971959E-3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33"/>
      <c r="B24" s="433"/>
      <c r="C24" s="155" t="s">
        <v>7</v>
      </c>
      <c r="D24" s="332">
        <v>7529</v>
      </c>
      <c r="E24" s="130">
        <v>0</v>
      </c>
      <c r="F24" s="130">
        <v>0</v>
      </c>
      <c r="G24" s="326">
        <f t="shared" si="7"/>
        <v>0</v>
      </c>
      <c r="H24" s="371" t="e">
        <f t="shared" si="8"/>
        <v>#DIV/0!</v>
      </c>
      <c r="I24" s="332">
        <v>0</v>
      </c>
      <c r="J24" s="130">
        <v>0</v>
      </c>
      <c r="K24" s="326">
        <f t="shared" si="9"/>
        <v>0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33"/>
      <c r="B25" s="433"/>
      <c r="C25" s="155" t="s">
        <v>93</v>
      </c>
      <c r="D25" s="332">
        <v>6</v>
      </c>
      <c r="E25" s="130">
        <v>41.283000000000001</v>
      </c>
      <c r="F25" s="130">
        <v>428.18700000000001</v>
      </c>
      <c r="G25" s="326">
        <f t="shared" si="7"/>
        <v>8.9423192336744988E-4</v>
      </c>
      <c r="H25" s="326">
        <f t="shared" si="8"/>
        <v>0.40299065420560748</v>
      </c>
      <c r="I25" s="332">
        <v>29.425000000000001</v>
      </c>
      <c r="J25" s="130">
        <v>303.78399999999999</v>
      </c>
      <c r="K25" s="326">
        <f t="shared" si="9"/>
        <v>4.8798342677269297E-4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33"/>
      <c r="B26" s="433"/>
      <c r="C26" s="155" t="s">
        <v>96</v>
      </c>
      <c r="D26" s="332">
        <v>0</v>
      </c>
      <c r="E26" s="130">
        <v>1583.6109000000029</v>
      </c>
      <c r="F26" s="130">
        <v>17390.021393000017</v>
      </c>
      <c r="G26" s="326">
        <f t="shared" si="7"/>
        <v>3.4302628708491649E-2</v>
      </c>
      <c r="H26" s="326">
        <f t="shared" si="8"/>
        <v>-0.45208761278817772</v>
      </c>
      <c r="I26" s="332">
        <v>2890.2629999999995</v>
      </c>
      <c r="J26" s="130">
        <v>30989.425998666662</v>
      </c>
      <c r="K26" s="326">
        <f t="shared" si="9"/>
        <v>4.7932045641948126E-2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4"/>
      <c r="B27" s="434"/>
      <c r="C27" s="337" t="s">
        <v>0</v>
      </c>
      <c r="D27" s="340">
        <v>8823</v>
      </c>
      <c r="E27" s="338">
        <v>46165.875899999999</v>
      </c>
      <c r="F27" s="338">
        <v>504675.2321139999</v>
      </c>
      <c r="G27" s="339">
        <f>SUM(G21:G26)</f>
        <v>1</v>
      </c>
      <c r="H27" s="339">
        <f>(E27-I27)/I27</f>
        <v>-0.23438632721682651</v>
      </c>
      <c r="I27" s="340">
        <v>60299.178999999989</v>
      </c>
      <c r="J27" s="338">
        <v>643791.65452666674</v>
      </c>
      <c r="K27" s="339">
        <f>SUM(K21:K26)</f>
        <v>1.0000000000000002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501" t="str">
        <f>'3.1'!G5</f>
        <v>II. čtvrtletí</v>
      </c>
      <c r="B28" s="432"/>
      <c r="C28" s="165" t="s">
        <v>4</v>
      </c>
      <c r="D28" s="331">
        <f>D21</f>
        <v>94</v>
      </c>
      <c r="E28" s="327">
        <f>E7+E14+E21</f>
        <v>76889.05799999999</v>
      </c>
      <c r="F28" s="327">
        <f>F7+F14+F21</f>
        <v>834829.32794699981</v>
      </c>
      <c r="G28" s="328">
        <f>E28/$E$34</f>
        <v>0.91362406349968117</v>
      </c>
      <c r="H28" s="328">
        <f>(E28-I28)/I28</f>
        <v>-0.46889020634527945</v>
      </c>
      <c r="I28" s="331">
        <f>I7+I14+I21</f>
        <v>144770.552</v>
      </c>
      <c r="J28" s="327">
        <f>J7+J14+J21</f>
        <v>1545113.9323730001</v>
      </c>
      <c r="K28" s="328">
        <f>I28/$I$34</f>
        <v>0.9326805869728193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33"/>
      <c r="B29" s="433"/>
      <c r="C29" s="155" t="s">
        <v>5</v>
      </c>
      <c r="D29" s="332">
        <f t="shared" ref="D29:D32" si="10">D22</f>
        <v>132</v>
      </c>
      <c r="E29" s="130">
        <f>E8+E15+E22</f>
        <v>106.33799999999999</v>
      </c>
      <c r="F29" s="130">
        <f t="shared" ref="F29" si="11">F8+F15+F22</f>
        <v>1121.2740000000001</v>
      </c>
      <c r="G29" s="326">
        <f t="shared" ref="G29:G33" si="12">E29/$E$34</f>
        <v>1.2635472223424702E-3</v>
      </c>
      <c r="H29" s="326">
        <f t="shared" ref="H29:H31" si="13">(E29-I29)/I29</f>
        <v>-0.21934853946276892</v>
      </c>
      <c r="I29" s="332">
        <f>I8+I15+I22</f>
        <v>136.21699999999998</v>
      </c>
      <c r="J29" s="130">
        <f t="shared" ref="J29" si="14">J8+J15+J22</f>
        <v>1436.1</v>
      </c>
      <c r="K29" s="326">
        <f t="shared" ref="K29:K33" si="15">I29/$I$34</f>
        <v>8.7757454648426365E-4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33"/>
      <c r="B30" s="433"/>
      <c r="C30" s="155" t="s">
        <v>6</v>
      </c>
      <c r="D30" s="332">
        <f t="shared" si="10"/>
        <v>1062</v>
      </c>
      <c r="E30" s="130">
        <f t="shared" ref="E30:F33" si="16">E9+E16+E23</f>
        <v>159.179</v>
      </c>
      <c r="F30" s="130">
        <f t="shared" si="16"/>
        <v>1693.8040000000001</v>
      </c>
      <c r="G30" s="326">
        <f t="shared" si="12"/>
        <v>1.8914234168900309E-3</v>
      </c>
      <c r="H30" s="326">
        <f t="shared" si="13"/>
        <v>-0.48156748816925532</v>
      </c>
      <c r="I30" s="332">
        <f t="shared" ref="I30:J32" si="17">I9+I16+I23</f>
        <v>307.03899999999999</v>
      </c>
      <c r="J30" s="130">
        <f t="shared" si="17"/>
        <v>3224.7570000000001</v>
      </c>
      <c r="K30" s="326">
        <f t="shared" si="15"/>
        <v>1.9780909224104324E-3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33"/>
      <c r="B31" s="433"/>
      <c r="C31" s="155" t="s">
        <v>7</v>
      </c>
      <c r="D31" s="332">
        <f t="shared" si="10"/>
        <v>7529</v>
      </c>
      <c r="E31" s="130">
        <f>E10+E17+E24</f>
        <v>0</v>
      </c>
      <c r="F31" s="130">
        <f t="shared" si="16"/>
        <v>0</v>
      </c>
      <c r="G31" s="326">
        <f t="shared" si="12"/>
        <v>0</v>
      </c>
      <c r="H31" s="371">
        <f t="shared" si="13"/>
        <v>-1</v>
      </c>
      <c r="I31" s="332">
        <f>I10+I17+I24</f>
        <v>1.698</v>
      </c>
      <c r="J31" s="130">
        <f t="shared" si="17"/>
        <v>18.178000000000001</v>
      </c>
      <c r="K31" s="326">
        <f t="shared" si="15"/>
        <v>1.0939321670057921E-5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33"/>
      <c r="B32" s="433"/>
      <c r="C32" s="155" t="s">
        <v>93</v>
      </c>
      <c r="D32" s="332">
        <f t="shared" si="10"/>
        <v>6</v>
      </c>
      <c r="E32" s="130">
        <f>E11+E18+E25</f>
        <v>110.376</v>
      </c>
      <c r="F32" s="130">
        <f t="shared" si="16"/>
        <v>1145.28</v>
      </c>
      <c r="G32" s="326">
        <f t="shared" si="12"/>
        <v>1.3115282233375888E-3</v>
      </c>
      <c r="H32" s="326">
        <f>(E32-I32)/I32</f>
        <v>0.30600847196914133</v>
      </c>
      <c r="I32" s="332">
        <f>I11+I18+I25</f>
        <v>84.513999999999996</v>
      </c>
      <c r="J32" s="130">
        <f t="shared" si="17"/>
        <v>875.57599999999991</v>
      </c>
      <c r="K32" s="326">
        <f t="shared" si="15"/>
        <v>5.4447928835293002E-4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33"/>
      <c r="B33" s="433"/>
      <c r="C33" s="155" t="s">
        <v>96</v>
      </c>
      <c r="D33" s="332"/>
      <c r="E33" s="130">
        <f t="shared" si="16"/>
        <v>6893.3599200000026</v>
      </c>
      <c r="F33" s="130">
        <f t="shared" si="16"/>
        <v>74893.020530000023</v>
      </c>
      <c r="G33" s="326">
        <f t="shared" si="12"/>
        <v>8.1909437637748661E-2</v>
      </c>
      <c r="H33" s="326">
        <f t="shared" ref="H33" si="18">(E33-I33)/I33</f>
        <v>-0.30509377871139459</v>
      </c>
      <c r="I33" s="332">
        <f t="shared" ref="I33:J33" si="19">I12+I19+I26</f>
        <v>9919.8420000000006</v>
      </c>
      <c r="J33" s="130">
        <f t="shared" si="19"/>
        <v>106253.052377</v>
      </c>
      <c r="K33" s="326">
        <f t="shared" si="15"/>
        <v>6.390832894826308E-2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34"/>
      <c r="B34" s="434"/>
      <c r="C34" s="337" t="s">
        <v>0</v>
      </c>
      <c r="D34" s="340">
        <f>SUM(D28:D33)</f>
        <v>8823</v>
      </c>
      <c r="E34" s="338">
        <f>SUM(E28:E33)</f>
        <v>84158.310920000004</v>
      </c>
      <c r="F34" s="338">
        <f>SUM(F28:F33)</f>
        <v>913682.7064769998</v>
      </c>
      <c r="G34" s="339">
        <f>SUM(G28:G33)</f>
        <v>1</v>
      </c>
      <c r="H34" s="339">
        <f>(E34-I34)/I34</f>
        <v>-0.45781222946841682</v>
      </c>
      <c r="I34" s="340">
        <f>SUM(I28:I33)</f>
        <v>155219.86199999999</v>
      </c>
      <c r="J34" s="338">
        <f>SUM(J28:J33)</f>
        <v>1656921.5957500001</v>
      </c>
      <c r="K34" s="339">
        <f>SUM(K28:K33)</f>
        <v>1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22"/>
      <c r="C35" s="102"/>
      <c r="D35" s="88"/>
      <c r="E35" s="88"/>
      <c r="F35" s="88"/>
      <c r="G35" s="486" t="s">
        <v>276</v>
      </c>
      <c r="H35" s="486"/>
      <c r="I35" s="486"/>
      <c r="J35" s="486"/>
      <c r="K35" s="486"/>
    </row>
    <row r="36" spans="1:20" ht="15" customHeight="1">
      <c r="A36" s="478" t="s">
        <v>275</v>
      </c>
      <c r="B36" s="478"/>
      <c r="C36" s="478"/>
      <c r="D36" s="478"/>
      <c r="E36" s="478"/>
      <c r="F36" s="120"/>
      <c r="G36" s="486"/>
      <c r="H36" s="486"/>
      <c r="I36" s="486"/>
      <c r="J36" s="486"/>
      <c r="K36" s="486"/>
      <c r="M36" s="94"/>
      <c r="N36" s="94"/>
      <c r="O36" s="94"/>
      <c r="P36" s="94"/>
      <c r="Q36" s="94"/>
      <c r="R36" s="94"/>
      <c r="S36" s="94"/>
    </row>
    <row r="37" spans="1:20" ht="15" customHeight="1">
      <c r="A37" s="479" t="str">
        <f>A28</f>
        <v>II. čtvrtletí</v>
      </c>
      <c r="B37" s="479"/>
      <c r="C37" s="479"/>
      <c r="D37" s="479"/>
      <c r="E37" s="479"/>
      <c r="F37" s="126"/>
      <c r="G37" s="481" t="str">
        <f>A28</f>
        <v>II. čtvrtletí</v>
      </c>
      <c r="H37" s="481"/>
      <c r="I37" s="481"/>
      <c r="J37" s="481"/>
      <c r="K37" s="481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Duben</v>
      </c>
      <c r="C42" s="78">
        <f>E13</f>
        <v>5393.6479199999985</v>
      </c>
      <c r="D42" s="78">
        <f>I13</f>
        <v>79558.131000000008</v>
      </c>
      <c r="E42" s="76"/>
      <c r="F42" s="76"/>
      <c r="G42" s="76"/>
      <c r="H42" s="95" t="str">
        <f>A7</f>
        <v>Duben</v>
      </c>
      <c r="I42" s="96">
        <f>E13/E34</f>
        <v>6.4089308127002961E-2</v>
      </c>
      <c r="J42" s="96">
        <f>I13/I34</f>
        <v>0.51255122878539872</v>
      </c>
      <c r="K42" s="95"/>
    </row>
    <row r="43" spans="1:20" ht="15" customHeight="1">
      <c r="A43" s="95"/>
      <c r="B43" s="95" t="str">
        <f>A14</f>
        <v>Květen</v>
      </c>
      <c r="C43" s="78">
        <f>E20</f>
        <v>32598.787099999998</v>
      </c>
      <c r="D43" s="78">
        <f>I20</f>
        <v>15362.552</v>
      </c>
      <c r="E43" s="76"/>
      <c r="F43" s="76"/>
      <c r="G43" s="76"/>
      <c r="H43" s="95" t="str">
        <f>A14</f>
        <v>Květen</v>
      </c>
      <c r="I43" s="96">
        <f>E20/E34</f>
        <v>0.38735077669260803</v>
      </c>
      <c r="J43" s="96">
        <f>I20/I34</f>
        <v>9.8972849234977414E-2</v>
      </c>
      <c r="K43" s="95"/>
    </row>
    <row r="44" spans="1:20" ht="15" customHeight="1">
      <c r="A44" s="95"/>
      <c r="B44" s="95" t="str">
        <f>A21</f>
        <v>Červen</v>
      </c>
      <c r="C44" s="78">
        <f>E27</f>
        <v>46165.875899999999</v>
      </c>
      <c r="D44" s="78">
        <f>I27</f>
        <v>60299.178999999989</v>
      </c>
      <c r="E44" s="76"/>
      <c r="F44" s="76"/>
      <c r="G44" s="76"/>
      <c r="H44" s="95" t="str">
        <f>A21</f>
        <v>Červen</v>
      </c>
      <c r="I44" s="96">
        <f>E27/E34</f>
        <v>0.54855991518038894</v>
      </c>
      <c r="J44" s="96">
        <f>I27/I34</f>
        <v>0.38847592197962394</v>
      </c>
      <c r="K44" s="95"/>
    </row>
    <row r="45" spans="1:20" ht="15" customHeight="1">
      <c r="A45" s="95"/>
      <c r="B45" s="95"/>
      <c r="C45" s="78">
        <f>SUM(C42:C44)</f>
        <v>84158.310919999989</v>
      </c>
      <c r="D45" s="78">
        <f>SUM(D42:D44)</f>
        <v>155219.86199999999</v>
      </c>
      <c r="E45" s="95"/>
      <c r="F45" s="95"/>
      <c r="G45" s="95"/>
      <c r="H45" s="95"/>
      <c r="I45" s="97">
        <f>SUM(I42:I44)</f>
        <v>1</v>
      </c>
      <c r="J45" s="97">
        <f>SUM(J42:J44)</f>
        <v>1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504" t="s">
        <v>206</v>
      </c>
      <c r="B52" s="504"/>
      <c r="C52" s="504"/>
      <c r="D52" s="504"/>
      <c r="E52" s="504"/>
      <c r="F52" s="504"/>
      <c r="G52" s="504"/>
      <c r="H52" s="504"/>
      <c r="I52" s="504"/>
      <c r="J52" s="504"/>
      <c r="K52" s="504"/>
    </row>
    <row r="53" spans="1:11" ht="15" customHeight="1">
      <c r="A53" s="504"/>
      <c r="B53" s="504"/>
      <c r="C53" s="504"/>
      <c r="D53" s="504"/>
      <c r="E53" s="504"/>
      <c r="F53" s="504"/>
      <c r="G53" s="504"/>
      <c r="H53" s="504"/>
      <c r="I53" s="504"/>
      <c r="J53" s="504"/>
      <c r="K53" s="504"/>
    </row>
    <row r="54" spans="1:11" ht="15" customHeight="1">
      <c r="A54" s="504"/>
      <c r="B54" s="504"/>
      <c r="C54" s="504"/>
      <c r="D54" s="504"/>
      <c r="E54" s="504"/>
      <c r="F54" s="504"/>
      <c r="G54" s="504"/>
      <c r="H54" s="504"/>
      <c r="I54" s="504"/>
      <c r="J54" s="504"/>
      <c r="K54" s="504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  <mergeCell ref="A52:K54"/>
    <mergeCell ref="A7:B13"/>
    <mergeCell ref="A14:B20"/>
    <mergeCell ref="A21:B27"/>
    <mergeCell ref="A28:B34"/>
    <mergeCell ref="A36:E36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5" t="str">
        <f>"5.6 Spotřeba zemního plynu a teplota ovzduší: "&amp;LOWER(A3)</f>
        <v>5.6 Spotřeba zemního plynu a teplota ovzduší: duben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319"/>
      <c r="D2" s="320"/>
      <c r="E2" s="321"/>
      <c r="F2" s="321"/>
      <c r="G2" s="321"/>
      <c r="H2" s="321"/>
      <c r="I2" s="76"/>
      <c r="J2" s="76"/>
      <c r="K2" s="76"/>
    </row>
    <row r="3" spans="1:11" ht="18.75" customHeight="1">
      <c r="A3" s="512" t="str">
        <f>'3.1'!D5</f>
        <v>Duben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11" ht="24.95" customHeight="1">
      <c r="A4" s="129"/>
      <c r="B4" s="271">
        <f>'3.1'!A4</f>
        <v>2022</v>
      </c>
      <c r="C4" s="506" t="s">
        <v>60</v>
      </c>
      <c r="D4" s="507"/>
      <c r="E4" s="507"/>
      <c r="F4" s="508"/>
      <c r="G4" s="506" t="s">
        <v>187</v>
      </c>
      <c r="H4" s="507"/>
      <c r="I4" s="507"/>
      <c r="J4" s="507"/>
      <c r="K4" s="507"/>
    </row>
    <row r="5" spans="1:11" ht="22.5">
      <c r="A5" s="291"/>
      <c r="B5" s="490" t="s">
        <v>186</v>
      </c>
      <c r="C5" s="372"/>
      <c r="D5" s="373"/>
      <c r="E5" s="490" t="s">
        <v>283</v>
      </c>
      <c r="F5" s="510" t="s">
        <v>286</v>
      </c>
      <c r="G5" s="374" t="s">
        <v>62</v>
      </c>
      <c r="H5" s="375" t="s">
        <v>174</v>
      </c>
      <c r="I5" s="375" t="s">
        <v>175</v>
      </c>
      <c r="J5" s="375" t="s">
        <v>284</v>
      </c>
      <c r="K5" s="375" t="s">
        <v>285</v>
      </c>
    </row>
    <row r="6" spans="1:11" ht="24.95" customHeight="1">
      <c r="A6" s="376" t="s">
        <v>287</v>
      </c>
      <c r="B6" s="477"/>
      <c r="C6" s="224" t="s">
        <v>265</v>
      </c>
      <c r="D6" s="222" t="s">
        <v>266</v>
      </c>
      <c r="E6" s="477"/>
      <c r="F6" s="511"/>
      <c r="G6" s="377" t="s">
        <v>234</v>
      </c>
      <c r="H6" s="378" t="s">
        <v>234</v>
      </c>
      <c r="I6" s="378" t="s">
        <v>234</v>
      </c>
      <c r="J6" s="378" t="s">
        <v>234</v>
      </c>
      <c r="K6" s="378" t="s">
        <v>234</v>
      </c>
    </row>
    <row r="7" spans="1:11" ht="15.95" customHeight="1">
      <c r="A7" s="155" t="s">
        <v>20</v>
      </c>
      <c r="B7" s="130">
        <f>'5.2'!D13</f>
        <v>412513</v>
      </c>
      <c r="C7" s="332">
        <f>'5.2'!E13</f>
        <v>74550.468344230554</v>
      </c>
      <c r="D7" s="130">
        <f>'5.2'!F13</f>
        <v>809197.09410390782</v>
      </c>
      <c r="E7" s="326">
        <f>C7/$C$11</f>
        <v>0.11104359753919509</v>
      </c>
      <c r="F7" s="351">
        <f>'5.2'!H13</f>
        <v>-0.11815299784920522</v>
      </c>
      <c r="G7" s="349">
        <v>8.043333333333333</v>
      </c>
      <c r="H7" s="343">
        <v>14.7</v>
      </c>
      <c r="I7" s="343">
        <v>0.4</v>
      </c>
      <c r="J7" s="343">
        <v>8.6999999999999957</v>
      </c>
      <c r="K7" s="343">
        <v>-0.65666666666666273</v>
      </c>
    </row>
    <row r="8" spans="1:11" ht="15.95" customHeight="1">
      <c r="A8" s="155" t="s">
        <v>87</v>
      </c>
      <c r="B8" s="130">
        <f>'5.3'!D13</f>
        <v>2274243</v>
      </c>
      <c r="C8" s="332">
        <f>'5.3'!E13</f>
        <v>563107.41134476836</v>
      </c>
      <c r="D8" s="130">
        <f>'5.3'!F13</f>
        <v>6068092.2070999993</v>
      </c>
      <c r="E8" s="326">
        <f t="shared" ref="E8:E10" si="0">C8/$C$11</f>
        <v>0.83875358727435245</v>
      </c>
      <c r="F8" s="351">
        <f>'5.3'!H13</f>
        <v>-0.17761498793837041</v>
      </c>
      <c r="G8" s="349">
        <v>6.6155555555555559</v>
      </c>
      <c r="H8" s="344">
        <v>13.316666666666668</v>
      </c>
      <c r="I8" s="344">
        <v>-1</v>
      </c>
      <c r="J8" s="344">
        <v>7.6166666666666689</v>
      </c>
      <c r="K8" s="343">
        <v>-1.0011111111111131</v>
      </c>
    </row>
    <row r="9" spans="1:11" ht="15.95" customHeight="1">
      <c r="A9" s="155" t="s">
        <v>215</v>
      </c>
      <c r="B9" s="130">
        <f>'5.4'!D13</f>
        <v>114459</v>
      </c>
      <c r="C9" s="332">
        <f>'5.4'!E13</f>
        <v>28310.621999999999</v>
      </c>
      <c r="D9" s="130">
        <f>'5.4'!F13</f>
        <v>302456.97045000002</v>
      </c>
      <c r="E9" s="326">
        <f t="shared" si="0"/>
        <v>4.2168927778380265E-2</v>
      </c>
      <c r="F9" s="351">
        <f>'5.4'!H13</f>
        <v>-0.15222375840633531</v>
      </c>
      <c r="G9" s="349">
        <v>6.1700000000000008</v>
      </c>
      <c r="H9" s="344">
        <v>13.4</v>
      </c>
      <c r="I9" s="344">
        <v>-1.5</v>
      </c>
      <c r="J9" s="344">
        <v>7</v>
      </c>
      <c r="K9" s="343">
        <v>-0.82999999999999918</v>
      </c>
    </row>
    <row r="10" spans="1:11" ht="15.95" customHeight="1">
      <c r="A10" s="155" t="s">
        <v>32</v>
      </c>
      <c r="B10" s="130">
        <f>'5.5'!D13</f>
        <v>8808</v>
      </c>
      <c r="C10" s="332">
        <f>'5.5'!E13</f>
        <v>5393.6479199999985</v>
      </c>
      <c r="D10" s="130">
        <f>'5.5'!F13</f>
        <v>58237.643868999992</v>
      </c>
      <c r="E10" s="326">
        <f t="shared" si="0"/>
        <v>8.0338874080721663E-3</v>
      </c>
      <c r="F10" s="351">
        <f>'5.5'!H13</f>
        <v>-0.93220494433183698</v>
      </c>
      <c r="G10" s="349">
        <v>6.6166666666666663</v>
      </c>
      <c r="H10" s="344">
        <v>13.3</v>
      </c>
      <c r="I10" s="344">
        <v>-1</v>
      </c>
      <c r="J10" s="344">
        <v>8.6366666666666667</v>
      </c>
      <c r="K10" s="343">
        <v>-2.0200000000000005</v>
      </c>
    </row>
    <row r="11" spans="1:11" ht="15.95" customHeight="1">
      <c r="A11" s="160" t="s">
        <v>3</v>
      </c>
      <c r="B11" s="329">
        <f>SUM(B7:B10)</f>
        <v>2810023</v>
      </c>
      <c r="C11" s="333">
        <f>SUM(C7:C10)</f>
        <v>671362.14960899891</v>
      </c>
      <c r="D11" s="329">
        <f t="shared" ref="D11:E11" si="1">SUM(D7:D10)</f>
        <v>7237983.9155229069</v>
      </c>
      <c r="E11" s="330">
        <f t="shared" si="1"/>
        <v>1</v>
      </c>
      <c r="F11" s="352">
        <f>'5.1'!H14</f>
        <v>-0.2390047159009476</v>
      </c>
      <c r="G11" s="350">
        <v>6.6166666666666663</v>
      </c>
      <c r="H11" s="348">
        <v>13.3</v>
      </c>
      <c r="I11" s="348">
        <v>-1</v>
      </c>
      <c r="J11" s="348">
        <v>8.6366666666666667</v>
      </c>
      <c r="K11" s="347">
        <v>-2.0200000000000005</v>
      </c>
    </row>
    <row r="12" spans="1:11" ht="15" customHeight="1">
      <c r="A12" s="102"/>
      <c r="B12" s="95"/>
      <c r="C12" s="513" t="s">
        <v>245</v>
      </c>
      <c r="D12" s="513"/>
      <c r="E12" s="513"/>
      <c r="F12" s="513"/>
      <c r="G12" s="516" t="s">
        <v>246</v>
      </c>
      <c r="H12" s="516"/>
      <c r="I12" s="516"/>
      <c r="J12" s="516"/>
      <c r="K12" s="516"/>
    </row>
    <row r="13" spans="1:11" ht="15" customHeight="1">
      <c r="A13" s="95"/>
      <c r="B13" s="95"/>
      <c r="C13" s="513"/>
      <c r="D13" s="513"/>
      <c r="E13" s="513"/>
      <c r="F13" s="513"/>
      <c r="G13" s="516" t="s">
        <v>247</v>
      </c>
      <c r="H13" s="516"/>
      <c r="I13" s="516"/>
      <c r="J13" s="516"/>
      <c r="K13" s="516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7" t="s">
        <v>277</v>
      </c>
      <c r="B16" s="517"/>
      <c r="C16" s="517"/>
      <c r="D16" s="517"/>
      <c r="E16" s="517"/>
      <c r="F16" s="517" t="s">
        <v>278</v>
      </c>
      <c r="G16" s="517"/>
      <c r="H16" s="517"/>
      <c r="I16" s="517"/>
      <c r="J16" s="517"/>
      <c r="K16" s="517"/>
    </row>
    <row r="17" spans="1:11" ht="15" customHeight="1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</row>
    <row r="18" spans="1:11" ht="15" customHeight="1">
      <c r="A18" s="125"/>
      <c r="B18" s="514"/>
      <c r="C18" s="514"/>
      <c r="D18" s="125"/>
      <c r="E18" s="125"/>
      <c r="F18" s="125"/>
      <c r="G18" s="125"/>
      <c r="H18" s="514"/>
      <c r="I18" s="514"/>
      <c r="J18" s="125"/>
      <c r="K18" s="125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7" t="s">
        <v>279</v>
      </c>
      <c r="B33" s="480"/>
      <c r="C33" s="480"/>
      <c r="D33" s="480"/>
      <c r="E33" s="480"/>
      <c r="F33" s="517" t="s">
        <v>66</v>
      </c>
      <c r="G33" s="517"/>
      <c r="H33" s="517"/>
      <c r="I33" s="517"/>
      <c r="J33" s="517"/>
      <c r="K33" s="517"/>
    </row>
    <row r="34" spans="1:11" ht="15" customHeight="1">
      <c r="A34" s="480"/>
      <c r="B34" s="480"/>
      <c r="C34" s="480"/>
      <c r="D34" s="480"/>
      <c r="E34" s="480"/>
      <c r="F34" s="517"/>
      <c r="G34" s="517"/>
      <c r="H34" s="517"/>
      <c r="I34" s="517"/>
      <c r="J34" s="517"/>
      <c r="K34" s="517"/>
    </row>
    <row r="35" spans="1:11" ht="15" customHeight="1">
      <c r="A35" s="125"/>
      <c r="B35" s="514"/>
      <c r="C35" s="514"/>
      <c r="D35" s="125"/>
      <c r="E35" s="122"/>
      <c r="F35" s="128"/>
      <c r="G35" s="128"/>
      <c r="H35" s="515"/>
      <c r="I35" s="515"/>
      <c r="J35" s="128"/>
      <c r="K35" s="128"/>
    </row>
    <row r="36" spans="1:11" ht="15" customHeight="1">
      <c r="A36" s="125"/>
      <c r="B36" s="125"/>
      <c r="C36" s="125"/>
      <c r="D36" s="125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  <mergeCell ref="A1:K1"/>
    <mergeCell ref="G4:K4"/>
    <mergeCell ref="B5:B6"/>
    <mergeCell ref="C4:F4"/>
    <mergeCell ref="A2:B2"/>
    <mergeCell ref="E5:E6"/>
    <mergeCell ref="F5:F6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5" t="str">
        <f>"5.7 Spotřeba zemního plynu a teplota ovzduší: "&amp;LOWER(A3)</f>
        <v>5.7 Spotřeba zemního plynu a teplota ovzduší: květen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319"/>
      <c r="D2" s="320"/>
      <c r="E2" s="321"/>
      <c r="F2" s="321"/>
      <c r="G2" s="321"/>
      <c r="H2" s="321"/>
      <c r="I2" s="76"/>
      <c r="J2" s="76"/>
      <c r="K2" s="76"/>
    </row>
    <row r="3" spans="1:11" ht="18.75" customHeight="1">
      <c r="A3" s="512" t="str">
        <f>'3.1'!E5</f>
        <v>Květen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11" ht="24.95" customHeight="1">
      <c r="A4" s="129"/>
      <c r="B4" s="271">
        <f>'3.1'!A4</f>
        <v>2022</v>
      </c>
      <c r="C4" s="506" t="s">
        <v>60</v>
      </c>
      <c r="D4" s="507"/>
      <c r="E4" s="507"/>
      <c r="F4" s="508"/>
      <c r="G4" s="506" t="s">
        <v>187</v>
      </c>
      <c r="H4" s="507"/>
      <c r="I4" s="507"/>
      <c r="J4" s="507"/>
      <c r="K4" s="507"/>
    </row>
    <row r="5" spans="1:11" ht="22.5">
      <c r="A5" s="291"/>
      <c r="B5" s="490" t="s">
        <v>186</v>
      </c>
      <c r="C5" s="372"/>
      <c r="D5" s="373"/>
      <c r="E5" s="490" t="s">
        <v>283</v>
      </c>
      <c r="F5" s="510" t="s">
        <v>286</v>
      </c>
      <c r="G5" s="374" t="s">
        <v>62</v>
      </c>
      <c r="H5" s="375" t="s">
        <v>174</v>
      </c>
      <c r="I5" s="375" t="s">
        <v>175</v>
      </c>
      <c r="J5" s="375" t="s">
        <v>284</v>
      </c>
      <c r="K5" s="375" t="s">
        <v>285</v>
      </c>
    </row>
    <row r="6" spans="1:11" ht="24.95" customHeight="1">
      <c r="A6" s="376" t="s">
        <v>287</v>
      </c>
      <c r="B6" s="477"/>
      <c r="C6" s="224" t="s">
        <v>265</v>
      </c>
      <c r="D6" s="222" t="s">
        <v>266</v>
      </c>
      <c r="E6" s="477"/>
      <c r="F6" s="511"/>
      <c r="G6" s="377" t="s">
        <v>234</v>
      </c>
      <c r="H6" s="378" t="s">
        <v>234</v>
      </c>
      <c r="I6" s="378" t="s">
        <v>234</v>
      </c>
      <c r="J6" s="378" t="s">
        <v>234</v>
      </c>
      <c r="K6" s="378" t="s">
        <v>234</v>
      </c>
    </row>
    <row r="7" spans="1:11" ht="15.95" customHeight="1">
      <c r="A7" s="155" t="s">
        <v>20</v>
      </c>
      <c r="B7" s="130">
        <f>'5.2'!D20</f>
        <v>412088</v>
      </c>
      <c r="C7" s="332">
        <f>'5.2'!E20</f>
        <v>27622.192440521852</v>
      </c>
      <c r="D7" s="130">
        <f>'5.2'!F20</f>
        <v>298028.07840497722</v>
      </c>
      <c r="E7" s="326">
        <f>C7/$C$11</f>
        <v>7.1027164622113809E-2</v>
      </c>
      <c r="F7" s="351">
        <f>'5.2'!H20</f>
        <v>-0.47726439583147612</v>
      </c>
      <c r="G7" s="349">
        <v>16.396774193548389</v>
      </c>
      <c r="H7" s="343">
        <v>21.8</v>
      </c>
      <c r="I7" s="343">
        <v>10.1</v>
      </c>
      <c r="J7" s="343">
        <v>14</v>
      </c>
      <c r="K7" s="343">
        <v>2.3967741935483886</v>
      </c>
    </row>
    <row r="8" spans="1:11" ht="15.95" customHeight="1">
      <c r="A8" s="155" t="s">
        <v>87</v>
      </c>
      <c r="B8" s="130">
        <f>'5.3'!D20</f>
        <v>2271387</v>
      </c>
      <c r="C8" s="332">
        <f>'5.3'!E20</f>
        <v>313816.78660389746</v>
      </c>
      <c r="D8" s="130">
        <f>'5.3'!F20</f>
        <v>3371927.8527900004</v>
      </c>
      <c r="E8" s="326">
        <f t="shared" ref="E8:E10" si="0">C8/$C$11</f>
        <v>0.80694233853062969</v>
      </c>
      <c r="F8" s="351">
        <f>'5.3'!H20</f>
        <v>-0.36100723546649566</v>
      </c>
      <c r="G8" s="349">
        <v>14.49247311827957</v>
      </c>
      <c r="H8" s="344">
        <v>20.383333333333333</v>
      </c>
      <c r="I8" s="344">
        <v>9.7833333333333332</v>
      </c>
      <c r="J8" s="344">
        <v>13.016666666666657</v>
      </c>
      <c r="K8" s="343">
        <v>1.4758064516129128</v>
      </c>
    </row>
    <row r="9" spans="1:11" ht="15.95" customHeight="1">
      <c r="A9" s="155" t="s">
        <v>215</v>
      </c>
      <c r="B9" s="130">
        <f>'5.4'!D20</f>
        <v>114268</v>
      </c>
      <c r="C9" s="332">
        <f>'5.4'!E20</f>
        <v>14858.406010000001</v>
      </c>
      <c r="D9" s="130">
        <f>'5.4'!F20</f>
        <v>158931.53100000002</v>
      </c>
      <c r="E9" s="326">
        <f t="shared" si="0"/>
        <v>3.8206614191358415E-2</v>
      </c>
      <c r="F9" s="351">
        <f>'5.4'!H20</f>
        <v>-0.37583247151026966</v>
      </c>
      <c r="G9" s="349">
        <v>14.138709677419353</v>
      </c>
      <c r="H9" s="344">
        <v>21.2</v>
      </c>
      <c r="I9" s="344">
        <v>8.5</v>
      </c>
      <c r="J9" s="344">
        <v>12.399999999999995</v>
      </c>
      <c r="K9" s="343">
        <v>1.738709677419358</v>
      </c>
    </row>
    <row r="10" spans="1:11" ht="15.95" customHeight="1">
      <c r="A10" s="155" t="s">
        <v>32</v>
      </c>
      <c r="B10" s="130">
        <f>'5.5'!D20</f>
        <v>8819</v>
      </c>
      <c r="C10" s="332">
        <f>'5.5'!E20</f>
        <v>32598.787099999998</v>
      </c>
      <c r="D10" s="130">
        <f>'5.5'!F20</f>
        <v>350769.83049399988</v>
      </c>
      <c r="E10" s="326">
        <f t="shared" si="0"/>
        <v>8.3823882655898116E-2</v>
      </c>
      <c r="F10" s="351">
        <f>'5.5'!H20</f>
        <v>1.1219643129605028</v>
      </c>
      <c r="G10" s="349">
        <v>14.500000000000002</v>
      </c>
      <c r="H10" s="344">
        <v>20.6</v>
      </c>
      <c r="I10" s="344">
        <v>9.6999999999999993</v>
      </c>
      <c r="J10" s="344">
        <v>13.522580645161288</v>
      </c>
      <c r="K10" s="343">
        <v>0.97741935483871423</v>
      </c>
    </row>
    <row r="11" spans="1:11" ht="15.95" customHeight="1">
      <c r="A11" s="160" t="s">
        <v>3</v>
      </c>
      <c r="B11" s="329">
        <f>SUM(B7:B10)</f>
        <v>2806562</v>
      </c>
      <c r="C11" s="333">
        <f t="shared" ref="C11:E11" si="1">SUM(C7:C10)</f>
        <v>388896.1721544193</v>
      </c>
      <c r="D11" s="329">
        <f t="shared" si="1"/>
        <v>4179657.2926889779</v>
      </c>
      <c r="E11" s="330">
        <f t="shared" si="1"/>
        <v>1</v>
      </c>
      <c r="F11" s="352">
        <f>'5.1'!H21</f>
        <v>-0.33307804827258036</v>
      </c>
      <c r="G11" s="350">
        <v>14.500000000000002</v>
      </c>
      <c r="H11" s="348">
        <v>20.6</v>
      </c>
      <c r="I11" s="348">
        <v>9.6999999999999993</v>
      </c>
      <c r="J11" s="348">
        <v>13.522580645161288</v>
      </c>
      <c r="K11" s="347">
        <v>0.97741935483871423</v>
      </c>
    </row>
    <row r="12" spans="1:11" ht="15" customHeight="1">
      <c r="A12" s="102"/>
      <c r="B12" s="95"/>
      <c r="C12" s="513" t="s">
        <v>245</v>
      </c>
      <c r="D12" s="513"/>
      <c r="E12" s="513"/>
      <c r="F12" s="513"/>
      <c r="G12" s="516" t="s">
        <v>246</v>
      </c>
      <c r="H12" s="516"/>
      <c r="I12" s="516"/>
      <c r="J12" s="516"/>
      <c r="K12" s="516"/>
    </row>
    <row r="13" spans="1:11" ht="15" customHeight="1">
      <c r="A13" s="95"/>
      <c r="B13" s="95"/>
      <c r="C13" s="513"/>
      <c r="D13" s="513"/>
      <c r="E13" s="513"/>
      <c r="F13" s="513"/>
      <c r="G13" s="516" t="s">
        <v>247</v>
      </c>
      <c r="H13" s="516"/>
      <c r="I13" s="516"/>
      <c r="J13" s="516"/>
      <c r="K13" s="516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7" t="s">
        <v>277</v>
      </c>
      <c r="B16" s="517"/>
      <c r="C16" s="517"/>
      <c r="D16" s="517"/>
      <c r="E16" s="517"/>
      <c r="F16" s="517" t="s">
        <v>278</v>
      </c>
      <c r="G16" s="517"/>
      <c r="H16" s="517"/>
      <c r="I16" s="517"/>
      <c r="J16" s="517"/>
      <c r="K16" s="517"/>
    </row>
    <row r="17" spans="1:11" ht="15" customHeight="1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</row>
    <row r="18" spans="1:11" ht="15" customHeight="1">
      <c r="A18" s="121"/>
      <c r="B18" s="514"/>
      <c r="C18" s="514"/>
      <c r="D18" s="121"/>
      <c r="E18" s="121"/>
      <c r="F18" s="121"/>
      <c r="G18" s="124"/>
      <c r="H18" s="514"/>
      <c r="I18" s="514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7" t="s">
        <v>279</v>
      </c>
      <c r="B33" s="480"/>
      <c r="C33" s="480"/>
      <c r="D33" s="480"/>
      <c r="E33" s="480"/>
      <c r="F33" s="517" t="s">
        <v>66</v>
      </c>
      <c r="G33" s="517"/>
      <c r="H33" s="517"/>
      <c r="I33" s="517"/>
      <c r="J33" s="517"/>
      <c r="K33" s="517"/>
    </row>
    <row r="34" spans="1:11" ht="15" customHeight="1">
      <c r="A34" s="480"/>
      <c r="B34" s="480"/>
      <c r="C34" s="480"/>
      <c r="D34" s="480"/>
      <c r="E34" s="480"/>
      <c r="F34" s="517"/>
      <c r="G34" s="517"/>
      <c r="H34" s="517"/>
      <c r="I34" s="517"/>
      <c r="J34" s="517"/>
      <c r="K34" s="517"/>
    </row>
    <row r="35" spans="1:11" ht="15" customHeight="1">
      <c r="A35" s="121"/>
      <c r="B35" s="514"/>
      <c r="C35" s="514"/>
      <c r="D35" s="121"/>
      <c r="E35" s="122"/>
      <c r="F35" s="128"/>
      <c r="G35" s="128"/>
      <c r="H35" s="515"/>
      <c r="I35" s="515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  <mergeCell ref="B35:C35"/>
    <mergeCell ref="H35:I35"/>
    <mergeCell ref="H18:I18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5" t="str">
        <f>"5.8 Spotřeba zemního plynu a teplota ovzduší: "&amp;LOWER(A3)</f>
        <v>5.8 Spotřeba zemního plynu a teplota ovzduší: červen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319"/>
      <c r="D2" s="320"/>
      <c r="E2" s="321"/>
      <c r="F2" s="321"/>
      <c r="G2" s="321"/>
      <c r="H2" s="321"/>
      <c r="I2" s="76"/>
      <c r="J2" s="76"/>
      <c r="K2" s="76"/>
    </row>
    <row r="3" spans="1:11" ht="18.75" customHeight="1">
      <c r="A3" s="512" t="str">
        <f>'3.1'!F5</f>
        <v>Červen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11" ht="24.95" customHeight="1">
      <c r="A4" s="129"/>
      <c r="B4" s="271">
        <f>'3.1'!A4</f>
        <v>2022</v>
      </c>
      <c r="C4" s="506" t="s">
        <v>60</v>
      </c>
      <c r="D4" s="507"/>
      <c r="E4" s="507"/>
      <c r="F4" s="508"/>
      <c r="G4" s="506" t="s">
        <v>187</v>
      </c>
      <c r="H4" s="507"/>
      <c r="I4" s="507"/>
      <c r="J4" s="507"/>
      <c r="K4" s="507"/>
    </row>
    <row r="5" spans="1:11" ht="22.5">
      <c r="A5" s="291"/>
      <c r="B5" s="490" t="s">
        <v>186</v>
      </c>
      <c r="C5" s="372"/>
      <c r="D5" s="373"/>
      <c r="E5" s="490" t="s">
        <v>283</v>
      </c>
      <c r="F5" s="510" t="s">
        <v>286</v>
      </c>
      <c r="G5" s="374" t="s">
        <v>62</v>
      </c>
      <c r="H5" s="375" t="s">
        <v>174</v>
      </c>
      <c r="I5" s="375" t="s">
        <v>175</v>
      </c>
      <c r="J5" s="375" t="s">
        <v>284</v>
      </c>
      <c r="K5" s="375" t="s">
        <v>285</v>
      </c>
    </row>
    <row r="6" spans="1:11" ht="24.95" customHeight="1">
      <c r="A6" s="376" t="s">
        <v>287</v>
      </c>
      <c r="B6" s="477"/>
      <c r="C6" s="224" t="s">
        <v>265</v>
      </c>
      <c r="D6" s="222" t="s">
        <v>266</v>
      </c>
      <c r="E6" s="477"/>
      <c r="F6" s="511"/>
      <c r="G6" s="377" t="s">
        <v>234</v>
      </c>
      <c r="H6" s="378" t="s">
        <v>234</v>
      </c>
      <c r="I6" s="378" t="s">
        <v>234</v>
      </c>
      <c r="J6" s="378" t="s">
        <v>234</v>
      </c>
      <c r="K6" s="378" t="s">
        <v>234</v>
      </c>
    </row>
    <row r="7" spans="1:11" ht="15.95" customHeight="1">
      <c r="A7" s="155" t="s">
        <v>20</v>
      </c>
      <c r="B7" s="130">
        <f>'5.2'!D27</f>
        <v>411102</v>
      </c>
      <c r="C7" s="332">
        <f>'5.2'!E27</f>
        <v>19349.489106876652</v>
      </c>
      <c r="D7" s="130">
        <f>'5.2'!F27</f>
        <v>211928.35232301572</v>
      </c>
      <c r="E7" s="326">
        <f>C7/$C$11</f>
        <v>5.7527071591385745E-2</v>
      </c>
      <c r="F7" s="351">
        <f>'5.2'!H27</f>
        <v>-8.4607133608304533E-2</v>
      </c>
      <c r="G7" s="349">
        <v>20.776666666666664</v>
      </c>
      <c r="H7" s="343">
        <v>29.6</v>
      </c>
      <c r="I7" s="343">
        <v>16</v>
      </c>
      <c r="J7" s="343">
        <v>16.800000000000008</v>
      </c>
      <c r="K7" s="343">
        <v>3.9766666666666559</v>
      </c>
    </row>
    <row r="8" spans="1:11" ht="15.95" customHeight="1">
      <c r="A8" s="155" t="s">
        <v>87</v>
      </c>
      <c r="B8" s="130">
        <f>'5.3'!D27</f>
        <v>2268226</v>
      </c>
      <c r="C8" s="332">
        <f>'5.3'!E27</f>
        <v>259233.16487017696</v>
      </c>
      <c r="D8" s="130">
        <f>'5.3'!F27</f>
        <v>2807945.5085899993</v>
      </c>
      <c r="E8" s="326">
        <f t="shared" ref="E8:E10" si="0">C8/$C$11</f>
        <v>0.77071413885797335</v>
      </c>
      <c r="F8" s="351">
        <f>'5.3'!H27</f>
        <v>-0.19341793521604494</v>
      </c>
      <c r="G8" s="349">
        <v>18.967222222222226</v>
      </c>
      <c r="H8" s="344">
        <v>25.216666666666669</v>
      </c>
      <c r="I8" s="344">
        <v>14.616666666666667</v>
      </c>
      <c r="J8" s="344">
        <v>15.800000000000008</v>
      </c>
      <c r="K8" s="343">
        <v>3.1672222222222182</v>
      </c>
    </row>
    <row r="9" spans="1:11" ht="15.95" customHeight="1">
      <c r="A9" s="155" t="s">
        <v>215</v>
      </c>
      <c r="B9" s="130">
        <f>'5.4'!D27</f>
        <v>114065</v>
      </c>
      <c r="C9" s="332">
        <f>'5.4'!E27</f>
        <v>11605.965</v>
      </c>
      <c r="D9" s="130">
        <f>'5.4'!F27</f>
        <v>124974.32594999998</v>
      </c>
      <c r="E9" s="326">
        <f t="shared" si="0"/>
        <v>3.4505158030494837E-2</v>
      </c>
      <c r="F9" s="351">
        <f>'5.4'!H27</f>
        <v>-6.5945373763057549E-2</v>
      </c>
      <c r="G9" s="349">
        <v>18.5</v>
      </c>
      <c r="H9" s="344">
        <v>25</v>
      </c>
      <c r="I9" s="344">
        <v>14.9</v>
      </c>
      <c r="J9" s="344">
        <v>15.300000000000008</v>
      </c>
      <c r="K9" s="343">
        <v>3.1999999999999922</v>
      </c>
    </row>
    <row r="10" spans="1:11" ht="15.95" customHeight="1">
      <c r="A10" s="155" t="s">
        <v>32</v>
      </c>
      <c r="B10" s="130">
        <f>'5.5'!D27</f>
        <v>8823</v>
      </c>
      <c r="C10" s="332">
        <f>'5.5'!E27</f>
        <v>46165.875899999999</v>
      </c>
      <c r="D10" s="130">
        <f>'5.5'!F27</f>
        <v>504675.2321139999</v>
      </c>
      <c r="E10" s="326">
        <f t="shared" si="0"/>
        <v>0.13725363152014614</v>
      </c>
      <c r="F10" s="351">
        <f>'5.5'!H27</f>
        <v>-0.23438632721682651</v>
      </c>
      <c r="G10" s="349">
        <v>18.956666666666667</v>
      </c>
      <c r="H10" s="344">
        <v>25</v>
      </c>
      <c r="I10" s="344">
        <v>14.7</v>
      </c>
      <c r="J10" s="344">
        <v>16.59</v>
      </c>
      <c r="K10" s="343">
        <v>2.3666666666666671</v>
      </c>
    </row>
    <row r="11" spans="1:11" ht="15.95" customHeight="1">
      <c r="A11" s="160" t="s">
        <v>3</v>
      </c>
      <c r="B11" s="329">
        <f>SUM(B7:B10)</f>
        <v>2802216</v>
      </c>
      <c r="C11" s="333">
        <f t="shared" ref="C11:E11" si="1">SUM(C7:C10)</f>
        <v>336354.4948770536</v>
      </c>
      <c r="D11" s="329">
        <f t="shared" si="1"/>
        <v>3649523.4189770147</v>
      </c>
      <c r="E11" s="330">
        <f t="shared" si="1"/>
        <v>1</v>
      </c>
      <c r="F11" s="352">
        <f>'5.1'!H28</f>
        <v>-0.19001388455883242</v>
      </c>
      <c r="G11" s="350">
        <v>18.956666666666667</v>
      </c>
      <c r="H11" s="348">
        <v>25</v>
      </c>
      <c r="I11" s="348">
        <v>14.7</v>
      </c>
      <c r="J11" s="348">
        <v>16.59</v>
      </c>
      <c r="K11" s="347">
        <v>2.3666666666666671</v>
      </c>
    </row>
    <row r="12" spans="1:11" ht="15" customHeight="1">
      <c r="A12" s="102"/>
      <c r="B12" s="95"/>
      <c r="C12" s="513" t="s">
        <v>245</v>
      </c>
      <c r="D12" s="513"/>
      <c r="E12" s="513"/>
      <c r="F12" s="513"/>
      <c r="G12" s="516" t="s">
        <v>246</v>
      </c>
      <c r="H12" s="516"/>
      <c r="I12" s="516"/>
      <c r="J12" s="516"/>
      <c r="K12" s="516"/>
    </row>
    <row r="13" spans="1:11" ht="15" customHeight="1">
      <c r="A13" s="95"/>
      <c r="B13" s="95"/>
      <c r="C13" s="513"/>
      <c r="D13" s="513"/>
      <c r="E13" s="513"/>
      <c r="F13" s="513"/>
      <c r="G13" s="516" t="s">
        <v>247</v>
      </c>
      <c r="H13" s="516"/>
      <c r="I13" s="516"/>
      <c r="J13" s="516"/>
      <c r="K13" s="516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7" t="s">
        <v>277</v>
      </c>
      <c r="B16" s="517"/>
      <c r="C16" s="517"/>
      <c r="D16" s="517"/>
      <c r="E16" s="517"/>
      <c r="F16" s="517" t="s">
        <v>278</v>
      </c>
      <c r="G16" s="517"/>
      <c r="H16" s="517"/>
      <c r="I16" s="517"/>
      <c r="J16" s="517"/>
      <c r="K16" s="517"/>
    </row>
    <row r="17" spans="1:11" ht="15" customHeight="1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</row>
    <row r="18" spans="1:11" ht="15" customHeight="1">
      <c r="A18" s="121"/>
      <c r="B18" s="514"/>
      <c r="C18" s="514"/>
      <c r="D18" s="121"/>
      <c r="E18" s="121"/>
      <c r="F18" s="121"/>
      <c r="G18" s="121"/>
      <c r="H18" s="514"/>
      <c r="I18" s="514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7" t="s">
        <v>279</v>
      </c>
      <c r="B33" s="480"/>
      <c r="C33" s="480"/>
      <c r="D33" s="480"/>
      <c r="E33" s="480"/>
      <c r="F33" s="517" t="s">
        <v>66</v>
      </c>
      <c r="G33" s="517"/>
      <c r="H33" s="517"/>
      <c r="I33" s="517"/>
      <c r="J33" s="517"/>
      <c r="K33" s="517"/>
    </row>
    <row r="34" spans="1:11" ht="15" customHeight="1">
      <c r="A34" s="480"/>
      <c r="B34" s="480"/>
      <c r="C34" s="480"/>
      <c r="D34" s="480"/>
      <c r="E34" s="480"/>
      <c r="F34" s="517"/>
      <c r="G34" s="517"/>
      <c r="H34" s="517"/>
      <c r="I34" s="517"/>
      <c r="J34" s="517"/>
      <c r="K34" s="517"/>
    </row>
    <row r="35" spans="1:11" ht="15" customHeight="1">
      <c r="A35" s="121"/>
      <c r="B35" s="514"/>
      <c r="C35" s="514"/>
      <c r="D35" s="121"/>
      <c r="E35" s="122"/>
      <c r="F35" s="128"/>
      <c r="G35" s="128"/>
      <c r="H35" s="515"/>
      <c r="I35" s="515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A2:B2"/>
    <mergeCell ref="C4:F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5" t="str">
        <f>"5.9 Spotřeba zemního plynu a teplota ovzduší: "&amp;(A3)</f>
        <v>5.9 Spotřeba zemního plynu a teplota ovzduší: II. čtvrtletí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319"/>
      <c r="D2" s="320"/>
      <c r="E2" s="321"/>
      <c r="F2" s="321"/>
      <c r="G2" s="321"/>
      <c r="H2" s="321"/>
      <c r="I2" s="76"/>
      <c r="J2" s="76"/>
      <c r="K2" s="76"/>
    </row>
    <row r="3" spans="1:11" ht="18.75" customHeight="1">
      <c r="A3" s="512" t="str">
        <f>'3.1'!G5</f>
        <v>II. čtvrtletí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11" ht="24.95" customHeight="1">
      <c r="A4" s="129"/>
      <c r="B4" s="271">
        <f>'3.1'!A4</f>
        <v>2022</v>
      </c>
      <c r="C4" s="506" t="s">
        <v>60</v>
      </c>
      <c r="D4" s="507"/>
      <c r="E4" s="507"/>
      <c r="F4" s="508"/>
      <c r="G4" s="506" t="s">
        <v>187</v>
      </c>
      <c r="H4" s="507"/>
      <c r="I4" s="507"/>
      <c r="J4" s="507"/>
      <c r="K4" s="507"/>
    </row>
    <row r="5" spans="1:11" ht="22.5" customHeight="1">
      <c r="A5" s="291"/>
      <c r="B5" s="510" t="s">
        <v>186</v>
      </c>
      <c r="C5" s="372"/>
      <c r="D5" s="373"/>
      <c r="E5" s="520" t="s">
        <v>283</v>
      </c>
      <c r="F5" s="521" t="s">
        <v>286</v>
      </c>
      <c r="G5" s="374" t="s">
        <v>62</v>
      </c>
      <c r="H5" s="375" t="s">
        <v>174</v>
      </c>
      <c r="I5" s="375" t="s">
        <v>175</v>
      </c>
      <c r="J5" s="375" t="s">
        <v>284</v>
      </c>
      <c r="K5" s="375" t="s">
        <v>285</v>
      </c>
    </row>
    <row r="6" spans="1:11" ht="24.95" customHeight="1">
      <c r="A6" s="376" t="s">
        <v>287</v>
      </c>
      <c r="B6" s="511"/>
      <c r="C6" s="224" t="s">
        <v>265</v>
      </c>
      <c r="D6" s="222" t="s">
        <v>266</v>
      </c>
      <c r="E6" s="477"/>
      <c r="F6" s="511"/>
      <c r="G6" s="377" t="s">
        <v>234</v>
      </c>
      <c r="H6" s="378" t="s">
        <v>234</v>
      </c>
      <c r="I6" s="378" t="s">
        <v>234</v>
      </c>
      <c r="J6" s="378" t="s">
        <v>234</v>
      </c>
      <c r="K6" s="378" t="s">
        <v>234</v>
      </c>
    </row>
    <row r="7" spans="1:11" ht="15.95" customHeight="1">
      <c r="A7" s="155" t="s">
        <v>20</v>
      </c>
      <c r="B7" s="130">
        <f>'5.2'!D34</f>
        <v>411102</v>
      </c>
      <c r="C7" s="332">
        <f>'5.2'!E34</f>
        <v>121522.14989162907</v>
      </c>
      <c r="D7" s="130">
        <f>'5.2'!F34</f>
        <v>1319153.5248319008</v>
      </c>
      <c r="E7" s="326">
        <f>C7/$C$11</f>
        <v>8.7012054052280935E-2</v>
      </c>
      <c r="F7" s="351">
        <f>'5.2'!H34</f>
        <v>-0.23338833788494803</v>
      </c>
      <c r="G7" s="349">
        <f>AVERAGE('5.6'!G7,'5.7'!G7,'5.8'!G7)</f>
        <v>15.072258064516129</v>
      </c>
      <c r="H7" s="343">
        <f>MAX('5.6'!H7,'5.7'!H7,'5.8'!H7)</f>
        <v>29.6</v>
      </c>
      <c r="I7" s="343">
        <f>MIN('5.6'!I7,'5.7'!I7,'5.8'!I7)</f>
        <v>0.4</v>
      </c>
      <c r="J7" s="343">
        <f>AVERAGE('5.6'!J7,'5.7'!J7,'5.8'!J7)</f>
        <v>13.166666666666666</v>
      </c>
      <c r="K7" s="343">
        <f>G7-J7</f>
        <v>1.905591397849463</v>
      </c>
    </row>
    <row r="8" spans="1:11" ht="15.95" customHeight="1">
      <c r="A8" s="155" t="s">
        <v>87</v>
      </c>
      <c r="B8" s="130">
        <f>'5.3'!D34</f>
        <v>2268226</v>
      </c>
      <c r="C8" s="332">
        <f>'5.3'!E34</f>
        <v>1136157.362818843</v>
      </c>
      <c r="D8" s="130">
        <f>'5.3'!F34</f>
        <v>12247965.56848</v>
      </c>
      <c r="E8" s="326">
        <f t="shared" ref="E8:E10" si="0">C8/$C$11</f>
        <v>0.8135091911528135</v>
      </c>
      <c r="F8" s="351">
        <f>'5.3'!H34</f>
        <v>-0.2411622470413968</v>
      </c>
      <c r="G8" s="349">
        <f>AVERAGE('5.6'!G8,'5.7'!G8,'5.8'!G8)</f>
        <v>13.358416965352452</v>
      </c>
      <c r="H8" s="344">
        <f>MAX('5.6'!H8,'5.7'!H8,'5.8'!H8)</f>
        <v>25.216666666666669</v>
      </c>
      <c r="I8" s="344">
        <f>MIN('5.6'!I8,'5.7'!I8,'5.8'!I8)</f>
        <v>-1</v>
      </c>
      <c r="J8" s="344">
        <f>AVERAGE('5.6'!J8,'5.7'!J8,'5.8'!J8)</f>
        <v>12.144444444444446</v>
      </c>
      <c r="K8" s="343">
        <f t="shared" ref="K8:K11" si="1">G8-J8</f>
        <v>1.2139725209080066</v>
      </c>
    </row>
    <row r="9" spans="1:11" ht="15.95" customHeight="1">
      <c r="A9" s="155" t="s">
        <v>215</v>
      </c>
      <c r="B9" s="130">
        <f>'5.4'!D34</f>
        <v>114065</v>
      </c>
      <c r="C9" s="332">
        <f>'5.4'!E34</f>
        <v>54774.993009999998</v>
      </c>
      <c r="D9" s="130">
        <f>'5.4'!F34</f>
        <v>586362.82740000007</v>
      </c>
      <c r="E9" s="326">
        <f t="shared" si="0"/>
        <v>3.9219884249494644E-2</v>
      </c>
      <c r="F9" s="351">
        <f>'5.4'!H34</f>
        <v>-0.21327986331132653</v>
      </c>
      <c r="G9" s="349">
        <f>AVERAGE('5.6'!G9,'5.7'!G9,'5.8'!G9)</f>
        <v>12.936236559139786</v>
      </c>
      <c r="H9" s="344">
        <f>MAX('5.6'!H9,'5.7'!H9,'5.8'!H9)</f>
        <v>25</v>
      </c>
      <c r="I9" s="344">
        <f>MIN('5.6'!I9,'5.7'!I9,'5.8'!I9)</f>
        <v>-1.5</v>
      </c>
      <c r="J9" s="344">
        <f>AVERAGE('5.6'!J9,'5.7'!J9,'5.8'!J9)</f>
        <v>11.566666666666668</v>
      </c>
      <c r="K9" s="343">
        <f t="shared" si="1"/>
        <v>1.3695698924731179</v>
      </c>
    </row>
    <row r="10" spans="1:11" ht="15.95" customHeight="1">
      <c r="A10" s="155" t="s">
        <v>32</v>
      </c>
      <c r="B10" s="130">
        <f>'5.5'!D34</f>
        <v>8823</v>
      </c>
      <c r="C10" s="332">
        <f>'5.5'!E34</f>
        <v>84158.310920000004</v>
      </c>
      <c r="D10" s="130">
        <f>'5.5'!F34</f>
        <v>913682.7064769998</v>
      </c>
      <c r="E10" s="326">
        <f t="shared" si="0"/>
        <v>6.0258870545410979E-2</v>
      </c>
      <c r="F10" s="351">
        <f>'5.5'!H34</f>
        <v>-0.45781222946841682</v>
      </c>
      <c r="G10" s="349">
        <f>AVERAGE('5.6'!G10,'5.7'!G10,'5.8'!G10)</f>
        <v>13.357777777777779</v>
      </c>
      <c r="H10" s="344">
        <f>MAX('5.6'!H10,'5.7'!H10,'5.8'!H10)</f>
        <v>25</v>
      </c>
      <c r="I10" s="344">
        <f>MIN('5.6'!I10,'5.7'!I10,'5.8'!I10)</f>
        <v>-1</v>
      </c>
      <c r="J10" s="344">
        <f>AVERAGE('5.6'!J10,'5.7'!J10,'5.8'!J10)</f>
        <v>12.916415770609319</v>
      </c>
      <c r="K10" s="343">
        <f t="shared" si="1"/>
        <v>0.44136200716845941</v>
      </c>
    </row>
    <row r="11" spans="1:11" ht="15.95" customHeight="1">
      <c r="A11" s="160" t="s">
        <v>3</v>
      </c>
      <c r="B11" s="329">
        <f>'5.1'!D35</f>
        <v>2802216</v>
      </c>
      <c r="C11" s="333">
        <f>'5.1'!E35</f>
        <v>1396612.816640472</v>
      </c>
      <c r="D11" s="329">
        <f>'5.1'!F35</f>
        <v>15067164.627188899</v>
      </c>
      <c r="E11" s="330">
        <f t="shared" ref="E11" si="2">SUM(E7:E10)</f>
        <v>1</v>
      </c>
      <c r="F11" s="352">
        <f>'5.1'!H35</f>
        <v>-0.25735645749786196</v>
      </c>
      <c r="G11" s="350">
        <f>AVERAGE('5.6'!G11,'5.7'!G11,'5.8'!G11)</f>
        <v>13.357777777777779</v>
      </c>
      <c r="H11" s="348">
        <f>MAX('5.6'!H11,'5.7'!H11,'5.8'!H11)</f>
        <v>25</v>
      </c>
      <c r="I11" s="348">
        <f>MIN('5.6'!I11,'5.7'!I11,'5.8'!I11)</f>
        <v>-1</v>
      </c>
      <c r="J11" s="348">
        <f>AVERAGE('5.6'!J11,'5.7'!J11,'5.8'!J11)</f>
        <v>12.916415770609319</v>
      </c>
      <c r="K11" s="347">
        <f t="shared" si="1"/>
        <v>0.44136200716845941</v>
      </c>
    </row>
    <row r="12" spans="1:11" ht="15" customHeight="1">
      <c r="A12" s="102"/>
      <c r="B12" s="95"/>
      <c r="C12" s="513" t="s">
        <v>245</v>
      </c>
      <c r="D12" s="513"/>
      <c r="E12" s="513"/>
      <c r="F12" s="513"/>
      <c r="G12" s="516" t="s">
        <v>246</v>
      </c>
      <c r="H12" s="516"/>
      <c r="I12" s="516"/>
      <c r="J12" s="516"/>
      <c r="K12" s="516"/>
    </row>
    <row r="13" spans="1:11" ht="15" customHeight="1">
      <c r="A13" s="95"/>
      <c r="B13" s="95"/>
      <c r="C13" s="513"/>
      <c r="D13" s="513"/>
      <c r="E13" s="513"/>
      <c r="F13" s="513"/>
      <c r="G13" s="516" t="s">
        <v>247</v>
      </c>
      <c r="H13" s="516"/>
      <c r="I13" s="516"/>
      <c r="J13" s="516"/>
      <c r="K13" s="516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517" t="s">
        <v>277</v>
      </c>
      <c r="B16" s="517"/>
      <c r="C16" s="517"/>
      <c r="D16" s="517"/>
      <c r="E16" s="517"/>
      <c r="F16" s="517" t="s">
        <v>278</v>
      </c>
      <c r="G16" s="517"/>
      <c r="H16" s="517"/>
      <c r="I16" s="517"/>
      <c r="J16" s="517"/>
      <c r="K16" s="517"/>
    </row>
    <row r="17" spans="1:11" ht="15" customHeight="1">
      <c r="A17" s="517"/>
      <c r="B17" s="517"/>
      <c r="C17" s="517"/>
      <c r="D17" s="517"/>
      <c r="E17" s="517"/>
      <c r="F17" s="517"/>
      <c r="G17" s="517"/>
      <c r="H17" s="517"/>
      <c r="I17" s="517"/>
      <c r="J17" s="517"/>
      <c r="K17" s="517"/>
    </row>
    <row r="18" spans="1:11" ht="15" customHeight="1">
      <c r="A18" s="121"/>
      <c r="B18" s="519"/>
      <c r="C18" s="519"/>
      <c r="D18" s="121"/>
      <c r="E18" s="121"/>
      <c r="F18" s="121"/>
      <c r="G18" s="121"/>
      <c r="H18" s="519"/>
      <c r="I18" s="519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17" t="s">
        <v>279</v>
      </c>
      <c r="B33" s="480"/>
      <c r="C33" s="480"/>
      <c r="D33" s="480"/>
      <c r="E33" s="480"/>
      <c r="F33" s="517" t="s">
        <v>66</v>
      </c>
      <c r="G33" s="517"/>
      <c r="H33" s="517"/>
      <c r="I33" s="517"/>
      <c r="J33" s="517"/>
      <c r="K33" s="517"/>
    </row>
    <row r="34" spans="1:11" ht="15" customHeight="1">
      <c r="A34" s="480"/>
      <c r="B34" s="480"/>
      <c r="C34" s="480"/>
      <c r="D34" s="480"/>
      <c r="E34" s="480"/>
      <c r="F34" s="517"/>
      <c r="G34" s="517"/>
      <c r="H34" s="517"/>
      <c r="I34" s="517"/>
      <c r="J34" s="517"/>
      <c r="K34" s="517"/>
    </row>
    <row r="35" spans="1:11" ht="15" customHeight="1">
      <c r="A35" s="121"/>
      <c r="B35" s="519"/>
      <c r="C35" s="519"/>
      <c r="D35" s="121"/>
      <c r="E35" s="122"/>
      <c r="F35" s="128"/>
      <c r="G35" s="128"/>
      <c r="H35" s="518"/>
      <c r="I35" s="518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4:F4"/>
    <mergeCell ref="A2:B2"/>
    <mergeCell ref="A1:K1"/>
    <mergeCell ref="G4:K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5.85546875" style="47" customWidth="1"/>
    <col min="2" max="2" width="90.28515625" style="46" customWidth="1"/>
    <col min="3" max="3" width="3.28515625" style="47" bestFit="1" customWidth="1"/>
    <col min="4" max="4" width="9.140625" style="47" customWidth="1"/>
    <col min="5" max="5" width="9.140625" style="47" hidden="1" customWidth="1"/>
    <col min="6" max="16384" width="9.140625" style="47"/>
  </cols>
  <sheetData>
    <row r="1" spans="1:5" ht="20.25">
      <c r="A1" s="69" t="s">
        <v>249</v>
      </c>
    </row>
    <row r="2" spans="1:5" ht="6" customHeight="1"/>
    <row r="3" spans="1:5" ht="15">
      <c r="A3" s="406" t="str">
        <f>MID(E3,1,1+IF(MID(E3,2,1)&lt;&gt;" ",IF(MID(E3,3,1)&lt;&gt;" ",IF(MID(E3,4,1)&lt;&gt;" ",3,2),1),0))</f>
        <v>1</v>
      </c>
      <c r="B3" s="407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5">
      <c r="A4" s="406" t="str">
        <f t="shared" ref="A4:A36" si="0">MID(E4,1,1+IF(MID(E4,2,1)&lt;&gt;" ",IF(MID(E4,3,1)&lt;&gt;" ",IF(MID(E4,4,1)&lt;&gt;" ",3,2),1),0))</f>
        <v>2</v>
      </c>
      <c r="B4" s="407" t="str">
        <f t="shared" ref="B4:B36" si="1">MID(E4,3+IF(MID(E4,2,1)&lt;&gt;" ",IF(MID(E4,3,1)&lt;&gt;" ",IF(MID(E4,4,1)&lt;&gt;" ",3,2),1),0),100)</f>
        <v>STRUČNÝ PŘEHLED ZA II. ČTVRTLETÍ 2022</v>
      </c>
      <c r="C4" s="48">
        <v>6</v>
      </c>
      <c r="E4" s="49" t="str">
        <f>'2'!A1</f>
        <v>2 STRUČNÝ PŘEHLED ZA II. ČTVRTLETÍ 2022</v>
      </c>
    </row>
    <row r="5" spans="1:5" ht="15">
      <c r="A5" s="406" t="str">
        <f t="shared" si="0"/>
        <v>3</v>
      </c>
      <c r="B5" s="407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5">
      <c r="A6" s="406" t="str">
        <f t="shared" si="0"/>
        <v>3.1</v>
      </c>
      <c r="B6" s="407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5">
      <c r="A7" s="406" t="str">
        <f t="shared" si="0"/>
        <v>3.2</v>
      </c>
      <c r="B7" s="407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5">
      <c r="A8" s="406" t="str">
        <f t="shared" si="0"/>
        <v>4</v>
      </c>
      <c r="B8" s="407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5">
      <c r="A9" s="406" t="str">
        <f t="shared" si="0"/>
        <v>4.1</v>
      </c>
      <c r="B9" s="407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5">
      <c r="A10" s="406" t="str">
        <f t="shared" si="0"/>
        <v>4.2</v>
      </c>
      <c r="B10" s="407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5">
      <c r="A11" s="406" t="str">
        <f t="shared" si="0"/>
        <v>4.3</v>
      </c>
      <c r="B11" s="407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5">
      <c r="A12" s="406" t="str">
        <f t="shared" si="0"/>
        <v>5</v>
      </c>
      <c r="B12" s="407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5">
      <c r="A13" s="406" t="str">
        <f t="shared" si="0"/>
        <v>5.1</v>
      </c>
      <c r="B13" s="407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5">
      <c r="A14" s="406" t="str">
        <f t="shared" si="0"/>
        <v>5.2</v>
      </c>
      <c r="B14" s="407" t="str">
        <f t="shared" si="1"/>
        <v>Spotřeba zemního plynu u společnosti PP Distribuce</v>
      </c>
      <c r="C14" s="48">
        <v>13</v>
      </c>
      <c r="E14" s="51" t="str">
        <f>'5.2'!A1</f>
        <v>5.2 Spotřeba zemního plynu u společnosti PP Distribuce</v>
      </c>
    </row>
    <row r="15" spans="1:5" ht="15">
      <c r="A15" s="406" t="str">
        <f t="shared" si="0"/>
        <v>5.3</v>
      </c>
      <c r="B15" s="407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5">
      <c r="A16" s="406" t="str">
        <f t="shared" si="0"/>
        <v>5.4</v>
      </c>
      <c r="B16" s="407" t="str">
        <f t="shared" si="1"/>
        <v>Spotřeba zemního plynu u společnosti EG.D</v>
      </c>
      <c r="C16" s="48">
        <v>15</v>
      </c>
      <c r="E16" s="52" t="str">
        <f>'5.4'!A1</f>
        <v>5.4 Spotřeba zemního plynu u společnosti EG.D</v>
      </c>
    </row>
    <row r="17" spans="1:5" ht="15">
      <c r="A17" s="406" t="str">
        <f t="shared" si="0"/>
        <v>5.5</v>
      </c>
      <c r="B17" s="407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5">
      <c r="A18" s="406" t="str">
        <f t="shared" si="0"/>
        <v>5.6</v>
      </c>
      <c r="B18" s="407" t="str">
        <f t="shared" si="1"/>
        <v>Spotřeba zemního plynu a teplota ovzduší: duben</v>
      </c>
      <c r="C18" s="48">
        <v>17</v>
      </c>
      <c r="E18" s="50" t="str">
        <f>'5.6'!A1</f>
        <v>5.6 Spotřeba zemního plynu a teplota ovzduší: duben</v>
      </c>
    </row>
    <row r="19" spans="1:5" ht="15">
      <c r="A19" s="406" t="str">
        <f t="shared" si="0"/>
        <v>5.7</v>
      </c>
      <c r="B19" s="407" t="str">
        <f t="shared" si="1"/>
        <v>Spotřeba zemního plynu a teplota ovzduší: květen</v>
      </c>
      <c r="C19" s="48">
        <v>18</v>
      </c>
      <c r="E19" s="50" t="str">
        <f>'5.7'!A1</f>
        <v>5.7 Spotřeba zemního plynu a teplota ovzduší: květen</v>
      </c>
    </row>
    <row r="20" spans="1:5" ht="15">
      <c r="A20" s="406" t="str">
        <f t="shared" si="0"/>
        <v>5.8</v>
      </c>
      <c r="B20" s="407" t="str">
        <f t="shared" si="1"/>
        <v>Spotřeba zemního plynu a teplota ovzduší: červen</v>
      </c>
      <c r="C20" s="48">
        <v>19</v>
      </c>
      <c r="E20" s="50" t="str">
        <f>'5.8'!A1</f>
        <v>5.8 Spotřeba zemního plynu a teplota ovzduší: červen</v>
      </c>
    </row>
    <row r="21" spans="1:5" ht="15">
      <c r="A21" s="406" t="str">
        <f t="shared" si="0"/>
        <v>5.9</v>
      </c>
      <c r="B21" s="407" t="str">
        <f t="shared" si="1"/>
        <v>Spotřeba zemního plynu a teplota ovzduší: II. čtvrtletí</v>
      </c>
      <c r="C21" s="48">
        <v>20</v>
      </c>
      <c r="E21" s="50" t="str">
        <f>'5.9'!A1</f>
        <v>5.9 Spotřeba zemního plynu a teplota ovzduší: II. čtvrtletí</v>
      </c>
    </row>
    <row r="22" spans="1:5" ht="15">
      <c r="A22" s="406" t="str">
        <f t="shared" si="0"/>
        <v>5.10</v>
      </c>
      <c r="B22" s="407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5">
      <c r="A23" s="406" t="str">
        <f t="shared" si="0"/>
        <v>6</v>
      </c>
      <c r="B23" s="407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5">
      <c r="A24" s="406" t="str">
        <f t="shared" si="0"/>
        <v>6.1</v>
      </c>
      <c r="B24" s="407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5">
      <c r="A25" s="406" t="str">
        <f t="shared" si="0"/>
        <v>6.2</v>
      </c>
      <c r="B25" s="407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5">
      <c r="A26" s="406" t="str">
        <f t="shared" si="0"/>
        <v>6.3</v>
      </c>
      <c r="B26" s="407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5">
      <c r="A27" s="406" t="str">
        <f t="shared" si="0"/>
        <v>6.4</v>
      </c>
      <c r="B27" s="407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5">
      <c r="A28" s="406" t="str">
        <f t="shared" si="0"/>
        <v>6.5</v>
      </c>
      <c r="B28" s="407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5">
      <c r="A29" s="406" t="str">
        <f t="shared" si="0"/>
        <v>6.6</v>
      </c>
      <c r="B29" s="407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5">
      <c r="A30" s="406" t="str">
        <f t="shared" si="0"/>
        <v>6.7</v>
      </c>
      <c r="B30" s="407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5">
      <c r="A31" s="406" t="str">
        <f t="shared" si="0"/>
        <v>6.8</v>
      </c>
      <c r="B31" s="407" t="str">
        <f t="shared" si="1"/>
        <v>Spotřeba zemního plynu a teplota ovzduší podle krajů: duben</v>
      </c>
      <c r="C31" s="48">
        <v>29</v>
      </c>
      <c r="E31" s="50" t="str">
        <f>'6.8'!A1</f>
        <v>6.8 Spotřeba zemního plynu a teplota ovzduší podle krajů: duben</v>
      </c>
    </row>
    <row r="32" spans="1:5" ht="15">
      <c r="A32" s="406" t="str">
        <f t="shared" si="0"/>
        <v>6.9</v>
      </c>
      <c r="B32" s="407" t="str">
        <f t="shared" si="1"/>
        <v>Spotřeba zemního plynu a teplota ovzduší podle krajů: květen</v>
      </c>
      <c r="C32" s="48">
        <v>30</v>
      </c>
      <c r="E32" s="50" t="str">
        <f>'6.9'!A1</f>
        <v>6.9 Spotřeba zemního plynu a teplota ovzduší podle krajů: květen</v>
      </c>
    </row>
    <row r="33" spans="1:5" ht="15">
      <c r="A33" s="406" t="str">
        <f t="shared" si="0"/>
        <v>6.10</v>
      </c>
      <c r="B33" s="407" t="str">
        <f t="shared" si="1"/>
        <v>Spotřeba zemního plynu a teplota ovzduší podle krajů: červen</v>
      </c>
      <c r="C33" s="48">
        <v>31</v>
      </c>
      <c r="E33" s="50" t="str">
        <f>'6.10'!A1</f>
        <v>6.10 Spotřeba zemního plynu a teplota ovzduší podle krajů: červen</v>
      </c>
    </row>
    <row r="34" spans="1:5" ht="15">
      <c r="A34" s="406" t="str">
        <f t="shared" si="0"/>
        <v>6.11</v>
      </c>
      <c r="B34" s="407" t="str">
        <f t="shared" si="1"/>
        <v>Spotřeba zemního plynu a teplota ovzduší podle krajů: II. čtvrtletí</v>
      </c>
      <c r="C34" s="48">
        <v>32</v>
      </c>
      <c r="E34" s="50" t="str">
        <f>'6.11'!A1</f>
        <v>6.11 Spotřeba zemního plynu a teplota ovzduší podle krajů: II. čtvrtletí</v>
      </c>
    </row>
    <row r="35" spans="1:5" ht="15">
      <c r="A35" s="406" t="str">
        <f t="shared" si="0"/>
        <v>6.12</v>
      </c>
      <c r="B35" s="407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5">
      <c r="A36" s="406" t="str">
        <f t="shared" si="0"/>
        <v>7</v>
      </c>
      <c r="B36" s="407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zoomScaleNormal="100" zoomScaleSheetLayoutView="100" workbookViewId="0">
      <selection activeCell="E1" sqref="E1"/>
    </sheetView>
  </sheetViews>
  <sheetFormatPr defaultRowHeight="11.25"/>
  <cols>
    <col min="1" max="1" width="9.7109375" style="12" customWidth="1"/>
    <col min="2" max="10" width="8.85546875" style="12" customWidth="1"/>
    <col min="11" max="11" width="9" style="12" customWidth="1"/>
    <col min="12" max="12" width="9.28515625" style="12" bestFit="1" customWidth="1"/>
    <col min="13" max="13" width="11.42578125" style="12" bestFit="1" customWidth="1"/>
    <col min="14" max="252" width="9.140625" style="12"/>
    <col min="253" max="265" width="10.7109375" style="12" customWidth="1"/>
    <col min="266" max="508" width="9.140625" style="12"/>
    <col min="509" max="521" width="10.7109375" style="12" customWidth="1"/>
    <col min="522" max="764" width="9.140625" style="12"/>
    <col min="765" max="777" width="10.7109375" style="12" customWidth="1"/>
    <col min="778" max="1020" width="9.140625" style="12"/>
    <col min="1021" max="1033" width="10.7109375" style="12" customWidth="1"/>
    <col min="1034" max="1276" width="9.140625" style="12"/>
    <col min="1277" max="1289" width="10.7109375" style="12" customWidth="1"/>
    <col min="1290" max="1532" width="9.140625" style="12"/>
    <col min="1533" max="1545" width="10.7109375" style="12" customWidth="1"/>
    <col min="1546" max="1788" width="9.140625" style="12"/>
    <col min="1789" max="1801" width="10.7109375" style="12" customWidth="1"/>
    <col min="1802" max="2044" width="9.140625" style="12"/>
    <col min="2045" max="2057" width="10.7109375" style="12" customWidth="1"/>
    <col min="2058" max="2300" width="9.140625" style="12"/>
    <col min="2301" max="2313" width="10.7109375" style="12" customWidth="1"/>
    <col min="2314" max="2556" width="9.140625" style="12"/>
    <col min="2557" max="2569" width="10.7109375" style="12" customWidth="1"/>
    <col min="2570" max="2812" width="9.140625" style="12"/>
    <col min="2813" max="2825" width="10.7109375" style="12" customWidth="1"/>
    <col min="2826" max="3068" width="9.140625" style="12"/>
    <col min="3069" max="3081" width="10.7109375" style="12" customWidth="1"/>
    <col min="3082" max="3324" width="9.140625" style="12"/>
    <col min="3325" max="3337" width="10.7109375" style="12" customWidth="1"/>
    <col min="3338" max="3580" width="9.140625" style="12"/>
    <col min="3581" max="3593" width="10.7109375" style="12" customWidth="1"/>
    <col min="3594" max="3836" width="9.140625" style="12"/>
    <col min="3837" max="3849" width="10.7109375" style="12" customWidth="1"/>
    <col min="3850" max="4092" width="9.140625" style="12"/>
    <col min="4093" max="4105" width="10.7109375" style="12" customWidth="1"/>
    <col min="4106" max="4348" width="9.140625" style="12"/>
    <col min="4349" max="4361" width="10.7109375" style="12" customWidth="1"/>
    <col min="4362" max="4604" width="9.140625" style="12"/>
    <col min="4605" max="4617" width="10.7109375" style="12" customWidth="1"/>
    <col min="4618" max="4860" width="9.140625" style="12"/>
    <col min="4861" max="4873" width="10.7109375" style="12" customWidth="1"/>
    <col min="4874" max="5116" width="9.140625" style="12"/>
    <col min="5117" max="5129" width="10.7109375" style="12" customWidth="1"/>
    <col min="5130" max="5372" width="9.140625" style="12"/>
    <col min="5373" max="5385" width="10.7109375" style="12" customWidth="1"/>
    <col min="5386" max="5628" width="9.140625" style="12"/>
    <col min="5629" max="5641" width="10.7109375" style="12" customWidth="1"/>
    <col min="5642" max="5884" width="9.140625" style="12"/>
    <col min="5885" max="5897" width="10.7109375" style="12" customWidth="1"/>
    <col min="5898" max="6140" width="9.140625" style="12"/>
    <col min="6141" max="6153" width="10.7109375" style="12" customWidth="1"/>
    <col min="6154" max="6396" width="9.140625" style="12"/>
    <col min="6397" max="6409" width="10.7109375" style="12" customWidth="1"/>
    <col min="6410" max="6652" width="9.140625" style="12"/>
    <col min="6653" max="6665" width="10.7109375" style="12" customWidth="1"/>
    <col min="6666" max="6908" width="9.140625" style="12"/>
    <col min="6909" max="6921" width="10.7109375" style="12" customWidth="1"/>
    <col min="6922" max="7164" width="9.140625" style="12"/>
    <col min="7165" max="7177" width="10.7109375" style="12" customWidth="1"/>
    <col min="7178" max="7420" width="9.140625" style="12"/>
    <col min="7421" max="7433" width="10.7109375" style="12" customWidth="1"/>
    <col min="7434" max="7676" width="9.140625" style="12"/>
    <col min="7677" max="7689" width="10.7109375" style="12" customWidth="1"/>
    <col min="7690" max="7932" width="9.140625" style="12"/>
    <col min="7933" max="7945" width="10.7109375" style="12" customWidth="1"/>
    <col min="7946" max="8188" width="9.140625" style="12"/>
    <col min="8189" max="8201" width="10.7109375" style="12" customWidth="1"/>
    <col min="8202" max="8444" width="9.140625" style="12"/>
    <col min="8445" max="8457" width="10.7109375" style="12" customWidth="1"/>
    <col min="8458" max="8700" width="9.140625" style="12"/>
    <col min="8701" max="8713" width="10.7109375" style="12" customWidth="1"/>
    <col min="8714" max="8956" width="9.140625" style="12"/>
    <col min="8957" max="8969" width="10.7109375" style="12" customWidth="1"/>
    <col min="8970" max="9212" width="9.140625" style="12"/>
    <col min="9213" max="9225" width="10.7109375" style="12" customWidth="1"/>
    <col min="9226" max="9468" width="9.140625" style="12"/>
    <col min="9469" max="9481" width="10.7109375" style="12" customWidth="1"/>
    <col min="9482" max="9724" width="9.140625" style="12"/>
    <col min="9725" max="9737" width="10.7109375" style="12" customWidth="1"/>
    <col min="9738" max="9980" width="9.140625" style="12"/>
    <col min="9981" max="9993" width="10.7109375" style="12" customWidth="1"/>
    <col min="9994" max="10236" width="9.140625" style="12"/>
    <col min="10237" max="10249" width="10.7109375" style="12" customWidth="1"/>
    <col min="10250" max="10492" width="9.140625" style="12"/>
    <col min="10493" max="10505" width="10.7109375" style="12" customWidth="1"/>
    <col min="10506" max="10748" width="9.140625" style="12"/>
    <col min="10749" max="10761" width="10.7109375" style="12" customWidth="1"/>
    <col min="10762" max="11004" width="9.140625" style="12"/>
    <col min="11005" max="11017" width="10.7109375" style="12" customWidth="1"/>
    <col min="11018" max="11260" width="9.140625" style="12"/>
    <col min="11261" max="11273" width="10.7109375" style="12" customWidth="1"/>
    <col min="11274" max="11516" width="9.140625" style="12"/>
    <col min="11517" max="11529" width="10.7109375" style="12" customWidth="1"/>
    <col min="11530" max="11772" width="9.140625" style="12"/>
    <col min="11773" max="11785" width="10.7109375" style="12" customWidth="1"/>
    <col min="11786" max="12028" width="9.140625" style="12"/>
    <col min="12029" max="12041" width="10.7109375" style="12" customWidth="1"/>
    <col min="12042" max="12284" width="9.140625" style="12"/>
    <col min="12285" max="12297" width="10.7109375" style="12" customWidth="1"/>
    <col min="12298" max="12540" width="9.140625" style="12"/>
    <col min="12541" max="12553" width="10.7109375" style="12" customWidth="1"/>
    <col min="12554" max="12796" width="9.140625" style="12"/>
    <col min="12797" max="12809" width="10.7109375" style="12" customWidth="1"/>
    <col min="12810" max="13052" width="9.140625" style="12"/>
    <col min="13053" max="13065" width="10.7109375" style="12" customWidth="1"/>
    <col min="13066" max="13308" width="9.140625" style="12"/>
    <col min="13309" max="13321" width="10.7109375" style="12" customWidth="1"/>
    <col min="13322" max="13564" width="9.140625" style="12"/>
    <col min="13565" max="13577" width="10.7109375" style="12" customWidth="1"/>
    <col min="13578" max="13820" width="9.140625" style="12"/>
    <col min="13821" max="13833" width="10.7109375" style="12" customWidth="1"/>
    <col min="13834" max="14076" width="9.140625" style="12"/>
    <col min="14077" max="14089" width="10.7109375" style="12" customWidth="1"/>
    <col min="14090" max="14332" width="9.140625" style="12"/>
    <col min="14333" max="14345" width="10.7109375" style="12" customWidth="1"/>
    <col min="14346" max="14588" width="9.140625" style="12"/>
    <col min="14589" max="14601" width="10.7109375" style="12" customWidth="1"/>
    <col min="14602" max="14844" width="9.140625" style="12"/>
    <col min="14845" max="14857" width="10.7109375" style="12" customWidth="1"/>
    <col min="14858" max="15100" width="9.140625" style="12"/>
    <col min="15101" max="15113" width="10.7109375" style="12" customWidth="1"/>
    <col min="15114" max="15356" width="9.140625" style="12"/>
    <col min="15357" max="15369" width="10.7109375" style="12" customWidth="1"/>
    <col min="15370" max="15612" width="9.140625" style="12"/>
    <col min="15613" max="15625" width="10.7109375" style="12" customWidth="1"/>
    <col min="15626" max="15868" width="9.140625" style="12"/>
    <col min="15869" max="15881" width="10.7109375" style="12" customWidth="1"/>
    <col min="15882" max="16124" width="9.140625" style="12"/>
    <col min="16125" max="16137" width="10.7109375" style="12" customWidth="1"/>
    <col min="16138" max="16384" width="9.140625" style="12"/>
  </cols>
  <sheetData>
    <row r="1" spans="1:15" ht="18">
      <c r="A1" s="451" t="s">
        <v>306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</row>
    <row r="2" spans="1:15" ht="6" customHeight="1">
      <c r="A2" s="523"/>
      <c r="B2" s="524"/>
      <c r="C2" s="524"/>
      <c r="D2" s="524"/>
      <c r="E2" s="524"/>
      <c r="F2" s="524"/>
      <c r="G2" s="524"/>
      <c r="H2" s="524"/>
      <c r="I2" s="524"/>
      <c r="J2" s="209"/>
      <c r="K2" s="208"/>
    </row>
    <row r="3" spans="1:15" ht="20.100000000000001" customHeight="1">
      <c r="A3" s="355">
        <f>'3.1'!A4</f>
        <v>2022</v>
      </c>
      <c r="B3" s="457" t="s">
        <v>280</v>
      </c>
      <c r="C3" s="460"/>
      <c r="D3" s="460"/>
      <c r="E3" s="460"/>
      <c r="F3" s="459"/>
      <c r="G3" s="457" t="s">
        <v>281</v>
      </c>
      <c r="H3" s="460"/>
      <c r="I3" s="460"/>
      <c r="J3" s="460"/>
      <c r="K3" s="460"/>
    </row>
    <row r="4" spans="1:15" ht="67.5" customHeight="1">
      <c r="A4" s="356"/>
      <c r="B4" s="357" t="s">
        <v>83</v>
      </c>
      <c r="C4" s="251" t="s">
        <v>89</v>
      </c>
      <c r="D4" s="251" t="s">
        <v>216</v>
      </c>
      <c r="E4" s="251" t="s">
        <v>84</v>
      </c>
      <c r="F4" s="358" t="s">
        <v>82</v>
      </c>
      <c r="G4" s="357" t="s">
        <v>83</v>
      </c>
      <c r="H4" s="251" t="s">
        <v>89</v>
      </c>
      <c r="I4" s="251" t="s">
        <v>216</v>
      </c>
      <c r="J4" s="251" t="s">
        <v>84</v>
      </c>
      <c r="K4" s="251" t="s">
        <v>82</v>
      </c>
    </row>
    <row r="5" spans="1:15" ht="18" customHeight="1">
      <c r="A5" s="177" t="s">
        <v>161</v>
      </c>
      <c r="B5" s="259">
        <v>130387.01038711204</v>
      </c>
      <c r="C5" s="252">
        <v>910406.18678079627</v>
      </c>
      <c r="D5" s="255">
        <v>44984.639000000003</v>
      </c>
      <c r="E5" s="255">
        <v>48484.997029999999</v>
      </c>
      <c r="F5" s="261">
        <v>1134262.8331979082</v>
      </c>
      <c r="G5" s="353">
        <v>1394340.13053</v>
      </c>
      <c r="H5" s="255">
        <v>9725046.5487500001</v>
      </c>
      <c r="I5" s="255">
        <v>480281.85199000005</v>
      </c>
      <c r="J5" s="255">
        <v>519121.07809600001</v>
      </c>
      <c r="K5" s="255">
        <v>12118789.609366</v>
      </c>
      <c r="L5" s="56"/>
      <c r="M5" s="57"/>
      <c r="N5" s="57"/>
      <c r="O5" s="57"/>
    </row>
    <row r="6" spans="1:15" ht="18" customHeight="1">
      <c r="A6" s="177" t="s">
        <v>162</v>
      </c>
      <c r="B6" s="259">
        <v>102886.42307283396</v>
      </c>
      <c r="C6" s="255">
        <v>731826.70801090379</v>
      </c>
      <c r="D6" s="255">
        <v>36665.690999999999</v>
      </c>
      <c r="E6" s="255">
        <v>19121.578009999997</v>
      </c>
      <c r="F6" s="261">
        <v>890500.40009373776</v>
      </c>
      <c r="G6" s="353">
        <v>1103405.49288</v>
      </c>
      <c r="H6" s="255">
        <v>7826733.2474999987</v>
      </c>
      <c r="I6" s="255">
        <v>392157.58717999997</v>
      </c>
      <c r="J6" s="255">
        <v>204672.46465800004</v>
      </c>
      <c r="K6" s="255">
        <v>9526968.7922179978</v>
      </c>
      <c r="L6" s="58"/>
      <c r="M6" s="57"/>
      <c r="N6" s="57"/>
      <c r="O6" s="57"/>
    </row>
    <row r="7" spans="1:15" ht="18" customHeight="1">
      <c r="A7" s="180" t="s">
        <v>163</v>
      </c>
      <c r="B7" s="260">
        <v>100232.52548318211</v>
      </c>
      <c r="C7" s="258">
        <v>737192.34386151319</v>
      </c>
      <c r="D7" s="258">
        <v>36894.07</v>
      </c>
      <c r="E7" s="258">
        <v>48300.553089999994</v>
      </c>
      <c r="F7" s="262">
        <v>922619.49243469513</v>
      </c>
      <c r="G7" s="354">
        <v>1081827.962102833</v>
      </c>
      <c r="H7" s="258">
        <v>7911417.8751699999</v>
      </c>
      <c r="I7" s="258">
        <v>394441.46036000003</v>
      </c>
      <c r="J7" s="258">
        <v>521766.69561699999</v>
      </c>
      <c r="K7" s="258">
        <v>9909453.9932498317</v>
      </c>
      <c r="L7" s="59"/>
      <c r="M7" s="57"/>
      <c r="N7" s="57"/>
      <c r="O7" s="57"/>
    </row>
    <row r="8" spans="1:15" ht="18" customHeight="1">
      <c r="A8" s="177" t="s">
        <v>164</v>
      </c>
      <c r="B8" s="259">
        <v>74550.468344230554</v>
      </c>
      <c r="C8" s="255">
        <v>563107.41134476836</v>
      </c>
      <c r="D8" s="255">
        <v>28310.621999999999</v>
      </c>
      <c r="E8" s="255">
        <v>5393.6479199999985</v>
      </c>
      <c r="F8" s="261">
        <v>671362.14960899891</v>
      </c>
      <c r="G8" s="353">
        <v>809197.09410390782</v>
      </c>
      <c r="H8" s="255">
        <v>6068092.2070999993</v>
      </c>
      <c r="I8" s="255">
        <v>302456.97045000002</v>
      </c>
      <c r="J8" s="255">
        <v>58237.643868999992</v>
      </c>
      <c r="K8" s="255">
        <v>7237983.9155229069</v>
      </c>
      <c r="L8" s="58"/>
      <c r="M8" s="57"/>
      <c r="N8" s="57"/>
      <c r="O8" s="57"/>
    </row>
    <row r="9" spans="1:15" ht="18" customHeight="1">
      <c r="A9" s="177" t="s">
        <v>165</v>
      </c>
      <c r="B9" s="259">
        <v>27622.192440521852</v>
      </c>
      <c r="C9" s="255">
        <v>313816.78660389746</v>
      </c>
      <c r="D9" s="255">
        <v>14858.406010000001</v>
      </c>
      <c r="E9" s="255">
        <v>32598.787099999994</v>
      </c>
      <c r="F9" s="261">
        <v>388896.1721544193</v>
      </c>
      <c r="G9" s="353">
        <v>298028.07840497722</v>
      </c>
      <c r="H9" s="255">
        <v>3371927.8527900004</v>
      </c>
      <c r="I9" s="255">
        <v>158931.53100000002</v>
      </c>
      <c r="J9" s="255">
        <v>350769.83049399994</v>
      </c>
      <c r="K9" s="255">
        <v>4179657.2926889779</v>
      </c>
      <c r="L9" s="58"/>
      <c r="M9" s="57"/>
      <c r="N9" s="57"/>
      <c r="O9" s="57"/>
    </row>
    <row r="10" spans="1:15" ht="18" customHeight="1">
      <c r="A10" s="180" t="s">
        <v>166</v>
      </c>
      <c r="B10" s="260">
        <v>19349.489106876652</v>
      </c>
      <c r="C10" s="258">
        <v>259233.16487017696</v>
      </c>
      <c r="D10" s="258">
        <v>11605.965</v>
      </c>
      <c r="E10" s="258">
        <v>46165.875899999999</v>
      </c>
      <c r="F10" s="262">
        <v>336354.4948770536</v>
      </c>
      <c r="G10" s="354">
        <v>211928.35232301572</v>
      </c>
      <c r="H10" s="258">
        <v>2807945.5085899993</v>
      </c>
      <c r="I10" s="258">
        <v>124974.32594999998</v>
      </c>
      <c r="J10" s="258">
        <v>504675.23211399995</v>
      </c>
      <c r="K10" s="258">
        <v>3649523.4189770147</v>
      </c>
      <c r="L10" s="58"/>
      <c r="M10" s="57"/>
      <c r="N10" s="57"/>
      <c r="O10" s="57"/>
    </row>
    <row r="11" spans="1:15" ht="18" customHeight="1">
      <c r="A11" s="177" t="s">
        <v>167</v>
      </c>
      <c r="B11" s="259"/>
      <c r="C11" s="255"/>
      <c r="D11" s="255"/>
      <c r="E11" s="255"/>
      <c r="F11" s="261"/>
      <c r="G11" s="353"/>
      <c r="H11" s="255"/>
      <c r="I11" s="255"/>
      <c r="J11" s="255"/>
      <c r="K11" s="255"/>
      <c r="L11" s="58"/>
      <c r="M11" s="57"/>
      <c r="N11" s="57"/>
      <c r="O11" s="57"/>
    </row>
    <row r="12" spans="1:15" ht="18" customHeight="1">
      <c r="A12" s="177" t="s">
        <v>168</v>
      </c>
      <c r="B12" s="259"/>
      <c r="C12" s="255"/>
      <c r="D12" s="255"/>
      <c r="E12" s="255"/>
      <c r="F12" s="261"/>
      <c r="G12" s="353"/>
      <c r="H12" s="255"/>
      <c r="I12" s="255"/>
      <c r="J12" s="255"/>
      <c r="K12" s="255"/>
      <c r="L12" s="58"/>
      <c r="M12" s="57"/>
      <c r="N12" s="57"/>
      <c r="O12" s="57"/>
    </row>
    <row r="13" spans="1:15" ht="18" customHeight="1">
      <c r="A13" s="180" t="s">
        <v>169</v>
      </c>
      <c r="B13" s="260"/>
      <c r="C13" s="258"/>
      <c r="D13" s="258"/>
      <c r="E13" s="258"/>
      <c r="F13" s="262"/>
      <c r="G13" s="354"/>
      <c r="H13" s="258"/>
      <c r="I13" s="258"/>
      <c r="J13" s="258"/>
      <c r="K13" s="258"/>
      <c r="L13" s="58"/>
      <c r="M13" s="57"/>
      <c r="N13" s="57"/>
      <c r="O13" s="57"/>
    </row>
    <row r="14" spans="1:15" ht="18" customHeight="1">
      <c r="A14" s="177" t="s">
        <v>170</v>
      </c>
      <c r="B14" s="259"/>
      <c r="C14" s="255"/>
      <c r="D14" s="255"/>
      <c r="E14" s="255"/>
      <c r="F14" s="261"/>
      <c r="G14" s="353"/>
      <c r="H14" s="255"/>
      <c r="I14" s="255"/>
      <c r="J14" s="255"/>
      <c r="K14" s="255"/>
      <c r="L14" s="58"/>
      <c r="M14" s="57"/>
      <c r="N14" s="57"/>
      <c r="O14" s="57"/>
    </row>
    <row r="15" spans="1:15" ht="18" customHeight="1">
      <c r="A15" s="177" t="s">
        <v>171</v>
      </c>
      <c r="B15" s="259"/>
      <c r="C15" s="255"/>
      <c r="D15" s="255"/>
      <c r="E15" s="255"/>
      <c r="F15" s="261"/>
      <c r="G15" s="353"/>
      <c r="H15" s="255"/>
      <c r="I15" s="255"/>
      <c r="J15" s="255"/>
      <c r="K15" s="255"/>
      <c r="L15" s="58"/>
      <c r="M15" s="57"/>
      <c r="N15" s="57"/>
      <c r="O15" s="57"/>
    </row>
    <row r="16" spans="1:15" ht="18" customHeight="1">
      <c r="A16" s="180" t="s">
        <v>172</v>
      </c>
      <c r="B16" s="260"/>
      <c r="C16" s="258"/>
      <c r="D16" s="258"/>
      <c r="E16" s="258"/>
      <c r="F16" s="262"/>
      <c r="G16" s="354"/>
      <c r="H16" s="258"/>
      <c r="I16" s="258"/>
      <c r="J16" s="258"/>
      <c r="K16" s="258"/>
      <c r="L16" s="58"/>
      <c r="M16" s="57"/>
      <c r="N16" s="57"/>
      <c r="O16" s="57"/>
    </row>
    <row r="17" spans="1:11" ht="18" customHeight="1">
      <c r="A17" s="177" t="s">
        <v>48</v>
      </c>
      <c r="B17" s="259">
        <f>SUM(B5:B7)</f>
        <v>333505.95894312812</v>
      </c>
      <c r="C17" s="252">
        <f>SUM(C5:C7)</f>
        <v>2379425.2386532133</v>
      </c>
      <c r="D17" s="252">
        <f t="shared" ref="D17:J17" si="0">SUM(D5:D7)</f>
        <v>118544.4</v>
      </c>
      <c r="E17" s="252">
        <f t="shared" si="0"/>
        <v>115907.12813</v>
      </c>
      <c r="F17" s="263">
        <f t="shared" si="0"/>
        <v>2947382.7257263409</v>
      </c>
      <c r="G17" s="259">
        <f t="shared" si="0"/>
        <v>3579573.5855128327</v>
      </c>
      <c r="H17" s="252">
        <f t="shared" si="0"/>
        <v>25463197.67142</v>
      </c>
      <c r="I17" s="252">
        <f t="shared" si="0"/>
        <v>1266880.8995300001</v>
      </c>
      <c r="J17" s="252">
        <f t="shared" si="0"/>
        <v>1245560.2383710002</v>
      </c>
      <c r="K17" s="252">
        <f>SUM(K5:K7)</f>
        <v>31555212.394833833</v>
      </c>
    </row>
    <row r="18" spans="1:11" ht="18" customHeight="1">
      <c r="A18" s="177" t="s">
        <v>56</v>
      </c>
      <c r="B18" s="259">
        <f>SUM(B8:B10)</f>
        <v>121522.14989162906</v>
      </c>
      <c r="C18" s="252">
        <f>SUM(C8:C10)</f>
        <v>1136157.3628188428</v>
      </c>
      <c r="D18" s="252">
        <f t="shared" ref="D18:J18" si="1">SUM(D8:D10)</f>
        <v>54774.993010000006</v>
      </c>
      <c r="E18" s="252">
        <f t="shared" si="1"/>
        <v>84158.310919999989</v>
      </c>
      <c r="F18" s="263">
        <f t="shared" si="1"/>
        <v>1396612.8166404718</v>
      </c>
      <c r="G18" s="259">
        <f t="shared" si="1"/>
        <v>1319153.5248319008</v>
      </c>
      <c r="H18" s="252">
        <f t="shared" si="1"/>
        <v>12247965.56848</v>
      </c>
      <c r="I18" s="252">
        <f t="shared" si="1"/>
        <v>586362.82740000007</v>
      </c>
      <c r="J18" s="252">
        <f t="shared" si="1"/>
        <v>913682.70647699991</v>
      </c>
      <c r="K18" s="252">
        <f>SUM(K8:K10)</f>
        <v>15067164.627188899</v>
      </c>
    </row>
    <row r="19" spans="1:11" ht="18" customHeight="1">
      <c r="A19" s="177" t="s">
        <v>63</v>
      </c>
      <c r="B19" s="359">
        <f>SUM(B11:B13)</f>
        <v>0</v>
      </c>
      <c r="C19" s="253">
        <f>SUM(C11:C13)</f>
        <v>0</v>
      </c>
      <c r="D19" s="253">
        <f t="shared" ref="D19:J19" si="2">SUM(D11:D13)</f>
        <v>0</v>
      </c>
      <c r="E19" s="253">
        <f t="shared" si="2"/>
        <v>0</v>
      </c>
      <c r="F19" s="360">
        <f t="shared" si="2"/>
        <v>0</v>
      </c>
      <c r="G19" s="359">
        <f t="shared" si="2"/>
        <v>0</v>
      </c>
      <c r="H19" s="253">
        <f t="shared" si="2"/>
        <v>0</v>
      </c>
      <c r="I19" s="253">
        <f t="shared" si="2"/>
        <v>0</v>
      </c>
      <c r="J19" s="253">
        <f t="shared" si="2"/>
        <v>0</v>
      </c>
      <c r="K19" s="253">
        <f>SUM(K11:K13)</f>
        <v>0</v>
      </c>
    </row>
    <row r="20" spans="1:11" ht="18" customHeight="1">
      <c r="A20" s="180" t="s">
        <v>57</v>
      </c>
      <c r="B20" s="361">
        <f>SUM(B14:B16)</f>
        <v>0</v>
      </c>
      <c r="C20" s="362">
        <f>SUM(C14:C16)</f>
        <v>0</v>
      </c>
      <c r="D20" s="362">
        <f t="shared" ref="D20:J20" si="3">SUM(D14:D16)</f>
        <v>0</v>
      </c>
      <c r="E20" s="362">
        <f t="shared" si="3"/>
        <v>0</v>
      </c>
      <c r="F20" s="363">
        <f t="shared" si="3"/>
        <v>0</v>
      </c>
      <c r="G20" s="361">
        <f t="shared" si="3"/>
        <v>0</v>
      </c>
      <c r="H20" s="362">
        <f t="shared" si="3"/>
        <v>0</v>
      </c>
      <c r="I20" s="362">
        <f t="shared" si="3"/>
        <v>0</v>
      </c>
      <c r="J20" s="362">
        <f t="shared" si="3"/>
        <v>0</v>
      </c>
      <c r="K20" s="362">
        <f>SUM(K14:K16)</f>
        <v>0</v>
      </c>
    </row>
    <row r="21" spans="1:11" ht="18" customHeight="1">
      <c r="A21" s="177" t="s">
        <v>58</v>
      </c>
      <c r="B21" s="259">
        <f>SUM(B5:B10)</f>
        <v>455028.10883475718</v>
      </c>
      <c r="C21" s="252">
        <f>SUM(C5:C10)</f>
        <v>3515582.601472056</v>
      </c>
      <c r="D21" s="252">
        <f t="shared" ref="D21:J21" si="4">SUM(D5:D10)</f>
        <v>173319.39301</v>
      </c>
      <c r="E21" s="252">
        <f t="shared" si="4"/>
        <v>200065.43904999999</v>
      </c>
      <c r="F21" s="263">
        <f t="shared" si="4"/>
        <v>4343995.5423668129</v>
      </c>
      <c r="G21" s="259">
        <f t="shared" si="4"/>
        <v>4898727.110344734</v>
      </c>
      <c r="H21" s="252">
        <f t="shared" si="4"/>
        <v>37711163.2399</v>
      </c>
      <c r="I21" s="252">
        <f t="shared" si="4"/>
        <v>1853243.7269299999</v>
      </c>
      <c r="J21" s="252">
        <f t="shared" si="4"/>
        <v>2159242.9448480001</v>
      </c>
      <c r="K21" s="252">
        <f>SUM(K5:K10)</f>
        <v>46622377.022022732</v>
      </c>
    </row>
    <row r="22" spans="1:11" ht="18" customHeight="1">
      <c r="A22" s="180" t="s">
        <v>59</v>
      </c>
      <c r="B22" s="361">
        <f>SUM(B11:B16)</f>
        <v>0</v>
      </c>
      <c r="C22" s="362">
        <f>SUM(C11:C16)</f>
        <v>0</v>
      </c>
      <c r="D22" s="362">
        <f t="shared" ref="D22:J22" si="5">SUM(D11:D16)</f>
        <v>0</v>
      </c>
      <c r="E22" s="362">
        <f t="shared" si="5"/>
        <v>0</v>
      </c>
      <c r="F22" s="363">
        <f t="shared" si="5"/>
        <v>0</v>
      </c>
      <c r="G22" s="361">
        <f t="shared" si="5"/>
        <v>0</v>
      </c>
      <c r="H22" s="362">
        <f t="shared" si="5"/>
        <v>0</v>
      </c>
      <c r="I22" s="362">
        <f t="shared" si="5"/>
        <v>0</v>
      </c>
      <c r="J22" s="362">
        <f t="shared" si="5"/>
        <v>0</v>
      </c>
      <c r="K22" s="362">
        <f>SUM(K11:K16)</f>
        <v>0</v>
      </c>
    </row>
    <row r="23" spans="1:11" ht="18" customHeight="1">
      <c r="A23" s="218" t="s">
        <v>173</v>
      </c>
      <c r="B23" s="364">
        <f>SUM(B5:B16)</f>
        <v>455028.10883475718</v>
      </c>
      <c r="C23" s="365">
        <f>SUM(C5:C16)</f>
        <v>3515582.601472056</v>
      </c>
      <c r="D23" s="365">
        <f t="shared" ref="D23:J23" si="6">SUM(D5:D16)</f>
        <v>173319.39301</v>
      </c>
      <c r="E23" s="365">
        <f t="shared" si="6"/>
        <v>200065.43904999999</v>
      </c>
      <c r="F23" s="366">
        <f t="shared" si="6"/>
        <v>4343995.5423668129</v>
      </c>
      <c r="G23" s="364">
        <f t="shared" si="6"/>
        <v>4898727.110344734</v>
      </c>
      <c r="H23" s="365">
        <f t="shared" si="6"/>
        <v>37711163.2399</v>
      </c>
      <c r="I23" s="365">
        <f t="shared" si="6"/>
        <v>1853243.7269299999</v>
      </c>
      <c r="J23" s="365">
        <f t="shared" si="6"/>
        <v>2159242.9448480001</v>
      </c>
      <c r="K23" s="365">
        <f>SUM(K5:K16)</f>
        <v>46622377.022022732</v>
      </c>
    </row>
    <row r="25" spans="1:11" ht="12" customHeight="1">
      <c r="A25" s="522" t="s">
        <v>282</v>
      </c>
      <c r="B25" s="522"/>
      <c r="C25" s="522"/>
      <c r="D25" s="522"/>
      <c r="E25" s="522"/>
      <c r="F25" s="522"/>
      <c r="G25" s="522"/>
      <c r="H25" s="522"/>
      <c r="I25" s="522"/>
      <c r="J25" s="522"/>
      <c r="K25" s="522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 xml:space="preserve"> PP Distribuce</v>
      </c>
      <c r="F30" s="63" t="str">
        <f t="shared" ref="F30:H30" si="7">C4</f>
        <v xml:space="preserve"> GasNet</v>
      </c>
      <c r="G30" s="63" t="str">
        <f t="shared" si="7"/>
        <v xml:space="preserve"> EG.D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333505.95894312812</v>
      </c>
      <c r="F31" s="12">
        <f t="shared" si="8"/>
        <v>2379425.2386532133</v>
      </c>
      <c r="G31" s="12">
        <f t="shared" si="8"/>
        <v>118544.4</v>
      </c>
      <c r="H31" s="12">
        <f t="shared" si="8"/>
        <v>115907.12813</v>
      </c>
    </row>
    <row r="32" spans="1:11" ht="12" customHeight="1">
      <c r="D32" s="12" t="str">
        <f t="shared" ref="D32:D34" si="9">A18</f>
        <v>II. čtvrtletí</v>
      </c>
      <c r="E32" s="12">
        <f t="shared" si="8"/>
        <v>121522.14989162906</v>
      </c>
      <c r="F32" s="12">
        <f t="shared" si="8"/>
        <v>1136157.3628188428</v>
      </c>
      <c r="G32" s="12">
        <f t="shared" si="8"/>
        <v>54774.993010000006</v>
      </c>
      <c r="H32" s="12">
        <f t="shared" si="8"/>
        <v>84158.310919999989</v>
      </c>
    </row>
    <row r="33" spans="4:8" ht="12" customHeight="1">
      <c r="D33" s="12" t="str">
        <f t="shared" si="9"/>
        <v>III. čtvrtletí</v>
      </c>
      <c r="E33" s="12">
        <f t="shared" si="8"/>
        <v>0</v>
      </c>
      <c r="F33" s="12">
        <f t="shared" si="8"/>
        <v>0</v>
      </c>
      <c r="G33" s="12">
        <f t="shared" si="8"/>
        <v>0</v>
      </c>
      <c r="H33" s="12">
        <f t="shared" si="8"/>
        <v>0</v>
      </c>
    </row>
    <row r="34" spans="4:8" ht="12" customHeight="1">
      <c r="D34" s="12" t="str">
        <f t="shared" si="9"/>
        <v>IV. čtvrtletí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zoomScaleNormal="100" zoomScaleSheetLayoutView="100" workbookViewId="0">
      <selection activeCell="N25" sqref="N25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39" ht="20.25">
      <c r="A1" s="55" t="s">
        <v>294</v>
      </c>
    </row>
    <row r="2" spans="1:39" s="103" customFormat="1" ht="18">
      <c r="A2" s="505" t="s">
        <v>307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39" ht="6" customHeight="1">
      <c r="A3" s="525"/>
      <c r="B3" s="525"/>
      <c r="C3" s="525"/>
      <c r="D3" s="319"/>
      <c r="E3" s="319"/>
      <c r="F3" s="320"/>
      <c r="G3" s="321"/>
      <c r="H3" s="321"/>
      <c r="I3" s="321"/>
      <c r="J3" s="76"/>
      <c r="K3" s="76"/>
    </row>
    <row r="4" spans="1:39" ht="12.95" customHeight="1">
      <c r="A4" s="497" t="s">
        <v>35</v>
      </c>
      <c r="B4" s="497"/>
      <c r="C4" s="497"/>
      <c r="D4" s="491">
        <f>'3.1'!A4</f>
        <v>2022</v>
      </c>
      <c r="E4" s="380"/>
      <c r="F4" s="369"/>
      <c r="G4" s="369"/>
      <c r="H4" s="369"/>
      <c r="I4" s="491">
        <f>D4-1</f>
        <v>2021</v>
      </c>
      <c r="J4" s="492"/>
      <c r="K4" s="492"/>
    </row>
    <row r="5" spans="1:39" ht="24.95" customHeight="1">
      <c r="A5" s="381"/>
      <c r="B5" s="381"/>
      <c r="C5" s="381"/>
      <c r="D5" s="493"/>
      <c r="E5" s="382"/>
      <c r="F5" s="383"/>
      <c r="G5" s="383"/>
      <c r="H5" s="384"/>
      <c r="I5" s="493"/>
      <c r="J5" s="494"/>
      <c r="K5" s="494"/>
    </row>
    <row r="6" spans="1:39" ht="24.95" customHeight="1">
      <c r="A6" s="323"/>
      <c r="B6" s="291"/>
      <c r="C6" s="324"/>
      <c r="D6" s="391" t="s">
        <v>160</v>
      </c>
      <c r="E6" s="489" t="s">
        <v>60</v>
      </c>
      <c r="F6" s="489"/>
      <c r="G6" s="490" t="s">
        <v>33</v>
      </c>
      <c r="H6" s="490" t="s">
        <v>274</v>
      </c>
      <c r="I6" s="488" t="s">
        <v>60</v>
      </c>
      <c r="J6" s="489"/>
      <c r="K6" s="490" t="s">
        <v>33</v>
      </c>
    </row>
    <row r="7" spans="1:39" ht="24.95" customHeight="1">
      <c r="A7" s="323"/>
      <c r="B7" s="325"/>
      <c r="D7" s="392"/>
      <c r="E7" s="489"/>
      <c r="F7" s="489"/>
      <c r="G7" s="490"/>
      <c r="H7" s="490"/>
      <c r="I7" s="488"/>
      <c r="J7" s="489"/>
      <c r="K7" s="490"/>
    </row>
    <row r="8" spans="1:39" ht="15" customHeight="1">
      <c r="A8" s="498" t="s">
        <v>159</v>
      </c>
      <c r="B8" s="498"/>
      <c r="C8" s="342" t="s">
        <v>185</v>
      </c>
      <c r="D8" s="370"/>
      <c r="E8" s="222" t="s">
        <v>265</v>
      </c>
      <c r="F8" s="222" t="s">
        <v>266</v>
      </c>
      <c r="G8" s="477"/>
      <c r="H8" s="477"/>
      <c r="I8" s="224" t="s">
        <v>265</v>
      </c>
      <c r="J8" s="222" t="s">
        <v>266</v>
      </c>
      <c r="K8" s="477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432" t="str">
        <f>'3.1'!D5</f>
        <v>Duben</v>
      </c>
      <c r="B9" s="432"/>
      <c r="C9" s="165" t="s">
        <v>4</v>
      </c>
      <c r="D9" s="331">
        <v>87</v>
      </c>
      <c r="E9" s="327">
        <v>8616.0059099999999</v>
      </c>
      <c r="F9" s="327">
        <v>92049.099140000006</v>
      </c>
      <c r="G9" s="328">
        <f>E9/$E$14</f>
        <v>0.35068614764597517</v>
      </c>
      <c r="H9" s="328">
        <f>(E9-I9)/I9</f>
        <v>-0.20432514609281219</v>
      </c>
      <c r="I9" s="331">
        <v>10828.551219999999</v>
      </c>
      <c r="J9" s="327">
        <v>115634.84994</v>
      </c>
      <c r="K9" s="328">
        <f>I9/$I$14</f>
        <v>0.37228247041914325</v>
      </c>
      <c r="N9" s="77"/>
      <c r="O9" s="77"/>
      <c r="P9" s="77"/>
      <c r="Q9" s="77"/>
      <c r="R9" s="77"/>
      <c r="S9" s="77"/>
      <c r="T9" s="77"/>
      <c r="U9" s="104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4"/>
    </row>
    <row r="10" spans="1:39" ht="11.1" customHeight="1">
      <c r="A10" s="433"/>
      <c r="B10" s="433"/>
      <c r="C10" s="155" t="s">
        <v>5</v>
      </c>
      <c r="D10" s="332">
        <v>290</v>
      </c>
      <c r="E10" s="130">
        <v>3080.5309999999999</v>
      </c>
      <c r="F10" s="130">
        <v>32919.462639999998</v>
      </c>
      <c r="G10" s="326">
        <f>E10/$E$14</f>
        <v>0.12538287001871423</v>
      </c>
      <c r="H10" s="326">
        <f>(E10-I10)/I10</f>
        <v>-0.16621955228467772</v>
      </c>
      <c r="I10" s="332">
        <v>3694.6548799999996</v>
      </c>
      <c r="J10" s="130">
        <v>39453.959409999996</v>
      </c>
      <c r="K10" s="326">
        <f>I10/$I$14</f>
        <v>0.1270211700649409</v>
      </c>
      <c r="L10" s="94"/>
      <c r="N10" s="77"/>
      <c r="O10" s="77"/>
      <c r="P10" s="77"/>
      <c r="Q10" s="77"/>
      <c r="R10" s="77"/>
      <c r="S10" s="77"/>
      <c r="T10" s="77"/>
      <c r="U10" s="104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" customHeight="1">
      <c r="A11" s="433"/>
      <c r="B11" s="433"/>
      <c r="C11" s="155" t="s">
        <v>6</v>
      </c>
      <c r="D11" s="332">
        <v>9639</v>
      </c>
      <c r="E11" s="130">
        <v>4831.8100299999996</v>
      </c>
      <c r="F11" s="130">
        <v>51625.334470000002</v>
      </c>
      <c r="G11" s="326">
        <f>E11/$E$14</f>
        <v>0.19666291588904952</v>
      </c>
      <c r="H11" s="326">
        <f t="shared" ref="H11:H13" si="0">(E11-I11)/I11</f>
        <v>-0.11958845140268534</v>
      </c>
      <c r="I11" s="332">
        <v>5488.1265899999999</v>
      </c>
      <c r="J11" s="130">
        <v>58606.16865</v>
      </c>
      <c r="K11" s="326">
        <f>I11/$I$14</f>
        <v>0.18868021061991974</v>
      </c>
      <c r="L11" s="94"/>
      <c r="N11" s="77"/>
      <c r="O11" s="77"/>
      <c r="P11" s="77"/>
      <c r="Q11" s="77"/>
      <c r="R11" s="77"/>
      <c r="S11" s="77"/>
      <c r="T11" s="77"/>
      <c r="U11" s="104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" customHeight="1">
      <c r="A12" s="433"/>
      <c r="B12" s="433"/>
      <c r="C12" s="155" t="s">
        <v>7</v>
      </c>
      <c r="D12" s="332">
        <v>94912</v>
      </c>
      <c r="E12" s="130">
        <v>7679.2142099999992</v>
      </c>
      <c r="F12" s="130">
        <v>82048.718569999997</v>
      </c>
      <c r="G12" s="326">
        <f>E12/$E$14</f>
        <v>0.31255712639745975</v>
      </c>
      <c r="H12" s="326">
        <f t="shared" si="0"/>
        <v>-0.12048082548095658</v>
      </c>
      <c r="I12" s="332">
        <v>8731.1504199999999</v>
      </c>
      <c r="J12" s="130">
        <v>93236.85961</v>
      </c>
      <c r="K12" s="326">
        <f>I12/$I$14</f>
        <v>0.30017443533491828</v>
      </c>
      <c r="L12" s="94"/>
      <c r="N12" s="77"/>
      <c r="O12" s="77"/>
      <c r="P12" s="77"/>
      <c r="Q12" s="77"/>
      <c r="R12" s="77"/>
      <c r="S12" s="77"/>
      <c r="T12" s="77"/>
      <c r="U12" s="104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" customHeight="1">
      <c r="A13" s="433"/>
      <c r="B13" s="433"/>
      <c r="C13" s="155" t="s">
        <v>93</v>
      </c>
      <c r="D13" s="332">
        <v>15</v>
      </c>
      <c r="E13" s="130">
        <v>361.43299999999999</v>
      </c>
      <c r="F13" s="130">
        <v>3861.0650000000001</v>
      </c>
      <c r="G13" s="326">
        <f>E13/$E$14</f>
        <v>1.4710940048801307E-2</v>
      </c>
      <c r="H13" s="326">
        <f t="shared" si="0"/>
        <v>4.9338199216697208E-2</v>
      </c>
      <c r="I13" s="332">
        <v>344.43900000000002</v>
      </c>
      <c r="J13" s="130">
        <v>3678.3470000000002</v>
      </c>
      <c r="K13" s="326">
        <f>I13/$I$14</f>
        <v>1.1841713561077776E-2</v>
      </c>
      <c r="L13" s="94"/>
      <c r="N13" s="77"/>
      <c r="O13" s="77"/>
      <c r="P13" s="77"/>
      <c r="Q13" s="77"/>
      <c r="R13" s="77"/>
      <c r="S13" s="77"/>
      <c r="T13" s="77"/>
      <c r="U13" s="104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" customHeight="1">
      <c r="A14" s="434"/>
      <c r="B14" s="434"/>
      <c r="C14" s="337" t="s">
        <v>0</v>
      </c>
      <c r="D14" s="340">
        <v>104943</v>
      </c>
      <c r="E14" s="338">
        <v>24568.994149999999</v>
      </c>
      <c r="F14" s="338">
        <v>262503.67981999996</v>
      </c>
      <c r="G14" s="339">
        <f>SUM(G9:G13)</f>
        <v>1</v>
      </c>
      <c r="H14" s="339">
        <f>(E14-I14)/I14</f>
        <v>-0.15532506130811105</v>
      </c>
      <c r="I14" s="340">
        <v>29086.92211</v>
      </c>
      <c r="J14" s="338">
        <v>310610.18461</v>
      </c>
      <c r="K14" s="339">
        <f>SUM(K9:K13)</f>
        <v>1</v>
      </c>
      <c r="L14" s="94"/>
      <c r="M14" s="94"/>
      <c r="N14" s="77"/>
      <c r="O14" s="77"/>
      <c r="P14" s="77"/>
      <c r="Q14" s="77"/>
      <c r="R14" s="77"/>
      <c r="S14" s="77"/>
      <c r="T14" s="77"/>
      <c r="U14" s="104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" customHeight="1">
      <c r="A15" s="432" t="str">
        <f>'3.1'!E5</f>
        <v>Květen</v>
      </c>
      <c r="B15" s="432"/>
      <c r="C15" s="165" t="s">
        <v>4</v>
      </c>
      <c r="D15" s="331">
        <v>87</v>
      </c>
      <c r="E15" s="327">
        <v>7465.8354600000002</v>
      </c>
      <c r="F15" s="327">
        <v>79857.562409999999</v>
      </c>
      <c r="G15" s="328">
        <f>E15/$E$20</f>
        <v>0.57955064808499612</v>
      </c>
      <c r="H15" s="328">
        <f>(E15-I15)/I15</f>
        <v>-0.20584156884522137</v>
      </c>
      <c r="I15" s="331">
        <v>9400.9396199999992</v>
      </c>
      <c r="J15" s="327">
        <v>100449.97994999999</v>
      </c>
      <c r="K15" s="328">
        <f>I15/$I$20</f>
        <v>0.45316271969838884</v>
      </c>
      <c r="L15" s="94"/>
      <c r="M15" s="94"/>
      <c r="N15" s="77"/>
      <c r="O15" s="77"/>
      <c r="P15" s="77"/>
      <c r="Q15" s="77"/>
      <c r="R15" s="77"/>
      <c r="S15" s="77"/>
      <c r="T15" s="77"/>
      <c r="U15" s="104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" customHeight="1">
      <c r="A16" s="433"/>
      <c r="B16" s="433"/>
      <c r="C16" s="155" t="s">
        <v>5</v>
      </c>
      <c r="D16" s="332">
        <v>292</v>
      </c>
      <c r="E16" s="130">
        <v>1711.0564199999999</v>
      </c>
      <c r="F16" s="130">
        <v>18305.326579999997</v>
      </c>
      <c r="G16" s="326">
        <f>E16/$E$20</f>
        <v>0.13282423145192021</v>
      </c>
      <c r="H16" s="326">
        <f>(E16-I16)/I16</f>
        <v>-0.37921110920490586</v>
      </c>
      <c r="I16" s="332">
        <v>2756.26134</v>
      </c>
      <c r="J16" s="130">
        <v>29450.299620000002</v>
      </c>
      <c r="K16" s="326">
        <f>I16/$I$20</f>
        <v>0.13286277069333266</v>
      </c>
      <c r="L16" s="98"/>
      <c r="M16" s="94"/>
      <c r="N16" s="77"/>
      <c r="O16" s="77"/>
      <c r="P16" s="77"/>
      <c r="Q16" s="77"/>
      <c r="R16" s="77"/>
      <c r="S16" s="77"/>
      <c r="T16" s="77"/>
      <c r="U16" s="104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" customHeight="1">
      <c r="A17" s="433"/>
      <c r="B17" s="433"/>
      <c r="C17" s="155" t="s">
        <v>6</v>
      </c>
      <c r="D17" s="332">
        <v>9639</v>
      </c>
      <c r="E17" s="130">
        <v>1283.5513699999999</v>
      </c>
      <c r="F17" s="130">
        <v>13730.27211</v>
      </c>
      <c r="G17" s="326">
        <f>E17/$E$20</f>
        <v>9.9638283259712315E-2</v>
      </c>
      <c r="H17" s="326">
        <f t="shared" ref="H17:H20" si="1">(E17-I17)/I17</f>
        <v>-0.59485982186893438</v>
      </c>
      <c r="I17" s="332">
        <v>3168.16608</v>
      </c>
      <c r="J17" s="130">
        <v>33852.368170000002</v>
      </c>
      <c r="K17" s="326">
        <f>I17/$I$20</f>
        <v>0.15271821916764777</v>
      </c>
      <c r="L17" s="94"/>
      <c r="M17" s="94"/>
      <c r="N17" s="77"/>
      <c r="O17" s="77"/>
      <c r="P17" s="77"/>
      <c r="Q17" s="77"/>
      <c r="R17" s="77"/>
      <c r="S17" s="77"/>
      <c r="T17" s="77"/>
      <c r="U17" s="10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" customHeight="1">
      <c r="A18" s="433"/>
      <c r="B18" s="433"/>
      <c r="C18" s="155" t="s">
        <v>7</v>
      </c>
      <c r="D18" s="332">
        <v>94722</v>
      </c>
      <c r="E18" s="130">
        <v>2036.1622</v>
      </c>
      <c r="F18" s="130">
        <v>21780.90768</v>
      </c>
      <c r="G18" s="326">
        <f>E18/$E$20</f>
        <v>0.15806122823609234</v>
      </c>
      <c r="H18" s="326">
        <f t="shared" si="1"/>
        <v>-0.5961391751342372</v>
      </c>
      <c r="I18" s="332">
        <v>5041.7422899999992</v>
      </c>
      <c r="J18" s="130">
        <v>53871.437769999997</v>
      </c>
      <c r="K18" s="326">
        <f>I18/$I$20</f>
        <v>0.24303205216786436</v>
      </c>
      <c r="L18" s="94"/>
      <c r="M18" s="94"/>
      <c r="N18" s="77"/>
      <c r="O18" s="77"/>
      <c r="P18" s="77"/>
      <c r="Q18" s="77"/>
      <c r="R18" s="77"/>
      <c r="S18" s="77"/>
      <c r="T18" s="77"/>
      <c r="U18" s="104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" customHeight="1">
      <c r="A19" s="433"/>
      <c r="B19" s="433"/>
      <c r="C19" s="155" t="s">
        <v>93</v>
      </c>
      <c r="D19" s="332">
        <v>15</v>
      </c>
      <c r="E19" s="130">
        <v>385.505</v>
      </c>
      <c r="F19" s="130">
        <v>4123.5590000000002</v>
      </c>
      <c r="G19" s="326">
        <f>E19/$E$20</f>
        <v>2.9925608967279117E-2</v>
      </c>
      <c r="H19" s="326">
        <f t="shared" si="1"/>
        <v>1.9679155700739286E-2</v>
      </c>
      <c r="I19" s="332">
        <v>378.065</v>
      </c>
      <c r="J19" s="130">
        <v>4039.835</v>
      </c>
      <c r="K19" s="326">
        <f>I19/$I$20</f>
        <v>1.8224238272766546E-2</v>
      </c>
      <c r="L19" s="94"/>
      <c r="M19" s="94"/>
      <c r="N19" s="77"/>
      <c r="O19" s="77"/>
      <c r="P19" s="77"/>
      <c r="Q19" s="77"/>
      <c r="R19" s="77"/>
      <c r="S19" s="77"/>
      <c r="T19" s="77"/>
      <c r="U19" s="104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" customHeight="1">
      <c r="A20" s="434"/>
      <c r="B20" s="434"/>
      <c r="C20" s="337" t="s">
        <v>0</v>
      </c>
      <c r="D20" s="340">
        <v>104755</v>
      </c>
      <c r="E20" s="338">
        <v>12882.110449999998</v>
      </c>
      <c r="F20" s="338">
        <v>137797.62778000001</v>
      </c>
      <c r="G20" s="339">
        <f>SUM(G15:G19)</f>
        <v>1.0000000000000002</v>
      </c>
      <c r="H20" s="339">
        <f t="shared" si="1"/>
        <v>-0.37903098594978152</v>
      </c>
      <c r="I20" s="340">
        <v>20745.174329999994</v>
      </c>
      <c r="J20" s="338">
        <v>221663.92050999997</v>
      </c>
      <c r="K20" s="339">
        <f>SUM(K15:K19)</f>
        <v>1.0000000000000002</v>
      </c>
      <c r="L20" s="94"/>
      <c r="M20" s="94"/>
      <c r="N20" s="77"/>
      <c r="O20" s="77"/>
      <c r="P20" s="77"/>
      <c r="Q20" s="77"/>
      <c r="R20" s="77"/>
      <c r="S20" s="77"/>
      <c r="T20" s="77"/>
      <c r="U20" s="104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" customHeight="1">
      <c r="A21" s="432" t="str">
        <f>'3.1'!F5</f>
        <v>Červen</v>
      </c>
      <c r="B21" s="432"/>
      <c r="C21" s="165" t="s">
        <v>4</v>
      </c>
      <c r="D21" s="331">
        <v>85</v>
      </c>
      <c r="E21" s="327">
        <v>6815.1008899999997</v>
      </c>
      <c r="F21" s="327">
        <v>73385.687919999997</v>
      </c>
      <c r="G21" s="328">
        <f>E21/$E$26</f>
        <v>0.67493803177663214</v>
      </c>
      <c r="H21" s="328">
        <f>(E21-I21)/I21</f>
        <v>1.7833154097783629E-2</v>
      </c>
      <c r="I21" s="331">
        <v>6695.6955200000002</v>
      </c>
      <c r="J21" s="327">
        <v>71512.706390000007</v>
      </c>
      <c r="K21" s="328">
        <f>I21/$I$26</f>
        <v>0.62321047645090355</v>
      </c>
      <c r="L21" s="88"/>
      <c r="M21" s="88"/>
      <c r="N21" s="77"/>
      <c r="O21" s="77"/>
      <c r="P21" s="77"/>
      <c r="Q21" s="77"/>
      <c r="R21" s="77"/>
      <c r="S21" s="77"/>
      <c r="T21" s="77"/>
      <c r="U21" s="104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" customHeight="1">
      <c r="A22" s="433"/>
      <c r="B22" s="433"/>
      <c r="C22" s="155" t="s">
        <v>5</v>
      </c>
      <c r="D22" s="332">
        <v>293</v>
      </c>
      <c r="E22" s="130">
        <v>1352.51269</v>
      </c>
      <c r="F22" s="130">
        <v>14566.42203</v>
      </c>
      <c r="G22" s="326">
        <f>E22/$E$26</f>
        <v>0.13394699031983345</v>
      </c>
      <c r="H22" s="326">
        <f t="shared" ref="H22:H26" si="2">(E22-I22)/I22</f>
        <v>-0.1943570413594212</v>
      </c>
      <c r="I22" s="332">
        <v>1678.7991199999999</v>
      </c>
      <c r="J22" s="130">
        <v>17930.003639999999</v>
      </c>
      <c r="K22" s="326">
        <f>I22/$I$26</f>
        <v>0.1562563883491162</v>
      </c>
      <c r="L22" s="88"/>
      <c r="M22" s="88"/>
      <c r="N22" s="77"/>
      <c r="O22" s="77"/>
      <c r="P22" s="77"/>
      <c r="Q22" s="77"/>
      <c r="R22" s="77"/>
      <c r="S22" s="77"/>
      <c r="T22" s="77"/>
      <c r="U22" s="104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" customHeight="1">
      <c r="A23" s="433"/>
      <c r="B23" s="433"/>
      <c r="C23" s="155" t="s">
        <v>6</v>
      </c>
      <c r="D23" s="332">
        <v>9619</v>
      </c>
      <c r="E23" s="130">
        <v>603.15680000000009</v>
      </c>
      <c r="F23" s="130">
        <v>6495.1861699999999</v>
      </c>
      <c r="G23" s="326">
        <f>E23/$E$26</f>
        <v>5.9734033290986518E-2</v>
      </c>
      <c r="H23" s="326">
        <f t="shared" si="2"/>
        <v>-0.20883837007876829</v>
      </c>
      <c r="I23" s="332">
        <v>762.36861999999996</v>
      </c>
      <c r="J23" s="130">
        <v>8142.8266600000006</v>
      </c>
      <c r="K23" s="326">
        <f>I23/$I$26</f>
        <v>7.0958440311726989E-2</v>
      </c>
      <c r="L23" s="88"/>
      <c r="M23" s="88"/>
      <c r="N23" s="77"/>
      <c r="O23" s="77"/>
      <c r="P23" s="77"/>
      <c r="Q23" s="77"/>
      <c r="R23" s="77"/>
      <c r="S23" s="77"/>
      <c r="T23" s="77"/>
      <c r="U23" s="104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" customHeight="1">
      <c r="A24" s="433"/>
      <c r="B24" s="433"/>
      <c r="C24" s="155" t="s">
        <v>7</v>
      </c>
      <c r="D24" s="332">
        <v>94554</v>
      </c>
      <c r="E24" s="130">
        <v>955.46037000000001</v>
      </c>
      <c r="F24" s="130">
        <v>10290.219710000001</v>
      </c>
      <c r="G24" s="326">
        <f>E24/$E$26</f>
        <v>9.4624650753830988E-2</v>
      </c>
      <c r="H24" s="326">
        <f t="shared" si="2"/>
        <v>-0.21321969421361212</v>
      </c>
      <c r="I24" s="332">
        <v>1214.39284</v>
      </c>
      <c r="J24" s="130">
        <v>12970.229360000001</v>
      </c>
      <c r="K24" s="326">
        <f>I24/$I$26</f>
        <v>0.1130311762466412</v>
      </c>
      <c r="L24" s="88"/>
      <c r="M24" s="88"/>
      <c r="N24" s="77"/>
      <c r="O24" s="77"/>
      <c r="P24" s="77"/>
      <c r="Q24" s="77"/>
      <c r="R24" s="77"/>
      <c r="S24" s="77"/>
      <c r="T24" s="77"/>
      <c r="U24" s="104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" customHeight="1">
      <c r="A25" s="433"/>
      <c r="B25" s="433"/>
      <c r="C25" s="155" t="s">
        <v>93</v>
      </c>
      <c r="D25" s="332">
        <v>15</v>
      </c>
      <c r="E25" s="130">
        <v>371.142</v>
      </c>
      <c r="F25" s="130">
        <v>3995.7629999999999</v>
      </c>
      <c r="G25" s="326">
        <f>E25/$E$26</f>
        <v>3.6756293858716864E-2</v>
      </c>
      <c r="H25" s="326">
        <f t="shared" si="2"/>
        <v>-5.4701886561781349E-2</v>
      </c>
      <c r="I25" s="332">
        <v>392.61900000000003</v>
      </c>
      <c r="J25" s="130">
        <v>4192.9780000000001</v>
      </c>
      <c r="K25" s="326">
        <f>I25/$I$26</f>
        <v>3.6543518641611906E-2</v>
      </c>
      <c r="L25" s="88"/>
      <c r="M25" s="88"/>
      <c r="N25" s="77"/>
      <c r="O25" s="77"/>
      <c r="P25" s="77"/>
      <c r="Q25" s="77"/>
      <c r="R25" s="77"/>
      <c r="S25" s="77"/>
      <c r="T25" s="77"/>
      <c r="U25" s="104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" customHeight="1">
      <c r="A26" s="434"/>
      <c r="B26" s="434"/>
      <c r="C26" s="337" t="s">
        <v>0</v>
      </c>
      <c r="D26" s="340">
        <v>104566</v>
      </c>
      <c r="E26" s="338">
        <v>10097.37275</v>
      </c>
      <c r="F26" s="338">
        <v>108733.27883000001</v>
      </c>
      <c r="G26" s="339">
        <f>SUM(G21:G25)</f>
        <v>0.99999999999999989</v>
      </c>
      <c r="H26" s="339">
        <f t="shared" si="2"/>
        <v>-6.0174038136389038E-2</v>
      </c>
      <c r="I26" s="340">
        <v>10743.875100000001</v>
      </c>
      <c r="J26" s="338">
        <v>114748.74405000001</v>
      </c>
      <c r="K26" s="339">
        <f>SUM(K21:K25)</f>
        <v>0.99999999999999978</v>
      </c>
      <c r="N26" s="77"/>
      <c r="O26" s="77"/>
      <c r="P26" s="77"/>
      <c r="Q26" s="77"/>
      <c r="R26" s="77"/>
      <c r="S26" s="77"/>
      <c r="T26" s="77"/>
      <c r="U26" s="104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" customHeight="1">
      <c r="A27" s="501" t="str">
        <f>'3.1'!G5</f>
        <v>II. čtvrtletí</v>
      </c>
      <c r="B27" s="432"/>
      <c r="C27" s="165" t="s">
        <v>4</v>
      </c>
      <c r="D27" s="331">
        <f>D21</f>
        <v>85</v>
      </c>
      <c r="E27" s="327">
        <f>E9+E15+E21</f>
        <v>22896.94226</v>
      </c>
      <c r="F27" s="327">
        <f>F9+F15+F21</f>
        <v>245292.34947000002</v>
      </c>
      <c r="G27" s="328">
        <f>E27/$E$32</f>
        <v>0.48154943199248418</v>
      </c>
      <c r="H27" s="328">
        <f>(E27-I27)/I27</f>
        <v>-0.1496087732185338</v>
      </c>
      <c r="I27" s="331">
        <f>I9+I15+I21</f>
        <v>26925.18636</v>
      </c>
      <c r="J27" s="327">
        <f>J9+J15+J21</f>
        <v>287597.53628</v>
      </c>
      <c r="K27" s="328">
        <f>I27/$I$32</f>
        <v>0.44448624884572507</v>
      </c>
      <c r="N27" s="77"/>
      <c r="O27" s="77"/>
      <c r="P27" s="77"/>
      <c r="Q27" s="77"/>
      <c r="R27" s="77"/>
      <c r="S27" s="77"/>
      <c r="T27" s="77"/>
      <c r="U27" s="104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" customHeight="1">
      <c r="A28" s="433"/>
      <c r="B28" s="433"/>
      <c r="C28" s="155" t="s">
        <v>5</v>
      </c>
      <c r="D28" s="332">
        <f>D22</f>
        <v>293</v>
      </c>
      <c r="E28" s="130">
        <f t="shared" ref="E28:F28" si="3">E10+E16+E22</f>
        <v>6144.1001099999994</v>
      </c>
      <c r="F28" s="130">
        <f t="shared" si="3"/>
        <v>65791.211249999993</v>
      </c>
      <c r="G28" s="326">
        <f>E28/$E$32</f>
        <v>0.12921759964622714</v>
      </c>
      <c r="H28" s="326">
        <f t="shared" ref="H28:H31" si="4">(E28-I28)/I28</f>
        <v>-0.24424166738413744</v>
      </c>
      <c r="I28" s="332">
        <f t="shared" ref="I28:J28" si="5">I10+I16+I22</f>
        <v>8129.7153399999988</v>
      </c>
      <c r="J28" s="130">
        <f t="shared" si="5"/>
        <v>86834.262669999996</v>
      </c>
      <c r="K28" s="326">
        <f>I28/$I$32</f>
        <v>0.13420693277088791</v>
      </c>
      <c r="N28" s="77"/>
      <c r="O28" s="77"/>
      <c r="P28" s="77"/>
      <c r="Q28" s="77"/>
      <c r="R28" s="77"/>
      <c r="S28" s="77"/>
      <c r="T28" s="77"/>
      <c r="U28" s="104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" customHeight="1">
      <c r="A29" s="433"/>
      <c r="B29" s="433"/>
      <c r="C29" s="155" t="s">
        <v>6</v>
      </c>
      <c r="D29" s="332">
        <f>D23</f>
        <v>9619</v>
      </c>
      <c r="E29" s="130">
        <f t="shared" ref="E29:F29" si="6">E11+E17+E23</f>
        <v>6718.5181999999995</v>
      </c>
      <c r="F29" s="130">
        <f t="shared" si="6"/>
        <v>71850.792749999993</v>
      </c>
      <c r="G29" s="326">
        <f>E29/$E$32</f>
        <v>0.14129828281451792</v>
      </c>
      <c r="H29" s="326">
        <f t="shared" si="4"/>
        <v>-0.28668013498551015</v>
      </c>
      <c r="I29" s="332">
        <f t="shared" ref="I29:J29" si="7">I11+I17+I23</f>
        <v>9418.6612899999982</v>
      </c>
      <c r="J29" s="130">
        <f t="shared" si="7"/>
        <v>100601.36348000001</v>
      </c>
      <c r="K29" s="326">
        <f>I29/$I$32</f>
        <v>0.15548510491128639</v>
      </c>
      <c r="N29" s="77"/>
      <c r="O29" s="77"/>
      <c r="P29" s="77"/>
      <c r="Q29" s="77"/>
      <c r="R29" s="77"/>
      <c r="S29" s="77"/>
      <c r="T29" s="77"/>
      <c r="U29" s="104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" customHeight="1">
      <c r="A30" s="433"/>
      <c r="B30" s="433"/>
      <c r="C30" s="155" t="s">
        <v>7</v>
      </c>
      <c r="D30" s="332">
        <f>D24</f>
        <v>94554</v>
      </c>
      <c r="E30" s="130">
        <f t="shared" ref="E30:F31" si="8">E12+E18+E24</f>
        <v>10670.83678</v>
      </c>
      <c r="F30" s="130">
        <f t="shared" si="8"/>
        <v>114119.84596000001</v>
      </c>
      <c r="G30" s="326">
        <f>E30/$E$32</f>
        <v>0.22442015758891593</v>
      </c>
      <c r="H30" s="326">
        <f t="shared" si="4"/>
        <v>-0.28800737502462548</v>
      </c>
      <c r="I30" s="332">
        <f t="shared" ref="I30:J30" si="9">I12+I18+I24</f>
        <v>14987.285550000001</v>
      </c>
      <c r="J30" s="130">
        <f t="shared" si="9"/>
        <v>160078.52674</v>
      </c>
      <c r="K30" s="326">
        <f>I30/$I$32</f>
        <v>0.24741304462782704</v>
      </c>
      <c r="N30" s="77"/>
      <c r="O30" s="77"/>
      <c r="P30" s="77"/>
      <c r="Q30" s="77"/>
      <c r="R30" s="77"/>
      <c r="S30" s="77"/>
      <c r="T30" s="77"/>
      <c r="U30" s="104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" customHeight="1">
      <c r="A31" s="433"/>
      <c r="B31" s="433"/>
      <c r="C31" s="155" t="s">
        <v>93</v>
      </c>
      <c r="D31" s="332">
        <f>D25</f>
        <v>15</v>
      </c>
      <c r="E31" s="130">
        <f>E13+E19+E25</f>
        <v>1118.08</v>
      </c>
      <c r="F31" s="130">
        <f t="shared" si="8"/>
        <v>11980.386999999999</v>
      </c>
      <c r="G31" s="326">
        <f>E31/$E$32</f>
        <v>2.3514527957854782E-2</v>
      </c>
      <c r="H31" s="326">
        <f t="shared" si="4"/>
        <v>2.6517254150437933E-3</v>
      </c>
      <c r="I31" s="332">
        <f>I13+I19+I25</f>
        <v>1115.123</v>
      </c>
      <c r="J31" s="130">
        <f t="shared" ref="J31" si="10">J13+J19+J25</f>
        <v>11911.16</v>
      </c>
      <c r="K31" s="326">
        <f>I31/$I$32</f>
        <v>1.8408668844273564E-2</v>
      </c>
      <c r="N31" s="77"/>
      <c r="O31" s="77"/>
      <c r="P31" s="77"/>
      <c r="Q31" s="77"/>
      <c r="R31" s="77"/>
      <c r="S31" s="77"/>
      <c r="T31" s="77"/>
      <c r="U31" s="104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" customHeight="1">
      <c r="A32" s="434"/>
      <c r="B32" s="434"/>
      <c r="C32" s="337" t="s">
        <v>0</v>
      </c>
      <c r="D32" s="340">
        <f>SUM(D27:D31)</f>
        <v>104566</v>
      </c>
      <c r="E32" s="338">
        <f>SUM(E27:E31)</f>
        <v>47548.477350000001</v>
      </c>
      <c r="F32" s="338">
        <f>SUM(F27:F31)</f>
        <v>509034.58642999997</v>
      </c>
      <c r="G32" s="339">
        <f>SUM(G27:G31)</f>
        <v>1</v>
      </c>
      <c r="H32" s="339">
        <f>(E32-I32)/I32</f>
        <v>-0.21506042509607265</v>
      </c>
      <c r="I32" s="340">
        <f>SUM(I27:I31)</f>
        <v>60575.971539999999</v>
      </c>
      <c r="J32" s="338">
        <f>SUM(J27:J31)</f>
        <v>647022.84916999994</v>
      </c>
      <c r="K32" s="339">
        <f>SUM(K27:K31)</f>
        <v>1</v>
      </c>
      <c r="N32" s="77"/>
      <c r="O32" s="77"/>
      <c r="P32" s="77"/>
      <c r="Q32" s="77"/>
      <c r="R32" s="77"/>
      <c r="S32" s="77"/>
      <c r="T32" s="77"/>
      <c r="U32" s="104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9.9499999999999993" customHeight="1">
      <c r="A33" s="385"/>
      <c r="B33" s="386"/>
      <c r="C33" s="387"/>
      <c r="D33" s="388"/>
      <c r="E33" s="388"/>
      <c r="F33" s="388"/>
      <c r="G33" s="389"/>
      <c r="H33" s="390"/>
      <c r="I33" s="388"/>
      <c r="J33" s="388"/>
      <c r="K33" s="389"/>
    </row>
    <row r="34" spans="1:11" ht="12.95" customHeight="1">
      <c r="A34" s="526" t="s">
        <v>36</v>
      </c>
      <c r="B34" s="526"/>
      <c r="C34" s="526"/>
      <c r="D34" s="491">
        <f>D4</f>
        <v>2022</v>
      </c>
      <c r="E34" s="380"/>
      <c r="F34" s="369"/>
      <c r="G34" s="369"/>
      <c r="H34" s="369"/>
      <c r="I34" s="491">
        <f>D34-1</f>
        <v>2021</v>
      </c>
      <c r="J34" s="492"/>
      <c r="K34" s="492"/>
    </row>
    <row r="35" spans="1:11" ht="24.95" customHeight="1">
      <c r="A35" s="323"/>
      <c r="B35" s="291"/>
      <c r="C35" s="151"/>
      <c r="D35" s="493"/>
      <c r="E35" s="382"/>
      <c r="F35" s="383"/>
      <c r="G35" s="383"/>
      <c r="H35" s="384"/>
      <c r="I35" s="493"/>
      <c r="J35" s="494"/>
      <c r="K35" s="494"/>
    </row>
    <row r="36" spans="1:11" ht="24.95" customHeight="1">
      <c r="A36" s="131"/>
      <c r="B36" s="132"/>
      <c r="C36" s="379"/>
      <c r="D36" s="391" t="s">
        <v>160</v>
      </c>
      <c r="E36" s="489" t="s">
        <v>60</v>
      </c>
      <c r="F36" s="489"/>
      <c r="G36" s="490" t="s">
        <v>33</v>
      </c>
      <c r="H36" s="490" t="s">
        <v>274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25"/>
      <c r="C37" s="325"/>
      <c r="D37" s="392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27" t="s">
        <v>159</v>
      </c>
      <c r="B38" s="527"/>
      <c r="C38" s="393" t="s">
        <v>185</v>
      </c>
      <c r="D38" s="370"/>
      <c r="E38" s="222" t="s">
        <v>265</v>
      </c>
      <c r="F38" s="222" t="s">
        <v>266</v>
      </c>
      <c r="G38" s="477"/>
      <c r="H38" s="477"/>
      <c r="I38" s="224" t="s">
        <v>265</v>
      </c>
      <c r="J38" s="222" t="s">
        <v>266</v>
      </c>
      <c r="K38" s="477"/>
    </row>
    <row r="39" spans="1:11" ht="11.1" customHeight="1">
      <c r="A39" s="432" t="str">
        <f>'3.1'!D5</f>
        <v>Duben</v>
      </c>
      <c r="B39" s="432"/>
      <c r="C39" s="165" t="s">
        <v>4</v>
      </c>
      <c r="D39" s="331">
        <v>195</v>
      </c>
      <c r="E39" s="327">
        <v>32317.572</v>
      </c>
      <c r="F39" s="327">
        <v>348256.30985999998</v>
      </c>
      <c r="G39" s="328">
        <f>E39/$E$44</f>
        <v>0.36181381757929271</v>
      </c>
      <c r="H39" s="328">
        <f>(E39-I39)/I39</f>
        <v>-3.4455873663638961E-2</v>
      </c>
      <c r="I39" s="331">
        <v>33470.839</v>
      </c>
      <c r="J39" s="327">
        <v>357339.58832000004</v>
      </c>
      <c r="K39" s="328">
        <f>I39/$I$44</f>
        <v>0.33630922189622603</v>
      </c>
    </row>
    <row r="40" spans="1:11" ht="11.1" customHeight="1">
      <c r="A40" s="433"/>
      <c r="B40" s="433"/>
      <c r="C40" s="155" t="s">
        <v>5</v>
      </c>
      <c r="D40" s="332">
        <v>818</v>
      </c>
      <c r="E40" s="130">
        <v>8691.4120000000003</v>
      </c>
      <c r="F40" s="130">
        <v>93659.656619999907</v>
      </c>
      <c r="G40" s="326">
        <f t="shared" ref="G40:G41" si="11">E40/$E$44</f>
        <v>9.7305359321995966E-2</v>
      </c>
      <c r="H40" s="326">
        <f>(E40-I40)/I40</f>
        <v>-0.13057223660918635</v>
      </c>
      <c r="I40" s="332">
        <v>9996.7039999999997</v>
      </c>
      <c r="J40" s="130">
        <v>106726.47860999998</v>
      </c>
      <c r="K40" s="326">
        <f t="shared" ref="K40:K43" si="12">I40/$I$44</f>
        <v>0.10044515895663357</v>
      </c>
    </row>
    <row r="41" spans="1:11" ht="11.1" customHeight="1">
      <c r="A41" s="433"/>
      <c r="B41" s="433"/>
      <c r="C41" s="155" t="s">
        <v>6</v>
      </c>
      <c r="D41" s="332">
        <v>24272</v>
      </c>
      <c r="E41" s="130">
        <v>13325.286</v>
      </c>
      <c r="F41" s="130">
        <v>143594.80877999999</v>
      </c>
      <c r="G41" s="326">
        <f t="shared" si="11"/>
        <v>0.14918424558614438</v>
      </c>
      <c r="H41" s="326">
        <f t="shared" ref="H41:H43" si="13">(E41-I41)/I41</f>
        <v>-7.1363924214050953E-2</v>
      </c>
      <c r="I41" s="332">
        <v>14349.308999999999</v>
      </c>
      <c r="J41" s="130">
        <v>153195.14042000001</v>
      </c>
      <c r="K41" s="326">
        <f t="shared" si="12"/>
        <v>0.14417938386720791</v>
      </c>
    </row>
    <row r="42" spans="1:11" ht="11.1" customHeight="1">
      <c r="A42" s="433"/>
      <c r="B42" s="433"/>
      <c r="C42" s="155" t="s">
        <v>7</v>
      </c>
      <c r="D42" s="332">
        <v>356030</v>
      </c>
      <c r="E42" s="130">
        <v>33956.5</v>
      </c>
      <c r="F42" s="130">
        <v>365917.7</v>
      </c>
      <c r="G42" s="326">
        <f>E42/$E$44</f>
        <v>0.38016255975638436</v>
      </c>
      <c r="H42" s="326">
        <f t="shared" si="13"/>
        <v>-0.16360828398868937</v>
      </c>
      <c r="I42" s="332">
        <v>40598.800000000003</v>
      </c>
      <c r="J42" s="130">
        <v>433438.7</v>
      </c>
      <c r="K42" s="326">
        <f t="shared" si="12"/>
        <v>0.40792974558900369</v>
      </c>
    </row>
    <row r="43" spans="1:11" ht="11.1" customHeight="1">
      <c r="A43" s="433"/>
      <c r="B43" s="433"/>
      <c r="C43" s="155" t="s">
        <v>93</v>
      </c>
      <c r="D43" s="332">
        <v>27</v>
      </c>
      <c r="E43" s="130">
        <v>1030.23</v>
      </c>
      <c r="F43" s="130">
        <v>11101.856380000001</v>
      </c>
      <c r="G43" s="326">
        <f>E43/$E$44</f>
        <v>1.1534017756182759E-2</v>
      </c>
      <c r="H43" s="326">
        <f t="shared" si="13"/>
        <v>-7.0481473327871705E-2</v>
      </c>
      <c r="I43" s="332">
        <v>1108.348</v>
      </c>
      <c r="J43" s="130">
        <v>11832.88816</v>
      </c>
      <c r="K43" s="326">
        <f t="shared" si="12"/>
        <v>1.1136489690928821E-2</v>
      </c>
    </row>
    <row r="44" spans="1:11" ht="11.1" customHeight="1">
      <c r="A44" s="434"/>
      <c r="B44" s="434"/>
      <c r="C44" s="337" t="s">
        <v>0</v>
      </c>
      <c r="D44" s="340">
        <v>381342</v>
      </c>
      <c r="E44" s="338">
        <v>89320.999999999985</v>
      </c>
      <c r="F44" s="338">
        <v>962530.33163999999</v>
      </c>
      <c r="G44" s="339">
        <f>SUM(G39:G43)</f>
        <v>1.0000000000000002</v>
      </c>
      <c r="H44" s="339">
        <f>(E44-I44)/I44</f>
        <v>-0.10251798561151093</v>
      </c>
      <c r="I44" s="340">
        <v>99524</v>
      </c>
      <c r="J44" s="338">
        <v>1062532.7955100001</v>
      </c>
      <c r="K44" s="339">
        <f>SUM(K39:K43)</f>
        <v>1</v>
      </c>
    </row>
    <row r="45" spans="1:11" ht="11.1" customHeight="1">
      <c r="A45" s="432" t="str">
        <f>'3.1'!E5</f>
        <v>Květen</v>
      </c>
      <c r="B45" s="432"/>
      <c r="C45" s="165" t="s">
        <v>4</v>
      </c>
      <c r="D45" s="331">
        <v>194</v>
      </c>
      <c r="E45" s="327">
        <v>19009.419999999998</v>
      </c>
      <c r="F45" s="327">
        <v>204254.06030999997</v>
      </c>
      <c r="G45" s="328">
        <f>E45/$E$50</f>
        <v>0.50897003384312201</v>
      </c>
      <c r="H45" s="328">
        <f>(E45-I45)/I45</f>
        <v>-0.14542700260636998</v>
      </c>
      <c r="I45" s="331">
        <v>22244.349000000002</v>
      </c>
      <c r="J45" s="327">
        <v>237523.11322999999</v>
      </c>
      <c r="K45" s="328">
        <f>I45/$I$50</f>
        <v>0.37505857458395864</v>
      </c>
    </row>
    <row r="46" spans="1:11" ht="11.1" customHeight="1">
      <c r="A46" s="433"/>
      <c r="B46" s="433"/>
      <c r="C46" s="155" t="s">
        <v>5</v>
      </c>
      <c r="D46" s="332">
        <v>821</v>
      </c>
      <c r="E46" s="130">
        <v>4308.1900000000005</v>
      </c>
      <c r="F46" s="130">
        <v>46290.666109999918</v>
      </c>
      <c r="G46" s="326">
        <f t="shared" ref="G46:G48" si="14">E46/$E$50</f>
        <v>0.1153501585057619</v>
      </c>
      <c r="H46" s="326">
        <f>(E46-I46)/I46</f>
        <v>-0.28785209928900746</v>
      </c>
      <c r="I46" s="332">
        <v>6049.5720000000001</v>
      </c>
      <c r="J46" s="130">
        <v>64596.640959999982</v>
      </c>
      <c r="K46" s="326">
        <f t="shared" ref="K46:K49" si="15">I46/$I$50</f>
        <v>0.10200091048576101</v>
      </c>
    </row>
    <row r="47" spans="1:11" ht="11.1" customHeight="1">
      <c r="A47" s="433"/>
      <c r="B47" s="433"/>
      <c r="C47" s="155" t="s">
        <v>6</v>
      </c>
      <c r="D47" s="332">
        <v>24259</v>
      </c>
      <c r="E47" s="130">
        <v>4110.8959999999997</v>
      </c>
      <c r="F47" s="130">
        <v>44170.89314</v>
      </c>
      <c r="G47" s="326">
        <f t="shared" si="14"/>
        <v>0.11006768624427021</v>
      </c>
      <c r="H47" s="326">
        <f t="shared" ref="H47:H49" si="16">(E47-I47)/I47</f>
        <v>-0.45792510210478332</v>
      </c>
      <c r="I47" s="332">
        <v>7583.6309999999994</v>
      </c>
      <c r="J47" s="130">
        <v>80976.748229999997</v>
      </c>
      <c r="K47" s="326">
        <f t="shared" si="15"/>
        <v>0.12786644522753712</v>
      </c>
    </row>
    <row r="48" spans="1:11" ht="11.1" customHeight="1">
      <c r="A48" s="433"/>
      <c r="B48" s="433"/>
      <c r="C48" s="155" t="s">
        <v>7</v>
      </c>
      <c r="D48" s="332">
        <v>355574</v>
      </c>
      <c r="E48" s="130">
        <v>8784.7000000000007</v>
      </c>
      <c r="F48" s="130">
        <v>94390.5</v>
      </c>
      <c r="G48" s="326">
        <f t="shared" si="14"/>
        <v>0.23520702137685817</v>
      </c>
      <c r="H48" s="326">
        <f t="shared" si="16"/>
        <v>-0.60462761265234843</v>
      </c>
      <c r="I48" s="332">
        <v>22218.799999999999</v>
      </c>
      <c r="J48" s="130">
        <v>237250.3</v>
      </c>
      <c r="K48" s="326">
        <f t="shared" si="15"/>
        <v>0.37462779679306679</v>
      </c>
    </row>
    <row r="49" spans="1:11" ht="11.1" customHeight="1">
      <c r="A49" s="433"/>
      <c r="B49" s="433"/>
      <c r="C49" s="155" t="s">
        <v>93</v>
      </c>
      <c r="D49" s="332">
        <v>27</v>
      </c>
      <c r="E49" s="130">
        <v>1135.5940000000001</v>
      </c>
      <c r="F49" s="130">
        <v>12201.834720000001</v>
      </c>
      <c r="G49" s="326">
        <f>E49/$E$50</f>
        <v>3.0405100029987576E-2</v>
      </c>
      <c r="H49" s="326">
        <f t="shared" si="16"/>
        <v>-6.3541934675190051E-2</v>
      </c>
      <c r="I49" s="332">
        <v>1212.6479999999999</v>
      </c>
      <c r="J49" s="130">
        <v>12948.533869999999</v>
      </c>
      <c r="K49" s="326">
        <f t="shared" si="15"/>
        <v>2.044627290967644E-2</v>
      </c>
    </row>
    <row r="50" spans="1:11" ht="11.1" customHeight="1">
      <c r="A50" s="434"/>
      <c r="B50" s="434"/>
      <c r="C50" s="337" t="s">
        <v>0</v>
      </c>
      <c r="D50" s="340">
        <v>380875</v>
      </c>
      <c r="E50" s="338">
        <v>37348.800000000003</v>
      </c>
      <c r="F50" s="338">
        <v>401307.95427999989</v>
      </c>
      <c r="G50" s="339">
        <f>SUM(G45:G49)</f>
        <v>0.99999999999999989</v>
      </c>
      <c r="H50" s="339">
        <f t="shared" ref="H50" si="17">(E50-I50)/I50</f>
        <v>-0.37026758164865359</v>
      </c>
      <c r="I50" s="340">
        <v>59309</v>
      </c>
      <c r="J50" s="338">
        <v>633295.33628999989</v>
      </c>
      <c r="K50" s="339">
        <f>SUM(K45:K49)</f>
        <v>1</v>
      </c>
    </row>
    <row r="51" spans="1:11" ht="11.1" customHeight="1">
      <c r="A51" s="432" t="str">
        <f>'3.1'!F5</f>
        <v>Červen</v>
      </c>
      <c r="B51" s="432"/>
      <c r="C51" s="165" t="s">
        <v>4</v>
      </c>
      <c r="D51" s="331">
        <v>194</v>
      </c>
      <c r="E51" s="327">
        <v>17134.256999999998</v>
      </c>
      <c r="F51" s="327">
        <v>185593.52324999997</v>
      </c>
      <c r="G51" s="328">
        <f>E51/$E$56</f>
        <v>0.58783242189912244</v>
      </c>
      <c r="H51" s="328">
        <f>(E51-I51)/I51</f>
        <v>-1.8755440459610064E-2</v>
      </c>
      <c r="I51" s="331">
        <v>17461.759999999998</v>
      </c>
      <c r="J51" s="327">
        <v>186585.15693</v>
      </c>
      <c r="K51" s="328">
        <f>I51/$I$56</f>
        <v>0.55906792983220044</v>
      </c>
    </row>
    <row r="52" spans="1:11" ht="11.1" customHeight="1">
      <c r="A52" s="433"/>
      <c r="B52" s="433"/>
      <c r="C52" s="155" t="s">
        <v>5</v>
      </c>
      <c r="D52" s="332">
        <v>822</v>
      </c>
      <c r="E52" s="130">
        <v>3197.9780000000001</v>
      </c>
      <c r="F52" s="130">
        <v>34640.189190000019</v>
      </c>
      <c r="G52" s="326">
        <f t="shared" ref="G52:G55" si="18">E52/$E$56</f>
        <v>0.10971442490445381</v>
      </c>
      <c r="H52" s="326">
        <f t="shared" ref="H52:H55" si="19">(E52-I52)/I52</f>
        <v>-7.395335449529529E-2</v>
      </c>
      <c r="I52" s="332">
        <v>3453.366</v>
      </c>
      <c r="J52" s="130">
        <v>36900.336519999997</v>
      </c>
      <c r="K52" s="326">
        <f t="shared" ref="K52:K55" si="20">I52/$I$56</f>
        <v>0.11056538290372259</v>
      </c>
    </row>
    <row r="53" spans="1:11" ht="11.1" customHeight="1">
      <c r="A53" s="433"/>
      <c r="B53" s="433"/>
      <c r="C53" s="155" t="s">
        <v>6</v>
      </c>
      <c r="D53" s="332">
        <v>24206</v>
      </c>
      <c r="E53" s="130">
        <v>2540.768</v>
      </c>
      <c r="F53" s="130">
        <v>27520.718089999998</v>
      </c>
      <c r="G53" s="326">
        <f t="shared" si="18"/>
        <v>8.7167235026519657E-2</v>
      </c>
      <c r="H53" s="326">
        <f t="shared" si="19"/>
        <v>0.15488667122724148</v>
      </c>
      <c r="I53" s="332">
        <v>2200.0150000000003</v>
      </c>
      <c r="J53" s="130">
        <v>23507.48129</v>
      </c>
      <c r="K53" s="326">
        <f t="shared" si="20"/>
        <v>7.0437220053980176E-2</v>
      </c>
    </row>
    <row r="54" spans="1:11" ht="11.1" customHeight="1">
      <c r="A54" s="433"/>
      <c r="B54" s="433"/>
      <c r="C54" s="155" t="s">
        <v>7</v>
      </c>
      <c r="D54" s="332">
        <v>355105</v>
      </c>
      <c r="E54" s="130">
        <v>5153.8</v>
      </c>
      <c r="F54" s="130">
        <v>55824.5</v>
      </c>
      <c r="G54" s="326">
        <f t="shared" si="18"/>
        <v>0.17681366259323048</v>
      </c>
      <c r="H54" s="326">
        <f t="shared" si="19"/>
        <v>-0.2524549265335132</v>
      </c>
      <c r="I54" s="332">
        <v>6894.3</v>
      </c>
      <c r="J54" s="130">
        <v>73668.3</v>
      </c>
      <c r="K54" s="326">
        <f t="shared" si="20"/>
        <v>0.22073273419415571</v>
      </c>
    </row>
    <row r="55" spans="1:11" ht="11.1" customHeight="1">
      <c r="A55" s="433"/>
      <c r="B55" s="433"/>
      <c r="C55" s="155" t="s">
        <v>93</v>
      </c>
      <c r="D55" s="332">
        <v>28</v>
      </c>
      <c r="E55" s="130">
        <v>1121.3969999999999</v>
      </c>
      <c r="F55" s="130">
        <v>12146.670820000001</v>
      </c>
      <c r="G55" s="326">
        <f t="shared" si="18"/>
        <v>3.8472255576673692E-2</v>
      </c>
      <c r="H55" s="326">
        <f t="shared" si="19"/>
        <v>-8.4019802999202031E-2</v>
      </c>
      <c r="I55" s="332">
        <v>1224.259</v>
      </c>
      <c r="J55" s="130">
        <v>13081.649510000001</v>
      </c>
      <c r="K55" s="326">
        <f t="shared" si="20"/>
        <v>3.9196733015941121E-2</v>
      </c>
    </row>
    <row r="56" spans="1:11" ht="11.1" customHeight="1">
      <c r="A56" s="434"/>
      <c r="B56" s="434"/>
      <c r="C56" s="337" t="s">
        <v>0</v>
      </c>
      <c r="D56" s="340">
        <v>380355</v>
      </c>
      <c r="E56" s="338">
        <v>29148.199999999997</v>
      </c>
      <c r="F56" s="338">
        <v>315725.60135000001</v>
      </c>
      <c r="G56" s="339">
        <f>SUM(G51:G55)</f>
        <v>1.0000000000000002</v>
      </c>
      <c r="H56" s="339">
        <f t="shared" ref="H56" si="21">(E56-I56)/I56</f>
        <v>-6.6770827663709398E-2</v>
      </c>
      <c r="I56" s="340">
        <v>31233.699999999997</v>
      </c>
      <c r="J56" s="338">
        <v>333742.92425000004</v>
      </c>
      <c r="K56" s="339">
        <f>SUM(K51:K55)</f>
        <v>1.0000000000000002</v>
      </c>
    </row>
    <row r="57" spans="1:11" ht="11.1" customHeight="1">
      <c r="A57" s="501" t="str">
        <f>'3.1'!G5</f>
        <v>II. čtvrtletí</v>
      </c>
      <c r="B57" s="432"/>
      <c r="C57" s="165" t="s">
        <v>4</v>
      </c>
      <c r="D57" s="331">
        <f>D51</f>
        <v>194</v>
      </c>
      <c r="E57" s="327">
        <f>E39+E45+E51</f>
        <v>68461.248999999996</v>
      </c>
      <c r="F57" s="327">
        <f>F39+F45+F51</f>
        <v>738103.89341999998</v>
      </c>
      <c r="G57" s="328">
        <f>E57/$E$62</f>
        <v>0.43936675480368126</v>
      </c>
      <c r="H57" s="328">
        <f>(E57-I57)/I57</f>
        <v>-6.4442411563816623E-2</v>
      </c>
      <c r="I57" s="331">
        <f>I39+I45+I51</f>
        <v>73176.948000000004</v>
      </c>
      <c r="J57" s="327">
        <f>J39+J45+J51</f>
        <v>781447.85847999994</v>
      </c>
      <c r="K57" s="328">
        <f>I57/$I$62</f>
        <v>0.38500667397287375</v>
      </c>
    </row>
    <row r="58" spans="1:11" ht="11.1" customHeight="1">
      <c r="A58" s="433"/>
      <c r="B58" s="433"/>
      <c r="C58" s="155" t="s">
        <v>5</v>
      </c>
      <c r="D58" s="332">
        <f>D52</f>
        <v>822</v>
      </c>
      <c r="E58" s="130">
        <f t="shared" ref="E58:F58" si="22">E40+E46+E52</f>
        <v>16197.580000000002</v>
      </c>
      <c r="F58" s="130">
        <f t="shared" si="22"/>
        <v>174590.51191999984</v>
      </c>
      <c r="G58" s="326">
        <f t="shared" ref="G58:G61" si="23">E58/$E$62</f>
        <v>0.10395191826361527</v>
      </c>
      <c r="H58" s="326">
        <f t="shared" ref="H58:H61" si="24">(E58-I58)/I58</f>
        <v>-0.16933962172228589</v>
      </c>
      <c r="I58" s="332">
        <f t="shared" ref="I58:J59" si="25">I40+I46+I52</f>
        <v>19499.642</v>
      </c>
      <c r="J58" s="130">
        <f t="shared" si="25"/>
        <v>208223.45608999993</v>
      </c>
      <c r="K58" s="326">
        <f t="shared" ref="K58:K61" si="26">I58/$I$62</f>
        <v>0.10259367895586127</v>
      </c>
    </row>
    <row r="59" spans="1:11" ht="11.1" customHeight="1">
      <c r="A59" s="433"/>
      <c r="B59" s="433"/>
      <c r="C59" s="155" t="s">
        <v>6</v>
      </c>
      <c r="D59" s="332">
        <f>D53</f>
        <v>24206</v>
      </c>
      <c r="E59" s="130">
        <f>E41+E47+E53</f>
        <v>19976.95</v>
      </c>
      <c r="F59" s="130">
        <f t="shared" ref="F59" si="27">F41+F47+F53</f>
        <v>215286.42001</v>
      </c>
      <c r="G59" s="326">
        <f t="shared" si="23"/>
        <v>0.12820694656586534</v>
      </c>
      <c r="H59" s="326">
        <f t="shared" si="24"/>
        <v>-0.17221285167937361</v>
      </c>
      <c r="I59" s="332">
        <f>I41+I47+I53</f>
        <v>24132.954999999998</v>
      </c>
      <c r="J59" s="130">
        <f t="shared" si="25"/>
        <v>257679.36994</v>
      </c>
      <c r="K59" s="326">
        <f t="shared" si="26"/>
        <v>0.12697097913521935</v>
      </c>
    </row>
    <row r="60" spans="1:11" ht="11.1" customHeight="1">
      <c r="A60" s="433"/>
      <c r="B60" s="433"/>
      <c r="C60" s="155" t="s">
        <v>7</v>
      </c>
      <c r="D60" s="332">
        <f>D54</f>
        <v>355105</v>
      </c>
      <c r="E60" s="130">
        <f t="shared" ref="E60:F60" si="28">E42+E48+E54</f>
        <v>47895</v>
      </c>
      <c r="F60" s="130">
        <f t="shared" si="28"/>
        <v>516132.7</v>
      </c>
      <c r="G60" s="326">
        <f t="shared" si="23"/>
        <v>0.3073778382471859</v>
      </c>
      <c r="H60" s="326">
        <f t="shared" si="24"/>
        <v>-0.31295804590034138</v>
      </c>
      <c r="I60" s="332">
        <f t="shared" ref="I60:J61" si="29">I42+I48+I54</f>
        <v>69711.900000000009</v>
      </c>
      <c r="J60" s="130">
        <f t="shared" si="29"/>
        <v>744357.3</v>
      </c>
      <c r="K60" s="326">
        <f t="shared" si="26"/>
        <v>0.3667759791694179</v>
      </c>
    </row>
    <row r="61" spans="1:11" ht="11.1" customHeight="1">
      <c r="A61" s="433"/>
      <c r="B61" s="433"/>
      <c r="C61" s="155" t="s">
        <v>93</v>
      </c>
      <c r="D61" s="332">
        <f>D55</f>
        <v>28</v>
      </c>
      <c r="E61" s="130">
        <f>E43+E49+E55</f>
        <v>3287.221</v>
      </c>
      <c r="F61" s="130">
        <f t="shared" ref="F61" si="30">F43+F49+F55</f>
        <v>35450.361920000003</v>
      </c>
      <c r="G61" s="326">
        <f t="shared" si="23"/>
        <v>2.1096542119652419E-2</v>
      </c>
      <c r="H61" s="326">
        <f t="shared" si="24"/>
        <v>-7.2782916884681095E-2</v>
      </c>
      <c r="I61" s="332">
        <f>I43+I49+I55</f>
        <v>3545.2550000000001</v>
      </c>
      <c r="J61" s="130">
        <f t="shared" si="29"/>
        <v>37863.071540000004</v>
      </c>
      <c r="K61" s="326">
        <f t="shared" si="26"/>
        <v>1.8652688766627713E-2</v>
      </c>
    </row>
    <row r="62" spans="1:11" ht="11.1" customHeight="1">
      <c r="A62" s="434"/>
      <c r="B62" s="434"/>
      <c r="C62" s="337" t="s">
        <v>0</v>
      </c>
      <c r="D62" s="340">
        <f>SUM(D57:D61)</f>
        <v>380355</v>
      </c>
      <c r="E62" s="338">
        <f>SUM(E57:E61)</f>
        <v>155817.99999999997</v>
      </c>
      <c r="F62" s="338">
        <f>SUM(F57:F61)</f>
        <v>1679563.8872699998</v>
      </c>
      <c r="G62" s="339">
        <f>SUM(G57:G61)</f>
        <v>1.0000000000000002</v>
      </c>
      <c r="H62" s="339">
        <f>(E62-I62)/I62</f>
        <v>-0.18019305854208043</v>
      </c>
      <c r="I62" s="340">
        <f>SUM(I57:I61)</f>
        <v>190066.7</v>
      </c>
      <c r="J62" s="338">
        <f>SUM(J57:J61)</f>
        <v>2029571.05605</v>
      </c>
      <c r="K62" s="339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D34:D35"/>
    <mergeCell ref="I34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A9:B14"/>
    <mergeCell ref="A15:B20"/>
    <mergeCell ref="A21:B26"/>
    <mergeCell ref="A27:B32"/>
    <mergeCell ref="A34:C34"/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34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5" t="s">
        <v>308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5"/>
      <c r="B3" s="525"/>
      <c r="C3" s="525"/>
      <c r="D3" s="319"/>
      <c r="E3" s="319"/>
      <c r="F3" s="320"/>
      <c r="G3" s="321"/>
      <c r="H3" s="321"/>
      <c r="I3" s="321"/>
      <c r="J3" s="76"/>
      <c r="K3" s="76"/>
    </row>
    <row r="4" spans="1:16" ht="12.95" customHeight="1">
      <c r="A4" s="497" t="s">
        <v>37</v>
      </c>
      <c r="B4" s="497"/>
      <c r="C4" s="497"/>
      <c r="D4" s="491">
        <f>'3.1'!A4</f>
        <v>2022</v>
      </c>
      <c r="E4" s="380"/>
      <c r="F4" s="369"/>
      <c r="G4" s="369"/>
      <c r="H4" s="369"/>
      <c r="I4" s="491">
        <f>D4-1</f>
        <v>2021</v>
      </c>
      <c r="J4" s="492"/>
      <c r="K4" s="492"/>
    </row>
    <row r="5" spans="1:16" ht="24.95" customHeight="1">
      <c r="A5" s="381"/>
      <c r="B5" s="381"/>
      <c r="C5" s="381"/>
      <c r="D5" s="493"/>
      <c r="E5" s="382"/>
      <c r="F5" s="383"/>
      <c r="G5" s="383"/>
      <c r="H5" s="384"/>
      <c r="I5" s="493"/>
      <c r="J5" s="494"/>
      <c r="K5" s="494"/>
    </row>
    <row r="6" spans="1:16" ht="24.95" customHeight="1">
      <c r="A6" s="323"/>
      <c r="B6" s="291"/>
      <c r="C6" s="324"/>
      <c r="D6" s="391" t="s">
        <v>160</v>
      </c>
      <c r="E6" s="489" t="s">
        <v>60</v>
      </c>
      <c r="F6" s="489"/>
      <c r="G6" s="490" t="s">
        <v>33</v>
      </c>
      <c r="H6" s="490" t="s">
        <v>274</v>
      </c>
      <c r="I6" s="488" t="s">
        <v>60</v>
      </c>
      <c r="J6" s="489"/>
      <c r="K6" s="490" t="s">
        <v>33</v>
      </c>
    </row>
    <row r="7" spans="1:16" ht="24.95" customHeight="1">
      <c r="A7" s="323"/>
      <c r="B7" s="325"/>
      <c r="D7" s="392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159</v>
      </c>
      <c r="B8" s="498"/>
      <c r="C8" s="342" t="s">
        <v>185</v>
      </c>
      <c r="D8" s="370"/>
      <c r="E8" s="222" t="s">
        <v>265</v>
      </c>
      <c r="F8" s="222" t="s">
        <v>266</v>
      </c>
      <c r="G8" s="477"/>
      <c r="H8" s="477"/>
      <c r="I8" s="224" t="s">
        <v>265</v>
      </c>
      <c r="J8" s="222" t="s">
        <v>266</v>
      </c>
      <c r="K8" s="477"/>
    </row>
    <row r="9" spans="1:16" ht="11.1" customHeight="1">
      <c r="A9" s="432" t="str">
        <f>'3.1'!D5</f>
        <v>Duben</v>
      </c>
      <c r="B9" s="432"/>
      <c r="C9" s="165" t="s">
        <v>4</v>
      </c>
      <c r="D9" s="331">
        <v>56</v>
      </c>
      <c r="E9" s="327">
        <v>7706.085</v>
      </c>
      <c r="F9" s="327">
        <v>83041.83762000002</v>
      </c>
      <c r="G9" s="328">
        <f>E9/$E$14</f>
        <v>0.4423852141864818</v>
      </c>
      <c r="H9" s="328">
        <f>(E9-I9)/I9</f>
        <v>-0.84753390493177072</v>
      </c>
      <c r="I9" s="331">
        <v>50542.942000000003</v>
      </c>
      <c r="J9" s="327">
        <v>539603.83083999995</v>
      </c>
      <c r="K9" s="328">
        <f>I9/$I$14</f>
        <v>0.82116617005306247</v>
      </c>
    </row>
    <row r="10" spans="1:16" ht="11.1" customHeight="1">
      <c r="A10" s="433"/>
      <c r="B10" s="433"/>
      <c r="C10" s="155" t="s">
        <v>5</v>
      </c>
      <c r="D10" s="332">
        <v>164</v>
      </c>
      <c r="E10" s="130">
        <v>1749.691</v>
      </c>
      <c r="F10" s="130">
        <v>18854.321089999998</v>
      </c>
      <c r="G10" s="326">
        <f>E10/$E$14</f>
        <v>0.10044496366120534</v>
      </c>
      <c r="H10" s="326">
        <f>(E10-I10)/I10</f>
        <v>-8.662276809484927E-2</v>
      </c>
      <c r="I10" s="332">
        <v>1915.6279999999999</v>
      </c>
      <c r="J10" s="130">
        <v>20451.183550000002</v>
      </c>
      <c r="K10" s="326">
        <f>I10/$I$14</f>
        <v>3.1123018284262276E-2</v>
      </c>
      <c r="L10" s="94"/>
      <c r="N10" s="94"/>
      <c r="O10" s="94"/>
      <c r="P10" s="94"/>
    </row>
    <row r="11" spans="1:16" ht="11.1" customHeight="1">
      <c r="A11" s="433"/>
      <c r="B11" s="433"/>
      <c r="C11" s="155" t="s">
        <v>6</v>
      </c>
      <c r="D11" s="332">
        <v>5933</v>
      </c>
      <c r="E11" s="130">
        <v>3319.7</v>
      </c>
      <c r="F11" s="130">
        <v>35773.300000000003</v>
      </c>
      <c r="G11" s="326">
        <f>E11/$E$14</f>
        <v>0.19057487628735778</v>
      </c>
      <c r="H11" s="326">
        <f t="shared" ref="H11:H13" si="0">(E11-I11)/I11</f>
        <v>-7.081895118447705E-2</v>
      </c>
      <c r="I11" s="332">
        <v>3572.7159999999999</v>
      </c>
      <c r="J11" s="130">
        <v>38143.148448</v>
      </c>
      <c r="K11" s="326">
        <f>I11/$I$14</f>
        <v>5.8045562808894204E-2</v>
      </c>
      <c r="L11" s="94"/>
      <c r="N11" s="94"/>
      <c r="O11" s="94"/>
      <c r="P11" s="94"/>
    </row>
    <row r="12" spans="1:16" ht="11.1" customHeight="1">
      <c r="A12" s="433"/>
      <c r="B12" s="433"/>
      <c r="C12" s="155" t="s">
        <v>7</v>
      </c>
      <c r="D12" s="332">
        <v>77697</v>
      </c>
      <c r="E12" s="130">
        <v>4492.8</v>
      </c>
      <c r="F12" s="130">
        <v>48414.6</v>
      </c>
      <c r="G12" s="326">
        <f>E12/$E$14</f>
        <v>0.25791933132025219</v>
      </c>
      <c r="H12" s="326">
        <f t="shared" si="0"/>
        <v>-0.16360116166505326</v>
      </c>
      <c r="I12" s="332">
        <v>5371.6</v>
      </c>
      <c r="J12" s="130">
        <v>57348.3</v>
      </c>
      <c r="K12" s="326">
        <f>I12/$I$14</f>
        <v>8.7271852894060462E-2</v>
      </c>
      <c r="L12" s="94"/>
      <c r="N12" s="94"/>
      <c r="O12" s="94"/>
      <c r="P12" s="94"/>
    </row>
    <row r="13" spans="1:16" ht="11.1" customHeight="1">
      <c r="A13" s="433"/>
      <c r="B13" s="433"/>
      <c r="C13" s="155" t="s">
        <v>93</v>
      </c>
      <c r="D13" s="332">
        <v>7</v>
      </c>
      <c r="E13" s="130">
        <v>151.124</v>
      </c>
      <c r="F13" s="130">
        <v>1628.5251700000001</v>
      </c>
      <c r="G13" s="326">
        <f>E13/$E$14</f>
        <v>8.6756145447030326E-3</v>
      </c>
      <c r="H13" s="326">
        <f t="shared" si="0"/>
        <v>2.5863122310167415E-2</v>
      </c>
      <c r="I13" s="332">
        <v>147.31399999999999</v>
      </c>
      <c r="J13" s="130">
        <v>1572.7454419999999</v>
      </c>
      <c r="K13" s="326">
        <f>I13/$I$14</f>
        <v>2.3933959597206831E-3</v>
      </c>
      <c r="L13" s="94"/>
      <c r="N13" s="94"/>
      <c r="O13" s="94"/>
      <c r="P13" s="94"/>
    </row>
    <row r="14" spans="1:16" ht="11.1" customHeight="1">
      <c r="A14" s="434"/>
      <c r="B14" s="434"/>
      <c r="C14" s="337" t="s">
        <v>0</v>
      </c>
      <c r="D14" s="340">
        <v>83857</v>
      </c>
      <c r="E14" s="338">
        <v>17419.399999999998</v>
      </c>
      <c r="F14" s="338">
        <v>187712.58388000005</v>
      </c>
      <c r="G14" s="339">
        <f>SUM(G9:G13)</f>
        <v>1.0000000000000002</v>
      </c>
      <c r="H14" s="339">
        <f>(E14-I14)/I14</f>
        <v>-0.71698873439891353</v>
      </c>
      <c r="I14" s="340">
        <v>61550.2</v>
      </c>
      <c r="J14" s="338">
        <v>657119.2082799999</v>
      </c>
      <c r="K14" s="339">
        <f>SUM(K9:K13)</f>
        <v>1</v>
      </c>
      <c r="L14" s="94"/>
    </row>
    <row r="15" spans="1:16" ht="11.1" customHeight="1">
      <c r="A15" s="432" t="str">
        <f>'3.1'!E5</f>
        <v>Květen</v>
      </c>
      <c r="B15" s="432"/>
      <c r="C15" s="165" t="s">
        <v>4</v>
      </c>
      <c r="D15" s="331">
        <v>56</v>
      </c>
      <c r="E15" s="327">
        <v>6919.09</v>
      </c>
      <c r="F15" s="327">
        <v>74345.231879999992</v>
      </c>
      <c r="G15" s="328">
        <f>E15/$E$20</f>
        <v>0.68325894179685198</v>
      </c>
      <c r="H15" s="328">
        <f>(E15-I15)/I15</f>
        <v>-0.8660570946711782</v>
      </c>
      <c r="I15" s="331">
        <v>51657.01</v>
      </c>
      <c r="J15" s="327">
        <v>551588.21512000018</v>
      </c>
      <c r="K15" s="328">
        <f>I15/$I$20</f>
        <v>0.88873651376967566</v>
      </c>
      <c r="L15" s="94"/>
      <c r="M15" s="94"/>
    </row>
    <row r="16" spans="1:16" ht="11.1" customHeight="1">
      <c r="A16" s="433"/>
      <c r="B16" s="433"/>
      <c r="C16" s="155" t="s">
        <v>5</v>
      </c>
      <c r="D16" s="332">
        <v>164</v>
      </c>
      <c r="E16" s="130">
        <v>868.62599999999998</v>
      </c>
      <c r="F16" s="130">
        <v>9333.3237300000001</v>
      </c>
      <c r="G16" s="326">
        <f>E16/$E$20</f>
        <v>8.5776667390832076E-2</v>
      </c>
      <c r="H16" s="326">
        <f>(E16-I16)/I16</f>
        <v>-0.41137078870971677</v>
      </c>
      <c r="I16" s="332">
        <v>1475.6759999999999</v>
      </c>
      <c r="J16" s="130">
        <v>15757.11213</v>
      </c>
      <c r="K16" s="326">
        <f>I16/$I$20</f>
        <v>2.53883673037518E-2</v>
      </c>
      <c r="L16" s="98"/>
      <c r="M16" s="94"/>
    </row>
    <row r="17" spans="1:20" ht="11.1" customHeight="1">
      <c r="A17" s="433"/>
      <c r="B17" s="433"/>
      <c r="C17" s="155" t="s">
        <v>6</v>
      </c>
      <c r="D17" s="332">
        <v>5930</v>
      </c>
      <c r="E17" s="130">
        <v>1024.3</v>
      </c>
      <c r="F17" s="130">
        <v>11006.2</v>
      </c>
      <c r="G17" s="326">
        <f>E17/$E$20</f>
        <v>0.10114944798846603</v>
      </c>
      <c r="H17" s="326">
        <f t="shared" ref="H17:H20" si="1">(E17-I17)/I17</f>
        <v>-0.45745931209675589</v>
      </c>
      <c r="I17" s="332">
        <v>1887.9690000000001</v>
      </c>
      <c r="J17" s="130">
        <v>20159.319897999998</v>
      </c>
      <c r="K17" s="326">
        <f>I17/$I$20</f>
        <v>3.2481690039071573E-2</v>
      </c>
      <c r="L17" s="94"/>
      <c r="M17" s="94"/>
      <c r="N17" s="94"/>
      <c r="O17" s="94"/>
    </row>
    <row r="18" spans="1:20" ht="11.1" customHeight="1">
      <c r="A18" s="433"/>
      <c r="B18" s="433"/>
      <c r="C18" s="155" t="s">
        <v>7</v>
      </c>
      <c r="D18" s="332">
        <v>77595</v>
      </c>
      <c r="E18" s="130">
        <v>1162.3</v>
      </c>
      <c r="F18" s="130">
        <v>12488.8</v>
      </c>
      <c r="G18" s="326">
        <f>E18/$E$20</f>
        <v>0.11477692414038276</v>
      </c>
      <c r="H18" s="326">
        <f t="shared" si="1"/>
        <v>-0.60463296822913126</v>
      </c>
      <c r="I18" s="332">
        <v>2939.8</v>
      </c>
      <c r="J18" s="130">
        <v>31390.6</v>
      </c>
      <c r="K18" s="326">
        <f>I18/$I$20</f>
        <v>5.0577987444106666E-2</v>
      </c>
      <c r="L18" s="94"/>
      <c r="M18" s="94"/>
      <c r="N18" s="94"/>
      <c r="O18" s="94"/>
    </row>
    <row r="19" spans="1:20" ht="11.1" customHeight="1">
      <c r="A19" s="433"/>
      <c r="B19" s="433"/>
      <c r="C19" s="155" t="s">
        <v>93</v>
      </c>
      <c r="D19" s="332">
        <v>7</v>
      </c>
      <c r="E19" s="130">
        <v>152.28399999999999</v>
      </c>
      <c r="F19" s="130">
        <v>1636.2799499999999</v>
      </c>
      <c r="G19" s="326">
        <f>E19/$E$20</f>
        <v>1.5038018683467306E-2</v>
      </c>
      <c r="H19" s="326">
        <f t="shared" si="1"/>
        <v>-6.9424669253567287E-2</v>
      </c>
      <c r="I19" s="332">
        <v>163.64500000000001</v>
      </c>
      <c r="J19" s="130">
        <v>1747.3767919999998</v>
      </c>
      <c r="K19" s="326">
        <f>I19/$I$20</f>
        <v>2.8154414433943925E-3</v>
      </c>
      <c r="L19" s="94"/>
      <c r="M19" s="94"/>
      <c r="N19" s="94"/>
      <c r="O19" s="94"/>
    </row>
    <row r="20" spans="1:20" ht="11.1" customHeight="1">
      <c r="A20" s="434"/>
      <c r="B20" s="434"/>
      <c r="C20" s="337" t="s">
        <v>0</v>
      </c>
      <c r="D20" s="340">
        <v>83752</v>
      </c>
      <c r="E20" s="338">
        <v>10126.599999999999</v>
      </c>
      <c r="F20" s="338">
        <v>108809.83555999999</v>
      </c>
      <c r="G20" s="339">
        <f>SUM(G15:G19)</f>
        <v>1.0000000000000002</v>
      </c>
      <c r="H20" s="339">
        <f t="shared" si="1"/>
        <v>-0.82577622707276332</v>
      </c>
      <c r="I20" s="340">
        <v>58124.1</v>
      </c>
      <c r="J20" s="338">
        <v>620642.62394000019</v>
      </c>
      <c r="K20" s="339">
        <f>SUM(K15:K19)</f>
        <v>1</v>
      </c>
      <c r="L20" s="94"/>
      <c r="M20" s="94"/>
      <c r="N20" s="94"/>
      <c r="O20" s="94"/>
    </row>
    <row r="21" spans="1:20" ht="11.1" customHeight="1">
      <c r="A21" s="432" t="str">
        <f>'3.1'!F5</f>
        <v>Červen</v>
      </c>
      <c r="B21" s="432"/>
      <c r="C21" s="165" t="s">
        <v>4</v>
      </c>
      <c r="D21" s="331">
        <v>56</v>
      </c>
      <c r="E21" s="327">
        <v>7028.6670000000004</v>
      </c>
      <c r="F21" s="327">
        <v>76133.163310000004</v>
      </c>
      <c r="G21" s="328">
        <f>E21/$E$26</f>
        <v>0.7713807370662219</v>
      </c>
      <c r="H21" s="328">
        <f>(E21-I21)/I21</f>
        <v>-0.84993095407932251</v>
      </c>
      <c r="I21" s="331">
        <v>46836.220999999998</v>
      </c>
      <c r="J21" s="327">
        <v>500461.71486999991</v>
      </c>
      <c r="K21" s="328">
        <f>I21/$I$26</f>
        <v>0.94970691350764957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3"/>
      <c r="B22" s="433"/>
      <c r="C22" s="155" t="s">
        <v>5</v>
      </c>
      <c r="D22" s="332">
        <v>164</v>
      </c>
      <c r="E22" s="130">
        <v>608.18799999999999</v>
      </c>
      <c r="F22" s="130">
        <v>6587.4803700000029</v>
      </c>
      <c r="G22" s="326">
        <f>E22/$E$26</f>
        <v>6.6747294716740929E-2</v>
      </c>
      <c r="H22" s="326">
        <f t="shared" ref="H22:H26" si="2">(E22-I22)/I22</f>
        <v>-0.27940151942407859</v>
      </c>
      <c r="I22" s="332">
        <v>844.00400000000002</v>
      </c>
      <c r="J22" s="130">
        <v>9018.1019099999994</v>
      </c>
      <c r="K22" s="326">
        <f>I22/$I$26</f>
        <v>1.711402877333144E-2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3"/>
      <c r="B23" s="433"/>
      <c r="C23" s="155" t="s">
        <v>6</v>
      </c>
      <c r="D23" s="332">
        <v>5918</v>
      </c>
      <c r="E23" s="130">
        <v>634.5</v>
      </c>
      <c r="F23" s="130">
        <v>6872.6</v>
      </c>
      <c r="G23" s="326">
        <f>E23/$E$26</f>
        <v>6.9634978818674698E-2</v>
      </c>
      <c r="H23" s="326">
        <f t="shared" si="2"/>
        <v>0.16152629497825224</v>
      </c>
      <c r="I23" s="332">
        <v>546.26400000000001</v>
      </c>
      <c r="J23" s="130">
        <v>5836.6048110000002</v>
      </c>
      <c r="K23" s="326">
        <f>I23/$I$26</f>
        <v>1.1076698468058357E-2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3"/>
      <c r="B24" s="433"/>
      <c r="C24" s="155" t="s">
        <v>7</v>
      </c>
      <c r="D24" s="332">
        <v>77491</v>
      </c>
      <c r="E24" s="130">
        <v>681.9</v>
      </c>
      <c r="F24" s="130">
        <v>7386.1</v>
      </c>
      <c r="G24" s="326">
        <f>E24/$E$26</f>
        <v>7.4837024517658418E-2</v>
      </c>
      <c r="H24" s="326">
        <f t="shared" si="2"/>
        <v>-0.25246656434992332</v>
      </c>
      <c r="I24" s="332">
        <v>912.2</v>
      </c>
      <c r="J24" s="130">
        <v>9747.1</v>
      </c>
      <c r="K24" s="326">
        <f>I24/$I$26</f>
        <v>1.8496851966380422E-2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3"/>
      <c r="B25" s="433"/>
      <c r="C25" s="155" t="s">
        <v>93</v>
      </c>
      <c r="D25" s="332">
        <v>7</v>
      </c>
      <c r="E25" s="130">
        <v>158.54499999999999</v>
      </c>
      <c r="F25" s="130">
        <v>1717.3151200000002</v>
      </c>
      <c r="G25" s="326">
        <f>E25/$E$26</f>
        <v>1.7399964880704142E-2</v>
      </c>
      <c r="H25" s="326">
        <f t="shared" si="2"/>
        <v>-0.10835100190651882</v>
      </c>
      <c r="I25" s="332">
        <v>177.81100000000001</v>
      </c>
      <c r="J25" s="130">
        <v>1899.9772390000001</v>
      </c>
      <c r="K25" s="326">
        <f>I25/$I$26</f>
        <v>3.6055072845802118E-3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4"/>
      <c r="B26" s="434"/>
      <c r="C26" s="337" t="s">
        <v>0</v>
      </c>
      <c r="D26" s="340">
        <v>83636</v>
      </c>
      <c r="E26" s="338">
        <v>9111.7999999999993</v>
      </c>
      <c r="F26" s="338">
        <v>98696.658800000019</v>
      </c>
      <c r="G26" s="339">
        <f>SUM(G21:G25)</f>
        <v>1</v>
      </c>
      <c r="H26" s="339">
        <f t="shared" si="2"/>
        <v>-0.81523830766579131</v>
      </c>
      <c r="I26" s="340">
        <v>49316.5</v>
      </c>
      <c r="J26" s="338">
        <v>526963.49882999994</v>
      </c>
      <c r="K26" s="339">
        <f>SUM(K21:K25)</f>
        <v>1</v>
      </c>
    </row>
    <row r="27" spans="1:20" ht="11.1" customHeight="1">
      <c r="A27" s="501" t="str">
        <f>'3.1'!G5</f>
        <v>II. čtvrtletí</v>
      </c>
      <c r="B27" s="432"/>
      <c r="C27" s="165" t="s">
        <v>4</v>
      </c>
      <c r="D27" s="331">
        <f>D21</f>
        <v>56</v>
      </c>
      <c r="E27" s="327">
        <f>E9+E15+E21</f>
        <v>21653.842000000001</v>
      </c>
      <c r="F27" s="327">
        <f>F9+F15+F21</f>
        <v>233520.23281000002</v>
      </c>
      <c r="G27" s="328">
        <f>E27/$E$32</f>
        <v>0.59070216979742374</v>
      </c>
      <c r="H27" s="328">
        <f>(E27-I27)/I27</f>
        <v>-0.85470747427203464</v>
      </c>
      <c r="I27" s="331">
        <f>I9+I15+I21</f>
        <v>149036.17300000001</v>
      </c>
      <c r="J27" s="327">
        <f>J9+J15+J21</f>
        <v>1591653.76083</v>
      </c>
      <c r="K27" s="328">
        <f>I27/$I$32</f>
        <v>0.88191885593771979</v>
      </c>
    </row>
    <row r="28" spans="1:20" ht="11.1" customHeight="1">
      <c r="A28" s="433"/>
      <c r="B28" s="433"/>
      <c r="C28" s="155" t="s">
        <v>5</v>
      </c>
      <c r="D28" s="332">
        <f>D22</f>
        <v>164</v>
      </c>
      <c r="E28" s="130">
        <f t="shared" ref="E28:F31" si="3">E10+E16+E22</f>
        <v>3226.5050000000001</v>
      </c>
      <c r="F28" s="130">
        <f t="shared" si="3"/>
        <v>34775.125189999999</v>
      </c>
      <c r="G28" s="326">
        <f>E28/$E$32</f>
        <v>8.8016874989770247E-2</v>
      </c>
      <c r="H28" s="326">
        <f t="shared" ref="H28:H31" si="4">(E28-I28)/I28</f>
        <v>-0.23818881649221257</v>
      </c>
      <c r="I28" s="332">
        <f t="shared" ref="I28:J28" si="5">I10+I16+I22</f>
        <v>4235.308</v>
      </c>
      <c r="J28" s="130">
        <f t="shared" si="5"/>
        <v>45226.39759</v>
      </c>
      <c r="K28" s="326">
        <f>I28/$I$32</f>
        <v>2.5062358424245583E-2</v>
      </c>
    </row>
    <row r="29" spans="1:20" ht="11.1" customHeight="1">
      <c r="A29" s="433"/>
      <c r="B29" s="433"/>
      <c r="C29" s="155" t="s">
        <v>6</v>
      </c>
      <c r="D29" s="332">
        <f>D23</f>
        <v>5918</v>
      </c>
      <c r="E29" s="130">
        <f t="shared" si="3"/>
        <v>4978.5</v>
      </c>
      <c r="F29" s="130">
        <f t="shared" si="3"/>
        <v>53652.1</v>
      </c>
      <c r="G29" s="326">
        <f>E29/$E$32</f>
        <v>0.13581011408213259</v>
      </c>
      <c r="H29" s="326">
        <f t="shared" si="4"/>
        <v>-0.17120987709401222</v>
      </c>
      <c r="I29" s="332">
        <f t="shared" ref="I29:J29" si="6">I11+I17+I23</f>
        <v>6006.9489999999996</v>
      </c>
      <c r="J29" s="130">
        <f t="shared" si="6"/>
        <v>64139.073156999992</v>
      </c>
      <c r="K29" s="326">
        <f>I29/$I$32</f>
        <v>3.5546011972249374E-2</v>
      </c>
    </row>
    <row r="30" spans="1:20" ht="11.1" customHeight="1">
      <c r="A30" s="433"/>
      <c r="B30" s="433"/>
      <c r="C30" s="155" t="s">
        <v>7</v>
      </c>
      <c r="D30" s="332">
        <f>D24</f>
        <v>77491</v>
      </c>
      <c r="E30" s="130">
        <f t="shared" si="3"/>
        <v>6337</v>
      </c>
      <c r="F30" s="130">
        <f t="shared" si="3"/>
        <v>68289.5</v>
      </c>
      <c r="G30" s="326">
        <f>E30/$E$32</f>
        <v>0.17286907561282999</v>
      </c>
      <c r="H30" s="326">
        <f t="shared" si="4"/>
        <v>-0.31295806409644839</v>
      </c>
      <c r="I30" s="332">
        <f t="shared" ref="I30:J30" si="7">I12+I18+I24</f>
        <v>9223.6000000000022</v>
      </c>
      <c r="J30" s="130">
        <f t="shared" si="7"/>
        <v>98486</v>
      </c>
      <c r="K30" s="326">
        <f>I30/$I$32</f>
        <v>5.4580486038293227E-2</v>
      </c>
    </row>
    <row r="31" spans="1:20" ht="11.1" customHeight="1">
      <c r="A31" s="433"/>
      <c r="B31" s="433"/>
      <c r="C31" s="155" t="s">
        <v>93</v>
      </c>
      <c r="D31" s="332">
        <f>D25</f>
        <v>7</v>
      </c>
      <c r="E31" s="130">
        <f>E13+E19+E25</f>
        <v>461.95299999999997</v>
      </c>
      <c r="F31" s="130">
        <f t="shared" si="3"/>
        <v>4982.1202400000002</v>
      </c>
      <c r="G31" s="326">
        <f>E31/$E$32</f>
        <v>1.2601765517843404E-2</v>
      </c>
      <c r="H31" s="326">
        <f t="shared" si="4"/>
        <v>-5.4866297031323542E-2</v>
      </c>
      <c r="I31" s="332">
        <f>I13+I19+I25</f>
        <v>488.77</v>
      </c>
      <c r="J31" s="130">
        <f t="shared" ref="J31" si="8">J13+J19+J25</f>
        <v>5220.0994729999993</v>
      </c>
      <c r="K31" s="326">
        <f>I31/$I$32</f>
        <v>2.8922876274921475E-3</v>
      </c>
    </row>
    <row r="32" spans="1:20" ht="11.1" customHeight="1">
      <c r="A32" s="434"/>
      <c r="B32" s="434"/>
      <c r="C32" s="337" t="s">
        <v>0</v>
      </c>
      <c r="D32" s="340">
        <f>SUM(D27:D31)</f>
        <v>83636</v>
      </c>
      <c r="E32" s="338">
        <f>SUM(E27:E31)</f>
        <v>36657.800000000003</v>
      </c>
      <c r="F32" s="338">
        <f>SUM(F27:F31)</f>
        <v>395219.07824</v>
      </c>
      <c r="G32" s="339">
        <f>SUM(G27:G31)</f>
        <v>1</v>
      </c>
      <c r="H32" s="339">
        <f>(E32-I32)/I32</f>
        <v>-0.78307813206399413</v>
      </c>
      <c r="I32" s="340">
        <f>SUM(I27:I31)</f>
        <v>168990.8</v>
      </c>
      <c r="J32" s="338">
        <f>SUM(J27:J31)</f>
        <v>1804725.3310499999</v>
      </c>
      <c r="K32" s="339">
        <f>SUM(K27:K31)</f>
        <v>1</v>
      </c>
    </row>
    <row r="33" spans="1:11" ht="9.9499999999999993" customHeight="1">
      <c r="A33" s="385"/>
      <c r="B33" s="386"/>
      <c r="C33" s="387"/>
      <c r="D33" s="388"/>
      <c r="E33" s="388"/>
      <c r="F33" s="388"/>
      <c r="G33" s="389"/>
      <c r="H33" s="390"/>
      <c r="I33" s="388"/>
      <c r="J33" s="388"/>
      <c r="K33" s="389"/>
    </row>
    <row r="34" spans="1:11" ht="12.95" customHeight="1">
      <c r="A34" s="526" t="s">
        <v>38</v>
      </c>
      <c r="B34" s="526"/>
      <c r="C34" s="526"/>
      <c r="D34" s="491">
        <f>D4</f>
        <v>2022</v>
      </c>
      <c r="E34" s="380"/>
      <c r="F34" s="369"/>
      <c r="G34" s="369"/>
      <c r="H34" s="369"/>
      <c r="I34" s="491">
        <f>D34-1</f>
        <v>2021</v>
      </c>
      <c r="J34" s="492"/>
      <c r="K34" s="492"/>
    </row>
    <row r="35" spans="1:11" ht="24.95" customHeight="1">
      <c r="A35" s="323"/>
      <c r="B35" s="291"/>
      <c r="C35" s="151"/>
      <c r="D35" s="493"/>
      <c r="E35" s="382"/>
      <c r="F35" s="383"/>
      <c r="G35" s="383"/>
      <c r="H35" s="384"/>
      <c r="I35" s="493"/>
      <c r="J35" s="494"/>
      <c r="K35" s="494"/>
    </row>
    <row r="36" spans="1:11" ht="24.95" customHeight="1">
      <c r="A36" s="131"/>
      <c r="B36" s="132"/>
      <c r="C36" s="379"/>
      <c r="D36" s="391" t="s">
        <v>160</v>
      </c>
      <c r="E36" s="489" t="s">
        <v>60</v>
      </c>
      <c r="F36" s="489"/>
      <c r="G36" s="490" t="s">
        <v>33</v>
      </c>
      <c r="H36" s="490" t="s">
        <v>274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25"/>
      <c r="C37" s="325"/>
      <c r="D37" s="392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27" t="s">
        <v>159</v>
      </c>
      <c r="B38" s="527"/>
      <c r="C38" s="393" t="s">
        <v>185</v>
      </c>
      <c r="D38" s="370"/>
      <c r="E38" s="222" t="s">
        <v>265</v>
      </c>
      <c r="F38" s="222" t="s">
        <v>266</v>
      </c>
      <c r="G38" s="477"/>
      <c r="H38" s="477"/>
      <c r="I38" s="224" t="s">
        <v>265</v>
      </c>
      <c r="J38" s="222" t="s">
        <v>266</v>
      </c>
      <c r="K38" s="477"/>
    </row>
    <row r="39" spans="1:11" ht="11.1" customHeight="1">
      <c r="A39" s="432" t="str">
        <f>'3.1'!D5</f>
        <v>Duben</v>
      </c>
      <c r="B39" s="432"/>
      <c r="C39" s="165" t="s">
        <v>4</v>
      </c>
      <c r="D39" s="331">
        <v>78</v>
      </c>
      <c r="E39" s="327">
        <v>10717.732</v>
      </c>
      <c r="F39" s="327">
        <v>115495.24583000004</v>
      </c>
      <c r="G39" s="328">
        <f>E39/$E$44</f>
        <v>0.37814254615761861</v>
      </c>
      <c r="H39" s="328">
        <f>(E39-I39)/I39</f>
        <v>-0.13032084238460337</v>
      </c>
      <c r="I39" s="331">
        <v>12323.777</v>
      </c>
      <c r="J39" s="327">
        <v>131570.22763999997</v>
      </c>
      <c r="K39" s="328">
        <f>I39/$I$44</f>
        <v>0.37954114849923931</v>
      </c>
    </row>
    <row r="40" spans="1:11" ht="11.1" customHeight="1">
      <c r="A40" s="433"/>
      <c r="B40" s="433"/>
      <c r="C40" s="155" t="s">
        <v>5</v>
      </c>
      <c r="D40" s="332">
        <v>244</v>
      </c>
      <c r="E40" s="130">
        <v>2823.864</v>
      </c>
      <c r="F40" s="130">
        <v>30429.667170000019</v>
      </c>
      <c r="G40" s="326">
        <f t="shared" ref="G40" si="9">E40/$E$44</f>
        <v>9.9631444690242071E-2</v>
      </c>
      <c r="H40" s="326">
        <f>(E40-I40)/I40</f>
        <v>-8.1426187055227348E-2</v>
      </c>
      <c r="I40" s="332">
        <v>3074.183</v>
      </c>
      <c r="J40" s="130">
        <v>32819.901429999991</v>
      </c>
      <c r="K40" s="326">
        <f t="shared" ref="K40:K43" si="10">I40/$I$44</f>
        <v>9.4677057732936665E-2</v>
      </c>
    </row>
    <row r="41" spans="1:11" ht="11.1" customHeight="1">
      <c r="A41" s="433"/>
      <c r="B41" s="433"/>
      <c r="C41" s="155" t="s">
        <v>6</v>
      </c>
      <c r="D41" s="332">
        <v>10006</v>
      </c>
      <c r="E41" s="130">
        <v>5232.2749999999996</v>
      </c>
      <c r="F41" s="130">
        <v>56383.062170000005</v>
      </c>
      <c r="G41" s="326">
        <f>E41/$E$44</f>
        <v>0.18460489501854066</v>
      </c>
      <c r="H41" s="326">
        <f t="shared" ref="H41:H43" si="11">(E41-I41)/I41</f>
        <v>-7.809297909202928E-2</v>
      </c>
      <c r="I41" s="332">
        <v>5675.491</v>
      </c>
      <c r="J41" s="130">
        <v>60592.328750000001</v>
      </c>
      <c r="K41" s="326">
        <f t="shared" si="10"/>
        <v>0.1747907619909948</v>
      </c>
    </row>
    <row r="42" spans="1:11" ht="11.1" customHeight="1">
      <c r="A42" s="433"/>
      <c r="B42" s="433"/>
      <c r="C42" s="155" t="s">
        <v>7</v>
      </c>
      <c r="D42" s="332">
        <v>107269</v>
      </c>
      <c r="E42" s="130">
        <v>9400</v>
      </c>
      <c r="F42" s="130">
        <v>101295.3</v>
      </c>
      <c r="G42" s="326">
        <f>E42/$E$44</f>
        <v>0.33165038404408836</v>
      </c>
      <c r="H42" s="326">
        <f t="shared" si="11"/>
        <v>-0.16361177349895001</v>
      </c>
      <c r="I42" s="332">
        <v>11238.8</v>
      </c>
      <c r="J42" s="130">
        <v>119986.8</v>
      </c>
      <c r="K42" s="326">
        <f t="shared" si="10"/>
        <v>0.34612660223836006</v>
      </c>
    </row>
    <row r="43" spans="1:11" ht="11.1" customHeight="1">
      <c r="A43" s="433"/>
      <c r="B43" s="433"/>
      <c r="C43" s="155" t="s">
        <v>93</v>
      </c>
      <c r="D43" s="332">
        <v>17</v>
      </c>
      <c r="E43" s="130">
        <v>169.22900000000001</v>
      </c>
      <c r="F43" s="130">
        <v>1823.6300800000001</v>
      </c>
      <c r="G43" s="326">
        <f>E43/$E$44</f>
        <v>5.9707300895103224E-3</v>
      </c>
      <c r="H43" s="326">
        <f t="shared" si="11"/>
        <v>7.1415456887982828E-2</v>
      </c>
      <c r="I43" s="332">
        <v>157.94900000000001</v>
      </c>
      <c r="J43" s="130">
        <v>1686.2949599999999</v>
      </c>
      <c r="K43" s="326">
        <f t="shared" si="10"/>
        <v>4.86442953846912E-3</v>
      </c>
    </row>
    <row r="44" spans="1:11" ht="11.1" customHeight="1">
      <c r="A44" s="434"/>
      <c r="B44" s="434"/>
      <c r="C44" s="337" t="s">
        <v>0</v>
      </c>
      <c r="D44" s="340">
        <v>117614</v>
      </c>
      <c r="E44" s="338">
        <v>28343.1</v>
      </c>
      <c r="F44" s="338">
        <v>305426.90525000001</v>
      </c>
      <c r="G44" s="339">
        <f>SUM(G39:G43)</f>
        <v>0.99999999999999989</v>
      </c>
      <c r="H44" s="339">
        <f>(E44-I44)/I44</f>
        <v>-0.12710423711587862</v>
      </c>
      <c r="I44" s="340">
        <v>32470.2</v>
      </c>
      <c r="J44" s="338">
        <v>346655.55277999997</v>
      </c>
      <c r="K44" s="339">
        <f>SUM(K39:K43)</f>
        <v>0.99999999999999989</v>
      </c>
    </row>
    <row r="45" spans="1:11" ht="11.1" customHeight="1">
      <c r="A45" s="432" t="str">
        <f>'3.1'!E5</f>
        <v>Květen</v>
      </c>
      <c r="B45" s="432"/>
      <c r="C45" s="165" t="s">
        <v>4</v>
      </c>
      <c r="D45" s="331">
        <v>78</v>
      </c>
      <c r="E45" s="327">
        <v>8533.1380000000008</v>
      </c>
      <c r="F45" s="327">
        <v>91687.93316000003</v>
      </c>
      <c r="G45" s="328">
        <f>E45/$E$50</f>
        <v>0.59272309241829613</v>
      </c>
      <c r="H45" s="328">
        <f>(E45-I45)/I45</f>
        <v>-0.17563111069376472</v>
      </c>
      <c r="I45" s="331">
        <v>10351.116</v>
      </c>
      <c r="J45" s="327">
        <v>110528.48426000003</v>
      </c>
      <c r="K45" s="328">
        <f>I45/$I$50</f>
        <v>0.47166514018563838</v>
      </c>
    </row>
    <row r="46" spans="1:11" ht="11.1" customHeight="1">
      <c r="A46" s="433"/>
      <c r="B46" s="433"/>
      <c r="C46" s="155" t="s">
        <v>5</v>
      </c>
      <c r="D46" s="332">
        <v>244</v>
      </c>
      <c r="E46" s="130">
        <v>1672.1470000000002</v>
      </c>
      <c r="F46" s="130">
        <v>17966.76482</v>
      </c>
      <c r="G46" s="326">
        <f t="shared" ref="G46:G49" si="12">E46/$E$50</f>
        <v>0.11614955023790505</v>
      </c>
      <c r="H46" s="326">
        <f>(E46-I46)/I46</f>
        <v>-0.26447530072705855</v>
      </c>
      <c r="I46" s="332">
        <v>2273.4070000000002</v>
      </c>
      <c r="J46" s="130">
        <v>24275.568029999988</v>
      </c>
      <c r="K46" s="326">
        <f t="shared" ref="K46:K49" si="13">I46/$I$50</f>
        <v>0.10359142254361864</v>
      </c>
    </row>
    <row r="47" spans="1:11" ht="11.1" customHeight="1">
      <c r="A47" s="433"/>
      <c r="B47" s="433"/>
      <c r="C47" s="155" t="s">
        <v>6</v>
      </c>
      <c r="D47" s="332">
        <v>10001</v>
      </c>
      <c r="E47" s="130">
        <v>1649.0140000000001</v>
      </c>
      <c r="F47" s="130">
        <v>17718.634989999999</v>
      </c>
      <c r="G47" s="326">
        <f t="shared" si="12"/>
        <v>0.11454270135102282</v>
      </c>
      <c r="H47" s="326">
        <f t="shared" ref="H47:H49" si="14">(E47-I47)/I47</f>
        <v>-0.44982874438573178</v>
      </c>
      <c r="I47" s="332">
        <v>2997.2739999999999</v>
      </c>
      <c r="J47" s="130">
        <v>32004.128409999998</v>
      </c>
      <c r="K47" s="326">
        <f t="shared" si="13"/>
        <v>0.13657557903754233</v>
      </c>
    </row>
    <row r="48" spans="1:11" ht="11.1" customHeight="1">
      <c r="A48" s="433"/>
      <c r="B48" s="433"/>
      <c r="C48" s="155" t="s">
        <v>7</v>
      </c>
      <c r="D48" s="332">
        <v>107128</v>
      </c>
      <c r="E48" s="130">
        <v>2431.8000000000002</v>
      </c>
      <c r="F48" s="130">
        <v>26129.7</v>
      </c>
      <c r="G48" s="326">
        <f t="shared" si="12"/>
        <v>0.16891605598582987</v>
      </c>
      <c r="H48" s="326">
        <f t="shared" si="14"/>
        <v>-0.60463036727526942</v>
      </c>
      <c r="I48" s="332">
        <v>6150.7</v>
      </c>
      <c r="J48" s="130">
        <v>65676.899999999994</v>
      </c>
      <c r="K48" s="326">
        <f t="shared" si="13"/>
        <v>0.28026647346429173</v>
      </c>
    </row>
    <row r="49" spans="1:11" ht="11.1" customHeight="1">
      <c r="A49" s="433"/>
      <c r="B49" s="433"/>
      <c r="C49" s="155" t="s">
        <v>93</v>
      </c>
      <c r="D49" s="332">
        <v>17</v>
      </c>
      <c r="E49" s="130">
        <v>110.401</v>
      </c>
      <c r="F49" s="130">
        <v>1186.2427900000002</v>
      </c>
      <c r="G49" s="326">
        <f t="shared" si="12"/>
        <v>7.6686000069461314E-3</v>
      </c>
      <c r="H49" s="326">
        <f t="shared" si="14"/>
        <v>-0.36332704739825722</v>
      </c>
      <c r="I49" s="332">
        <v>173.40299999999999</v>
      </c>
      <c r="J49" s="130">
        <v>1851.5751400000001</v>
      </c>
      <c r="K49" s="326">
        <f t="shared" si="13"/>
        <v>7.9013847689089999E-3</v>
      </c>
    </row>
    <row r="50" spans="1:11" ht="11.1" customHeight="1">
      <c r="A50" s="434"/>
      <c r="B50" s="434"/>
      <c r="C50" s="337" t="s">
        <v>0</v>
      </c>
      <c r="D50" s="340">
        <v>117468</v>
      </c>
      <c r="E50" s="338">
        <v>14396.500000000002</v>
      </c>
      <c r="F50" s="338">
        <v>154689.27576000002</v>
      </c>
      <c r="G50" s="339">
        <f>SUM(G45:G49)</f>
        <v>1</v>
      </c>
      <c r="H50" s="339">
        <f t="shared" ref="H50" si="15">(E50-I50)/I50</f>
        <v>-0.34400047389261762</v>
      </c>
      <c r="I50" s="340">
        <v>21945.899999999998</v>
      </c>
      <c r="J50" s="338">
        <v>234336.65584000002</v>
      </c>
      <c r="K50" s="339">
        <f>SUM(K45:K49)</f>
        <v>1</v>
      </c>
    </row>
    <row r="51" spans="1:11" ht="11.1" customHeight="1">
      <c r="A51" s="432" t="str">
        <f>'3.1'!F5</f>
        <v>Červen</v>
      </c>
      <c r="B51" s="432"/>
      <c r="C51" s="165" t="s">
        <v>4</v>
      </c>
      <c r="D51" s="331">
        <v>78</v>
      </c>
      <c r="E51" s="327">
        <v>7798.5199999999995</v>
      </c>
      <c r="F51" s="327">
        <v>84471.200100000002</v>
      </c>
      <c r="G51" s="328">
        <f>E51/$E$56</f>
        <v>0.66781301112376568</v>
      </c>
      <c r="H51" s="328">
        <f>(E51-I51)/I51</f>
        <v>-1.9833289762101209E-2</v>
      </c>
      <c r="I51" s="331">
        <v>7956.3200000000006</v>
      </c>
      <c r="J51" s="327">
        <v>85015.809880000015</v>
      </c>
      <c r="K51" s="328">
        <f>I51/$I$56</f>
        <v>0.64206848132217531</v>
      </c>
    </row>
    <row r="52" spans="1:11" ht="11.1" customHeight="1">
      <c r="A52" s="433"/>
      <c r="B52" s="433"/>
      <c r="C52" s="155" t="s">
        <v>5</v>
      </c>
      <c r="D52" s="332">
        <v>244</v>
      </c>
      <c r="E52" s="130">
        <v>1303.306</v>
      </c>
      <c r="F52" s="130">
        <v>14116.624739999996</v>
      </c>
      <c r="G52" s="326">
        <f t="shared" ref="G52:G55" si="16">E52/$E$56</f>
        <v>0.11160639509492451</v>
      </c>
      <c r="H52" s="326">
        <f t="shared" ref="H52:H55" si="17">(E52-I52)/I52</f>
        <v>-0.11908070651659626</v>
      </c>
      <c r="I52" s="332">
        <v>1479.4839999999999</v>
      </c>
      <c r="J52" s="130">
        <v>15808.390060000005</v>
      </c>
      <c r="K52" s="326">
        <f t="shared" ref="K52:K55" si="18">I52/$I$56</f>
        <v>0.11939314218388113</v>
      </c>
    </row>
    <row r="53" spans="1:11" ht="11.1" customHeight="1">
      <c r="A53" s="433"/>
      <c r="B53" s="433"/>
      <c r="C53" s="155" t="s">
        <v>6</v>
      </c>
      <c r="D53" s="332">
        <v>9980</v>
      </c>
      <c r="E53" s="130">
        <v>1004.6809999999999</v>
      </c>
      <c r="F53" s="130">
        <v>10882.63601</v>
      </c>
      <c r="G53" s="326">
        <f t="shared" si="16"/>
        <v>8.6034150560469938E-2</v>
      </c>
      <c r="H53" s="326">
        <f t="shared" si="17"/>
        <v>0.15534490808354229</v>
      </c>
      <c r="I53" s="332">
        <v>869.59400000000005</v>
      </c>
      <c r="J53" s="130">
        <v>9292.3873300000014</v>
      </c>
      <c r="K53" s="326">
        <f t="shared" si="18"/>
        <v>7.0175520711443951E-2</v>
      </c>
    </row>
    <row r="54" spans="1:11" ht="11.1" customHeight="1">
      <c r="A54" s="433"/>
      <c r="B54" s="433"/>
      <c r="C54" s="155" t="s">
        <v>7</v>
      </c>
      <c r="D54" s="332">
        <v>106985</v>
      </c>
      <c r="E54" s="130">
        <v>1426.7</v>
      </c>
      <c r="F54" s="130">
        <v>15453.6</v>
      </c>
      <c r="G54" s="326">
        <f t="shared" si="16"/>
        <v>0.12217303064815845</v>
      </c>
      <c r="H54" s="326">
        <f t="shared" si="17"/>
        <v>-0.25244956772334293</v>
      </c>
      <c r="I54" s="332">
        <v>1908.5</v>
      </c>
      <c r="J54" s="130">
        <v>20393.3</v>
      </c>
      <c r="K54" s="326">
        <f t="shared" si="18"/>
        <v>0.15401438059346173</v>
      </c>
    </row>
    <row r="55" spans="1:11" ht="11.1" customHeight="1">
      <c r="A55" s="433"/>
      <c r="B55" s="433"/>
      <c r="C55" s="155" t="s">
        <v>93</v>
      </c>
      <c r="D55" s="332">
        <v>17</v>
      </c>
      <c r="E55" s="130">
        <v>144.49299999999999</v>
      </c>
      <c r="F55" s="130">
        <v>1565.1036000000004</v>
      </c>
      <c r="G55" s="326">
        <f t="shared" si="16"/>
        <v>1.2373412572681264E-2</v>
      </c>
      <c r="H55" s="326">
        <f t="shared" si="17"/>
        <v>-0.18733760025196566</v>
      </c>
      <c r="I55" s="332">
        <v>177.80199999999999</v>
      </c>
      <c r="J55" s="130">
        <v>1899.8680400000001</v>
      </c>
      <c r="K55" s="326">
        <f t="shared" si="18"/>
        <v>1.4348475189037823E-2</v>
      </c>
    </row>
    <row r="56" spans="1:11" ht="11.1" customHeight="1">
      <c r="A56" s="434"/>
      <c r="B56" s="434"/>
      <c r="C56" s="337" t="s">
        <v>0</v>
      </c>
      <c r="D56" s="340">
        <v>117304</v>
      </c>
      <c r="E56" s="338">
        <v>11677.7</v>
      </c>
      <c r="F56" s="338">
        <v>126489.16445000001</v>
      </c>
      <c r="G56" s="339">
        <f>SUM(G51:G55)</f>
        <v>0.99999999999999978</v>
      </c>
      <c r="H56" s="339">
        <f t="shared" ref="H56" si="19">(E56-I56)/I56</f>
        <v>-5.7619212860220953E-2</v>
      </c>
      <c r="I56" s="340">
        <v>12391.7</v>
      </c>
      <c r="J56" s="338">
        <v>132409.75531000001</v>
      </c>
      <c r="K56" s="339">
        <f>SUM(K51:K55)</f>
        <v>0.99999999999999989</v>
      </c>
    </row>
    <row r="57" spans="1:11" ht="11.1" customHeight="1">
      <c r="A57" s="501" t="str">
        <f>'3.1'!G5</f>
        <v>II. čtvrtletí</v>
      </c>
      <c r="B57" s="432"/>
      <c r="C57" s="165" t="s">
        <v>4</v>
      </c>
      <c r="D57" s="331">
        <f>D51</f>
        <v>78</v>
      </c>
      <c r="E57" s="327">
        <f>E39+E45+E51</f>
        <v>27049.390000000003</v>
      </c>
      <c r="F57" s="327">
        <f>F39+F45+F51</f>
        <v>291654.37909000006</v>
      </c>
      <c r="G57" s="328">
        <f>E57/$E$62</f>
        <v>0.49707335718604195</v>
      </c>
      <c r="H57" s="328">
        <f>(E57-I57)/I57</f>
        <v>-0.11693376295610614</v>
      </c>
      <c r="I57" s="331">
        <f>I39+I45+I51</f>
        <v>30631.213</v>
      </c>
      <c r="J57" s="327">
        <f>J39+J45+J51</f>
        <v>327114.52178000001</v>
      </c>
      <c r="K57" s="328">
        <f>I57/$I$62</f>
        <v>0.45849755567463685</v>
      </c>
    </row>
    <row r="58" spans="1:11" ht="11.1" customHeight="1">
      <c r="A58" s="433"/>
      <c r="B58" s="433"/>
      <c r="C58" s="155" t="s">
        <v>5</v>
      </c>
      <c r="D58" s="332">
        <f>D52</f>
        <v>244</v>
      </c>
      <c r="E58" s="130">
        <f t="shared" ref="E58:F59" si="20">E40+E46+E52</f>
        <v>5799.3170000000009</v>
      </c>
      <c r="F58" s="130">
        <f t="shared" si="20"/>
        <v>62513.056730000011</v>
      </c>
      <c r="G58" s="326">
        <f t="shared" ref="G58:G61" si="21">E58/$E$62</f>
        <v>0.10657120070271771</v>
      </c>
      <c r="H58" s="326">
        <f t="shared" ref="H58:H61" si="22">(E58-I58)/I58</f>
        <v>-0.15054135929975265</v>
      </c>
      <c r="I58" s="332">
        <f t="shared" ref="I58:J58" si="23">I40+I46+I52</f>
        <v>6827.0740000000005</v>
      </c>
      <c r="J58" s="130">
        <f t="shared" si="23"/>
        <v>72903.859519999984</v>
      </c>
      <c r="K58" s="326">
        <f t="shared" ref="K58:K61" si="24">I58/$I$62</f>
        <v>0.10218977424791718</v>
      </c>
    </row>
    <row r="59" spans="1:11" ht="11.1" customHeight="1">
      <c r="A59" s="433"/>
      <c r="B59" s="433"/>
      <c r="C59" s="155" t="s">
        <v>6</v>
      </c>
      <c r="D59" s="332">
        <f>D53</f>
        <v>9980</v>
      </c>
      <c r="E59" s="130">
        <f>E41+E47+E53</f>
        <v>7885.9699999999993</v>
      </c>
      <c r="F59" s="130">
        <f t="shared" si="20"/>
        <v>84984.333170000013</v>
      </c>
      <c r="G59" s="326">
        <f t="shared" si="21"/>
        <v>0.14491659821417083</v>
      </c>
      <c r="H59" s="326">
        <f t="shared" si="22"/>
        <v>-0.17358275872873793</v>
      </c>
      <c r="I59" s="332">
        <f>I41+I47+I53</f>
        <v>9542.3590000000004</v>
      </c>
      <c r="J59" s="130">
        <f t="shared" ref="J59" si="25">J41+J47+J53</f>
        <v>101888.84448999999</v>
      </c>
      <c r="K59" s="326">
        <f t="shared" si="24"/>
        <v>0.14283300752307368</v>
      </c>
    </row>
    <row r="60" spans="1:11" ht="11.1" customHeight="1">
      <c r="A60" s="433"/>
      <c r="B60" s="433"/>
      <c r="C60" s="155" t="s">
        <v>7</v>
      </c>
      <c r="D60" s="332">
        <f>D54</f>
        <v>106985</v>
      </c>
      <c r="E60" s="130">
        <f t="shared" ref="E60:F61" si="26">E42+E48+E54</f>
        <v>13258.5</v>
      </c>
      <c r="F60" s="130">
        <f t="shared" si="26"/>
        <v>142878.6</v>
      </c>
      <c r="G60" s="326">
        <f t="shared" si="21"/>
        <v>0.24364494379544738</v>
      </c>
      <c r="H60" s="326">
        <f t="shared" si="22"/>
        <v>-0.31295989221681003</v>
      </c>
      <c r="I60" s="332">
        <f t="shared" ref="I60:J60" si="27">I42+I48+I54</f>
        <v>19298</v>
      </c>
      <c r="J60" s="130">
        <f t="shared" si="27"/>
        <v>206057</v>
      </c>
      <c r="K60" s="326">
        <f t="shared" si="24"/>
        <v>0.28885848658390195</v>
      </c>
    </row>
    <row r="61" spans="1:11" ht="11.1" customHeight="1">
      <c r="A61" s="433"/>
      <c r="B61" s="433"/>
      <c r="C61" s="155" t="s">
        <v>93</v>
      </c>
      <c r="D61" s="332">
        <f>D55</f>
        <v>17</v>
      </c>
      <c r="E61" s="130">
        <f>E43+E49+E55</f>
        <v>424.12299999999999</v>
      </c>
      <c r="F61" s="130">
        <f t="shared" si="26"/>
        <v>4574.9764700000005</v>
      </c>
      <c r="G61" s="326">
        <f t="shared" si="21"/>
        <v>7.7939001016220939E-3</v>
      </c>
      <c r="H61" s="326">
        <f t="shared" si="22"/>
        <v>-0.16700448194455902</v>
      </c>
      <c r="I61" s="332">
        <f>I43+I49+I55</f>
        <v>509.154</v>
      </c>
      <c r="J61" s="130">
        <f t="shared" ref="J61" si="28">J43+J49+J55</f>
        <v>5437.7381400000004</v>
      </c>
      <c r="K61" s="326">
        <f t="shared" si="24"/>
        <v>7.6211759704705156E-3</v>
      </c>
    </row>
    <row r="62" spans="1:11" ht="11.1" customHeight="1">
      <c r="A62" s="434"/>
      <c r="B62" s="434"/>
      <c r="C62" s="337" t="s">
        <v>0</v>
      </c>
      <c r="D62" s="340">
        <f>SUM(D57:D61)</f>
        <v>117304</v>
      </c>
      <c r="E62" s="338">
        <f>SUM(E57:E61)</f>
        <v>54417.3</v>
      </c>
      <c r="F62" s="338">
        <f>SUM(F57:F61)</f>
        <v>586605.3454600001</v>
      </c>
      <c r="G62" s="339">
        <f>SUM(G57:G61)</f>
        <v>1</v>
      </c>
      <c r="H62" s="339">
        <f>(E62-I62)/I62</f>
        <v>-0.18546487086837146</v>
      </c>
      <c r="I62" s="340">
        <f>SUM(I57:I61)</f>
        <v>66807.799999999988</v>
      </c>
      <c r="J62" s="338">
        <f>SUM(J57:J61)</f>
        <v>713401.96393000009</v>
      </c>
      <c r="K62" s="339">
        <f>SUM(K57:K61)</f>
        <v>1.0000000000000002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37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5" t="s">
        <v>309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5"/>
      <c r="B3" s="525"/>
      <c r="C3" s="525"/>
      <c r="D3" s="319"/>
      <c r="E3" s="319"/>
      <c r="F3" s="320"/>
      <c r="G3" s="321"/>
      <c r="H3" s="321"/>
      <c r="I3" s="321"/>
      <c r="J3" s="76"/>
      <c r="K3" s="76"/>
    </row>
    <row r="4" spans="1:16" ht="12.95" customHeight="1">
      <c r="A4" s="497" t="s">
        <v>39</v>
      </c>
      <c r="B4" s="497"/>
      <c r="C4" s="497"/>
      <c r="D4" s="491">
        <f>'3.1'!A4</f>
        <v>2022</v>
      </c>
      <c r="E4" s="380"/>
      <c r="F4" s="369"/>
      <c r="G4" s="369"/>
      <c r="H4" s="369"/>
      <c r="I4" s="491">
        <f>D4-1</f>
        <v>2021</v>
      </c>
      <c r="J4" s="492"/>
      <c r="K4" s="492"/>
    </row>
    <row r="5" spans="1:16" ht="24.95" customHeight="1">
      <c r="A5" s="381"/>
      <c r="B5" s="381"/>
      <c r="C5" s="381"/>
      <c r="D5" s="493"/>
      <c r="E5" s="382"/>
      <c r="F5" s="383"/>
      <c r="G5" s="383"/>
      <c r="H5" s="384"/>
      <c r="I5" s="493"/>
      <c r="J5" s="494"/>
      <c r="K5" s="494"/>
    </row>
    <row r="6" spans="1:16" ht="24.95" customHeight="1">
      <c r="A6" s="323"/>
      <c r="B6" s="291"/>
      <c r="C6" s="324"/>
      <c r="D6" s="391" t="s">
        <v>160</v>
      </c>
      <c r="E6" s="489" t="s">
        <v>60</v>
      </c>
      <c r="F6" s="489"/>
      <c r="G6" s="490" t="s">
        <v>33</v>
      </c>
      <c r="H6" s="490" t="s">
        <v>274</v>
      </c>
      <c r="I6" s="488" t="s">
        <v>60</v>
      </c>
      <c r="J6" s="489"/>
      <c r="K6" s="490" t="s">
        <v>33</v>
      </c>
    </row>
    <row r="7" spans="1:16" ht="24.95" customHeight="1">
      <c r="A7" s="323"/>
      <c r="B7" s="325"/>
      <c r="D7" s="392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159</v>
      </c>
      <c r="B8" s="498"/>
      <c r="C8" s="342" t="s">
        <v>185</v>
      </c>
      <c r="D8" s="370"/>
      <c r="E8" s="222" t="s">
        <v>265</v>
      </c>
      <c r="F8" s="222" t="s">
        <v>266</v>
      </c>
      <c r="G8" s="477"/>
      <c r="H8" s="477"/>
      <c r="I8" s="224" t="s">
        <v>265</v>
      </c>
      <c r="J8" s="222" t="s">
        <v>266</v>
      </c>
      <c r="K8" s="477"/>
    </row>
    <row r="9" spans="1:16" ht="11.1" customHeight="1">
      <c r="A9" s="432" t="str">
        <f>'3.1'!D5</f>
        <v>Duben</v>
      </c>
      <c r="B9" s="432"/>
      <c r="C9" s="165" t="s">
        <v>4</v>
      </c>
      <c r="D9" s="331">
        <v>94</v>
      </c>
      <c r="E9" s="327">
        <v>10604.976000000001</v>
      </c>
      <c r="F9" s="327">
        <v>114279.63474999998</v>
      </c>
      <c r="G9" s="328">
        <f>E9/$E$14</f>
        <v>0.39097550544896853</v>
      </c>
      <c r="H9" s="328">
        <f>(E9-I9)/I9</f>
        <v>-0.17781113057854084</v>
      </c>
      <c r="I9" s="331">
        <v>12898.467000000001</v>
      </c>
      <c r="J9" s="327">
        <v>137705.40811999995</v>
      </c>
      <c r="K9" s="328">
        <f>I9/$I$14</f>
        <v>0.40277752796357713</v>
      </c>
    </row>
    <row r="10" spans="1:16" ht="11.1" customHeight="1">
      <c r="A10" s="433"/>
      <c r="B10" s="433"/>
      <c r="C10" s="155" t="s">
        <v>5</v>
      </c>
      <c r="D10" s="332">
        <v>293</v>
      </c>
      <c r="E10" s="130">
        <v>3219.7240000000002</v>
      </c>
      <c r="F10" s="130">
        <v>34695.478769999987</v>
      </c>
      <c r="G10" s="326">
        <f>E10/$E$14</f>
        <v>0.11870212797333768</v>
      </c>
      <c r="H10" s="326">
        <f>(E10-I10)/I10</f>
        <v>-0.17033096582527063</v>
      </c>
      <c r="I10" s="332">
        <v>3880.7330000000002</v>
      </c>
      <c r="J10" s="130">
        <v>41431.218609999996</v>
      </c>
      <c r="K10" s="326">
        <f>I10/$I$14</f>
        <v>0.12118277655993356</v>
      </c>
      <c r="L10" s="94"/>
      <c r="N10" s="94"/>
      <c r="O10" s="94"/>
      <c r="P10" s="94"/>
    </row>
    <row r="11" spans="1:16" ht="11.1" customHeight="1">
      <c r="A11" s="433"/>
      <c r="B11" s="433"/>
      <c r="C11" s="155" t="s">
        <v>6</v>
      </c>
      <c r="D11" s="332">
        <v>8921</v>
      </c>
      <c r="E11" s="130">
        <v>5719.6989999999996</v>
      </c>
      <c r="F11" s="130">
        <v>61635.988850000002</v>
      </c>
      <c r="G11" s="326">
        <f>E11/$E$14</f>
        <v>0.21086914364926046</v>
      </c>
      <c r="H11" s="326">
        <f t="shared" ref="H11:H13" si="0">(E11-I11)/I11</f>
        <v>-7.2457979486620652E-2</v>
      </c>
      <c r="I11" s="332">
        <v>6166.5119999999997</v>
      </c>
      <c r="J11" s="130">
        <v>65835.07239999999</v>
      </c>
      <c r="K11" s="326">
        <f>I11/$I$14</f>
        <v>0.19256028328930358</v>
      </c>
      <c r="L11" s="94"/>
      <c r="N11" s="94"/>
      <c r="O11" s="94"/>
      <c r="P11" s="94"/>
    </row>
    <row r="12" spans="1:16" ht="11.1" customHeight="1">
      <c r="A12" s="433"/>
      <c r="B12" s="433"/>
      <c r="C12" s="155" t="s">
        <v>7</v>
      </c>
      <c r="D12" s="332">
        <v>83576</v>
      </c>
      <c r="E12" s="130">
        <v>7347.9</v>
      </c>
      <c r="F12" s="130">
        <v>79181.3</v>
      </c>
      <c r="G12" s="326">
        <f>E12/$E$14</f>
        <v>0.27089631475719278</v>
      </c>
      <c r="H12" s="326">
        <f t="shared" si="0"/>
        <v>-0.16360469881163786</v>
      </c>
      <c r="I12" s="332">
        <v>8785.2000000000007</v>
      </c>
      <c r="J12" s="130">
        <v>93792.3</v>
      </c>
      <c r="K12" s="326">
        <f>I12/$I$14</f>
        <v>0.27433346448578871</v>
      </c>
      <c r="L12" s="94"/>
      <c r="N12" s="94"/>
      <c r="O12" s="94"/>
      <c r="P12" s="94"/>
    </row>
    <row r="13" spans="1:16" ht="11.1" customHeight="1">
      <c r="A13" s="433"/>
      <c r="B13" s="433"/>
      <c r="C13" s="155" t="s">
        <v>93</v>
      </c>
      <c r="D13" s="332">
        <v>9</v>
      </c>
      <c r="E13" s="130">
        <v>232.101</v>
      </c>
      <c r="F13" s="130">
        <v>2501.1510599999997</v>
      </c>
      <c r="G13" s="326">
        <f>E13/$E$14</f>
        <v>8.5569081712406556E-3</v>
      </c>
      <c r="H13" s="326">
        <f t="shared" si="0"/>
        <v>-0.20754349785583562</v>
      </c>
      <c r="I13" s="332">
        <v>292.88799999999998</v>
      </c>
      <c r="J13" s="130">
        <v>3126.9239000000002</v>
      </c>
      <c r="K13" s="326">
        <f>I13/$I$14</f>
        <v>9.145947701397086E-3</v>
      </c>
      <c r="L13" s="94"/>
      <c r="N13" s="94"/>
      <c r="O13" s="94"/>
      <c r="P13" s="94"/>
    </row>
    <row r="14" spans="1:16" ht="11.1" customHeight="1">
      <c r="A14" s="434"/>
      <c r="B14" s="434"/>
      <c r="C14" s="337" t="s">
        <v>0</v>
      </c>
      <c r="D14" s="340">
        <v>92893</v>
      </c>
      <c r="E14" s="338">
        <v>27124.399999999998</v>
      </c>
      <c r="F14" s="338">
        <v>292293.55342999997</v>
      </c>
      <c r="G14" s="339">
        <f>SUM(G9:G13)</f>
        <v>1</v>
      </c>
      <c r="H14" s="339">
        <f>(E14-I14)/I14</f>
        <v>-0.15299246185649429</v>
      </c>
      <c r="I14" s="340">
        <v>32023.8</v>
      </c>
      <c r="J14" s="338">
        <v>341890.92302999995</v>
      </c>
      <c r="K14" s="339">
        <f>SUM(K9:K13)</f>
        <v>1</v>
      </c>
      <c r="L14" s="94"/>
    </row>
    <row r="15" spans="1:16" ht="11.1" customHeight="1">
      <c r="A15" s="432" t="str">
        <f>'3.1'!E5</f>
        <v>Květen</v>
      </c>
      <c r="B15" s="432"/>
      <c r="C15" s="165" t="s">
        <v>4</v>
      </c>
      <c r="D15" s="331">
        <v>94</v>
      </c>
      <c r="E15" s="327">
        <v>7548.6880000000001</v>
      </c>
      <c r="F15" s="327">
        <v>81109.485949999973</v>
      </c>
      <c r="G15" s="328">
        <f>E15/$E$20</f>
        <v>0.57872290837722429</v>
      </c>
      <c r="H15" s="328">
        <f>(E15-I15)/I15</f>
        <v>-0.33584343100096725</v>
      </c>
      <c r="I15" s="331">
        <v>11365.825999999999</v>
      </c>
      <c r="J15" s="327">
        <v>121363.57973</v>
      </c>
      <c r="K15" s="328">
        <f>I15/$I$20</f>
        <v>0.50699327775324399</v>
      </c>
      <c r="L15" s="94"/>
      <c r="M15" s="94"/>
    </row>
    <row r="16" spans="1:16" ht="11.1" customHeight="1">
      <c r="A16" s="433"/>
      <c r="B16" s="433"/>
      <c r="C16" s="155" t="s">
        <v>5</v>
      </c>
      <c r="D16" s="332">
        <v>292</v>
      </c>
      <c r="E16" s="130">
        <v>1580.0929999999998</v>
      </c>
      <c r="F16" s="130">
        <v>16977.724040000005</v>
      </c>
      <c r="G16" s="326">
        <f>E16/$E$20</f>
        <v>0.12113840398046566</v>
      </c>
      <c r="H16" s="326">
        <f>(E16-I16)/I16</f>
        <v>-0.40709433662076433</v>
      </c>
      <c r="I16" s="332">
        <v>2664.9990000000003</v>
      </c>
      <c r="J16" s="130">
        <v>28456.624950000009</v>
      </c>
      <c r="K16" s="326">
        <f>I16/$I$20</f>
        <v>0.1188771126901923</v>
      </c>
      <c r="L16" s="98"/>
      <c r="M16" s="94"/>
    </row>
    <row r="17" spans="1:20" ht="11.1" customHeight="1">
      <c r="A17" s="433"/>
      <c r="B17" s="433"/>
      <c r="C17" s="155" t="s">
        <v>6</v>
      </c>
      <c r="D17" s="332">
        <v>8917</v>
      </c>
      <c r="E17" s="130">
        <v>1765.1590000000001</v>
      </c>
      <c r="F17" s="130">
        <v>18966.612240000002</v>
      </c>
      <c r="G17" s="326">
        <f>E17/$E$20</f>
        <v>0.13532655611521271</v>
      </c>
      <c r="H17" s="326">
        <f t="shared" ref="H17:H20" si="1">(E17-I17)/I17</f>
        <v>-0.45797787766326903</v>
      </c>
      <c r="I17" s="332">
        <v>3256.6179999999999</v>
      </c>
      <c r="J17" s="130">
        <v>34773.384490000004</v>
      </c>
      <c r="K17" s="326">
        <f>I17/$I$20</f>
        <v>0.14526735093518181</v>
      </c>
      <c r="L17" s="94"/>
      <c r="M17" s="94"/>
      <c r="N17" s="94"/>
      <c r="O17" s="94"/>
    </row>
    <row r="18" spans="1:20" ht="11.1" customHeight="1">
      <c r="A18" s="433"/>
      <c r="B18" s="433"/>
      <c r="C18" s="155" t="s">
        <v>7</v>
      </c>
      <c r="D18" s="332">
        <v>83466</v>
      </c>
      <c r="E18" s="130">
        <v>1900.9</v>
      </c>
      <c r="F18" s="130">
        <v>20425.3</v>
      </c>
      <c r="G18" s="326">
        <f>E18/$E$20</f>
        <v>0.14573318920245024</v>
      </c>
      <c r="H18" s="326">
        <f t="shared" si="1"/>
        <v>-0.60462987998918438</v>
      </c>
      <c r="I18" s="332">
        <v>4807.8999999999996</v>
      </c>
      <c r="J18" s="130">
        <v>51338.8</v>
      </c>
      <c r="K18" s="326">
        <f>I18/$I$20</f>
        <v>0.21446509739897668</v>
      </c>
      <c r="L18" s="94"/>
      <c r="M18" s="94"/>
      <c r="N18" s="94"/>
      <c r="O18" s="94"/>
    </row>
    <row r="19" spans="1:20" ht="11.1" customHeight="1">
      <c r="A19" s="433"/>
      <c r="B19" s="433"/>
      <c r="C19" s="155" t="s">
        <v>93</v>
      </c>
      <c r="D19" s="332">
        <v>9</v>
      </c>
      <c r="E19" s="130">
        <v>248.86</v>
      </c>
      <c r="F19" s="130">
        <v>2673.9708500000002</v>
      </c>
      <c r="G19" s="326">
        <f>E19/$E$20</f>
        <v>1.9078942324647151E-2</v>
      </c>
      <c r="H19" s="326">
        <f t="shared" si="1"/>
        <v>-0.22895553001174254</v>
      </c>
      <c r="I19" s="332">
        <v>322.75700000000001</v>
      </c>
      <c r="J19" s="130">
        <v>3446.37509</v>
      </c>
      <c r="K19" s="326">
        <f>I19/$I$20</f>
        <v>1.4397161222405109E-2</v>
      </c>
      <c r="L19" s="94"/>
      <c r="M19" s="94"/>
      <c r="N19" s="94"/>
      <c r="O19" s="94"/>
    </row>
    <row r="20" spans="1:20" ht="11.1" customHeight="1">
      <c r="A20" s="434"/>
      <c r="B20" s="434"/>
      <c r="C20" s="337" t="s">
        <v>0</v>
      </c>
      <c r="D20" s="340">
        <v>92778</v>
      </c>
      <c r="E20" s="338">
        <v>13043.699999999999</v>
      </c>
      <c r="F20" s="338">
        <v>140153.09307999999</v>
      </c>
      <c r="G20" s="339">
        <f>SUM(G15:G19)</f>
        <v>1.0000000000000002</v>
      </c>
      <c r="H20" s="339">
        <f t="shared" si="1"/>
        <v>-0.41816211008069382</v>
      </c>
      <c r="I20" s="340">
        <v>22418.100000000002</v>
      </c>
      <c r="J20" s="338">
        <v>239378.76425999997</v>
      </c>
      <c r="K20" s="339">
        <f>SUM(K15:K19)</f>
        <v>0.99999999999999989</v>
      </c>
      <c r="L20" s="94"/>
      <c r="M20" s="94"/>
      <c r="N20" s="94"/>
      <c r="O20" s="94"/>
    </row>
    <row r="21" spans="1:20" ht="11.1" customHeight="1">
      <c r="A21" s="432" t="str">
        <f>'3.1'!F5</f>
        <v>Červen</v>
      </c>
      <c r="B21" s="432"/>
      <c r="C21" s="165" t="s">
        <v>4</v>
      </c>
      <c r="D21" s="331">
        <v>94</v>
      </c>
      <c r="E21" s="327">
        <v>7849.3109999999997</v>
      </c>
      <c r="F21" s="327">
        <v>85021.233140000011</v>
      </c>
      <c r="G21" s="328">
        <f>E21/$E$26</f>
        <v>0.68377958586324938</v>
      </c>
      <c r="H21" s="328">
        <f>(E21-I21)/I21</f>
        <v>5.1690221236092251E-2</v>
      </c>
      <c r="I21" s="331">
        <v>7463.52</v>
      </c>
      <c r="J21" s="327">
        <v>79750.556870000029</v>
      </c>
      <c r="K21" s="328">
        <f>I21/$I$26</f>
        <v>0.65035901010805164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3"/>
      <c r="B22" s="433"/>
      <c r="C22" s="155" t="s">
        <v>5</v>
      </c>
      <c r="D22" s="332">
        <v>291</v>
      </c>
      <c r="E22" s="130">
        <v>1176.547</v>
      </c>
      <c r="F22" s="130">
        <v>12743.880160000006</v>
      </c>
      <c r="G22" s="326">
        <f>E22/$E$26</f>
        <v>0.1024929220422848</v>
      </c>
      <c r="H22" s="326">
        <f t="shared" ref="H22:H26" si="2">(E22-I22)/I22</f>
        <v>-5.8273455578136062E-2</v>
      </c>
      <c r="I22" s="332">
        <v>1249.3509999999999</v>
      </c>
      <c r="J22" s="130">
        <v>13350.058570000001</v>
      </c>
      <c r="K22" s="326">
        <f>I22/$I$26</f>
        <v>0.10886641686998953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3"/>
      <c r="B23" s="433"/>
      <c r="C23" s="155" t="s">
        <v>6</v>
      </c>
      <c r="D23" s="332">
        <v>8898</v>
      </c>
      <c r="E23" s="130">
        <v>1093.327</v>
      </c>
      <c r="F23" s="130">
        <v>11843.125260000001</v>
      </c>
      <c r="G23" s="326">
        <f>E23/$E$26</f>
        <v>9.5243351075413998E-2</v>
      </c>
      <c r="H23" s="326">
        <f t="shared" si="2"/>
        <v>0.15677250138337401</v>
      </c>
      <c r="I23" s="332">
        <v>945.15299999999991</v>
      </c>
      <c r="J23" s="130">
        <v>10099.031150000001</v>
      </c>
      <c r="K23" s="326">
        <f>I23/$I$26</f>
        <v>8.2359097246427315E-2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3"/>
      <c r="B24" s="433"/>
      <c r="C24" s="155" t="s">
        <v>7</v>
      </c>
      <c r="D24" s="332">
        <v>83354</v>
      </c>
      <c r="E24" s="130">
        <v>1115.2</v>
      </c>
      <c r="F24" s="130">
        <v>12079.9</v>
      </c>
      <c r="G24" s="326">
        <f>E24/$E$26</f>
        <v>9.7148780849006466E-2</v>
      </c>
      <c r="H24" s="326">
        <f t="shared" si="2"/>
        <v>-0.25249681614049202</v>
      </c>
      <c r="I24" s="332">
        <v>1491.9</v>
      </c>
      <c r="J24" s="130">
        <v>15941.2</v>
      </c>
      <c r="K24" s="326">
        <f>I24/$I$26</f>
        <v>0.13000174276751483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3"/>
      <c r="B25" s="433"/>
      <c r="C25" s="155" t="s">
        <v>93</v>
      </c>
      <c r="D25" s="332">
        <v>9</v>
      </c>
      <c r="E25" s="130">
        <v>244.91499999999999</v>
      </c>
      <c r="F25" s="130">
        <v>2652.85356</v>
      </c>
      <c r="G25" s="326">
        <f>E25/$E$26</f>
        <v>2.1335360170045208E-2</v>
      </c>
      <c r="H25" s="326">
        <f t="shared" si="2"/>
        <v>-0.24890209644377392</v>
      </c>
      <c r="I25" s="332">
        <v>326.07600000000002</v>
      </c>
      <c r="J25" s="130">
        <v>3484.2326900000003</v>
      </c>
      <c r="K25" s="326">
        <f>I25/$I$26</f>
        <v>2.8413733008016733E-2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4"/>
      <c r="B26" s="434"/>
      <c r="C26" s="337" t="s">
        <v>0</v>
      </c>
      <c r="D26" s="340">
        <v>92646</v>
      </c>
      <c r="E26" s="338">
        <v>11479.300000000001</v>
      </c>
      <c r="F26" s="338">
        <v>124340.99212000001</v>
      </c>
      <c r="G26" s="339">
        <f>SUM(G21:G25)</f>
        <v>0.99999999999999989</v>
      </c>
      <c r="H26" s="339">
        <f t="shared" si="2"/>
        <v>2.8755663994432654E-4</v>
      </c>
      <c r="I26" s="340">
        <v>11476</v>
      </c>
      <c r="J26" s="338">
        <v>122625.07928000002</v>
      </c>
      <c r="K26" s="339">
        <f>SUM(K21:K25)</f>
        <v>1</v>
      </c>
    </row>
    <row r="27" spans="1:20" ht="11.1" customHeight="1">
      <c r="A27" s="501" t="str">
        <f>'3.1'!G5</f>
        <v>II. čtvrtletí</v>
      </c>
      <c r="B27" s="432"/>
      <c r="C27" s="165" t="s">
        <v>4</v>
      </c>
      <c r="D27" s="331">
        <f>D21</f>
        <v>94</v>
      </c>
      <c r="E27" s="327">
        <f>E9+E15+E21</f>
        <v>26002.974999999999</v>
      </c>
      <c r="F27" s="327">
        <f>F9+F15+F21</f>
        <v>280410.35384</v>
      </c>
      <c r="G27" s="328">
        <f>E27/$E$32</f>
        <v>0.50347113310641001</v>
      </c>
      <c r="H27" s="328">
        <f>(E27-I27)/I27</f>
        <v>-0.18043594747611505</v>
      </c>
      <c r="I27" s="331">
        <f>I9+I15+I21</f>
        <v>31727.812999999998</v>
      </c>
      <c r="J27" s="327">
        <f>J9+J15+J21</f>
        <v>338819.54472000001</v>
      </c>
      <c r="K27" s="328">
        <f>I27/$I$32</f>
        <v>0.48132317625409782</v>
      </c>
    </row>
    <row r="28" spans="1:20" ht="11.1" customHeight="1">
      <c r="A28" s="433"/>
      <c r="B28" s="433"/>
      <c r="C28" s="155" t="s">
        <v>5</v>
      </c>
      <c r="D28" s="332">
        <f>D22</f>
        <v>291</v>
      </c>
      <c r="E28" s="130">
        <f t="shared" ref="E28:F31" si="3">E10+E16+E22</f>
        <v>5976.3639999999996</v>
      </c>
      <c r="F28" s="130">
        <f t="shared" si="3"/>
        <v>64417.082969999996</v>
      </c>
      <c r="G28" s="326">
        <f>E28/$E$32</f>
        <v>0.11571471167958117</v>
      </c>
      <c r="H28" s="326">
        <f t="shared" ref="H28:H31" si="4">(E28-I28)/I28</f>
        <v>-0.23331618149543759</v>
      </c>
      <c r="I28" s="332">
        <f t="shared" ref="I28:J28" si="5">I10+I16+I22</f>
        <v>7795.0829999999996</v>
      </c>
      <c r="J28" s="130">
        <f t="shared" si="5"/>
        <v>83237.902130000002</v>
      </c>
      <c r="K28" s="326">
        <f>I28/$I$32</f>
        <v>0.11825441951275752</v>
      </c>
    </row>
    <row r="29" spans="1:20" ht="11.1" customHeight="1">
      <c r="A29" s="433"/>
      <c r="B29" s="433"/>
      <c r="C29" s="155" t="s">
        <v>6</v>
      </c>
      <c r="D29" s="332">
        <f>D23</f>
        <v>8898</v>
      </c>
      <c r="E29" s="130">
        <f t="shared" si="3"/>
        <v>8578.1849999999995</v>
      </c>
      <c r="F29" s="130">
        <f t="shared" si="3"/>
        <v>92445.726350000012</v>
      </c>
      <c r="G29" s="326">
        <f>E29/$E$32</f>
        <v>0.16609132308693178</v>
      </c>
      <c r="H29" s="326">
        <f t="shared" si="4"/>
        <v>-0.17265134448972891</v>
      </c>
      <c r="I29" s="332">
        <f t="shared" ref="I29:J29" si="6">I11+I17+I23</f>
        <v>10368.282999999999</v>
      </c>
      <c r="J29" s="130">
        <f t="shared" si="6"/>
        <v>110707.48804</v>
      </c>
      <c r="K29" s="326">
        <f>I29/$I$32</f>
        <v>0.15729085726335332</v>
      </c>
    </row>
    <row r="30" spans="1:20" ht="11.1" customHeight="1">
      <c r="A30" s="433"/>
      <c r="B30" s="433"/>
      <c r="C30" s="155" t="s">
        <v>7</v>
      </c>
      <c r="D30" s="332">
        <f>D24</f>
        <v>83354</v>
      </c>
      <c r="E30" s="130">
        <f t="shared" si="3"/>
        <v>10364</v>
      </c>
      <c r="F30" s="130">
        <f t="shared" si="3"/>
        <v>111686.5</v>
      </c>
      <c r="G30" s="326">
        <f>E30/$E$32</f>
        <v>0.20066837827267203</v>
      </c>
      <c r="H30" s="326">
        <f t="shared" si="4"/>
        <v>-0.3129598939343719</v>
      </c>
      <c r="I30" s="332">
        <f t="shared" ref="I30:J30" si="7">I12+I18+I24</f>
        <v>15085</v>
      </c>
      <c r="J30" s="130">
        <f t="shared" si="7"/>
        <v>161072.30000000002</v>
      </c>
      <c r="K30" s="326">
        <f>I30/$I$32</f>
        <v>0.22884527571418384</v>
      </c>
    </row>
    <row r="31" spans="1:20" ht="11.1" customHeight="1">
      <c r="A31" s="433"/>
      <c r="B31" s="433"/>
      <c r="C31" s="155" t="s">
        <v>93</v>
      </c>
      <c r="D31" s="332">
        <f>D25</f>
        <v>9</v>
      </c>
      <c r="E31" s="130">
        <f>E13+E19+E25</f>
        <v>725.87599999999998</v>
      </c>
      <c r="F31" s="130">
        <f t="shared" si="3"/>
        <v>7827.9754699999994</v>
      </c>
      <c r="G31" s="326">
        <f>E31/$E$32</f>
        <v>1.4054453854405064E-2</v>
      </c>
      <c r="H31" s="326">
        <f t="shared" si="4"/>
        <v>-0.22920270441032964</v>
      </c>
      <c r="I31" s="332">
        <f>I13+I19+I25</f>
        <v>941.721</v>
      </c>
      <c r="J31" s="130">
        <f t="shared" ref="J31" si="8">J13+J19+J25</f>
        <v>10057.53168</v>
      </c>
      <c r="K31" s="326">
        <f>I31/$I$32</f>
        <v>1.4286271255607353E-2</v>
      </c>
    </row>
    <row r="32" spans="1:20" ht="11.1" customHeight="1">
      <c r="A32" s="434"/>
      <c r="B32" s="434"/>
      <c r="C32" s="337" t="s">
        <v>0</v>
      </c>
      <c r="D32" s="340">
        <f>SUM(D27:D31)</f>
        <v>92646</v>
      </c>
      <c r="E32" s="338">
        <f>SUM(E27:E31)</f>
        <v>51647.399999999994</v>
      </c>
      <c r="F32" s="338">
        <f>SUM(F27:F31)</f>
        <v>556787.63862999994</v>
      </c>
      <c r="G32" s="339">
        <f>SUM(G27:G31)</f>
        <v>1</v>
      </c>
      <c r="H32" s="339">
        <f>(E32-I32)/I32</f>
        <v>-0.21648899616037545</v>
      </c>
      <c r="I32" s="340">
        <f>SUM(I27:I31)</f>
        <v>65917.900000000009</v>
      </c>
      <c r="J32" s="338">
        <f>SUM(J27:J31)</f>
        <v>703894.76657000009</v>
      </c>
      <c r="K32" s="339">
        <f>SUM(K27:K31)</f>
        <v>0.99999999999999978</v>
      </c>
    </row>
    <row r="33" spans="1:11" ht="9.9499999999999993" customHeight="1">
      <c r="A33" s="385"/>
      <c r="B33" s="386"/>
      <c r="C33" s="387"/>
      <c r="D33" s="388"/>
      <c r="E33" s="388"/>
      <c r="F33" s="388"/>
      <c r="G33" s="389"/>
      <c r="H33" s="390"/>
      <c r="I33" s="388"/>
      <c r="J33" s="388"/>
      <c r="K33" s="389"/>
    </row>
    <row r="34" spans="1:11" ht="12.95" customHeight="1">
      <c r="A34" s="526" t="s">
        <v>40</v>
      </c>
      <c r="B34" s="526"/>
      <c r="C34" s="526"/>
      <c r="D34" s="491">
        <f>D4</f>
        <v>2022</v>
      </c>
      <c r="E34" s="380"/>
      <c r="F34" s="369"/>
      <c r="G34" s="369"/>
      <c r="H34" s="369"/>
      <c r="I34" s="491">
        <f>D34-1</f>
        <v>2021</v>
      </c>
      <c r="J34" s="492"/>
      <c r="K34" s="492"/>
    </row>
    <row r="35" spans="1:11" ht="24.95" customHeight="1">
      <c r="A35" s="323"/>
      <c r="B35" s="291"/>
      <c r="C35" s="151"/>
      <c r="D35" s="493"/>
      <c r="E35" s="382"/>
      <c r="F35" s="383"/>
      <c r="G35" s="383"/>
      <c r="H35" s="384"/>
      <c r="I35" s="493"/>
      <c r="J35" s="494"/>
      <c r="K35" s="494"/>
    </row>
    <row r="36" spans="1:11" ht="24.95" customHeight="1">
      <c r="A36" s="131"/>
      <c r="B36" s="132"/>
      <c r="C36" s="379"/>
      <c r="D36" s="391" t="s">
        <v>160</v>
      </c>
      <c r="E36" s="489" t="s">
        <v>60</v>
      </c>
      <c r="F36" s="489"/>
      <c r="G36" s="490" t="s">
        <v>33</v>
      </c>
      <c r="H36" s="490" t="s">
        <v>274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25"/>
      <c r="C37" s="325"/>
      <c r="D37" s="392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27" t="s">
        <v>159</v>
      </c>
      <c r="B38" s="527"/>
      <c r="C38" s="393" t="s">
        <v>185</v>
      </c>
      <c r="D38" s="370"/>
      <c r="E38" s="222" t="s">
        <v>265</v>
      </c>
      <c r="F38" s="222" t="s">
        <v>266</v>
      </c>
      <c r="G38" s="477"/>
      <c r="H38" s="477"/>
      <c r="I38" s="224" t="s">
        <v>265</v>
      </c>
      <c r="J38" s="222" t="s">
        <v>266</v>
      </c>
      <c r="K38" s="477"/>
    </row>
    <row r="39" spans="1:11" ht="11.1" customHeight="1">
      <c r="A39" s="432" t="str">
        <f>'3.1'!D5</f>
        <v>Duben</v>
      </c>
      <c r="B39" s="432"/>
      <c r="C39" s="165" t="s">
        <v>4</v>
      </c>
      <c r="D39" s="331">
        <v>172</v>
      </c>
      <c r="E39" s="327">
        <v>38123.392999999989</v>
      </c>
      <c r="F39" s="327">
        <v>410612.76757999981</v>
      </c>
      <c r="G39" s="328">
        <f>E39/$E$44</f>
        <v>0.51314778401534544</v>
      </c>
      <c r="H39" s="328">
        <f>(E39-I39)/I39</f>
        <v>-0.10655028543435618</v>
      </c>
      <c r="I39" s="331">
        <v>42669.881000000001</v>
      </c>
      <c r="J39" s="327">
        <v>455367.67242000002</v>
      </c>
      <c r="K39" s="328">
        <f>I39/$I$44</f>
        <v>0.50651224382510951</v>
      </c>
    </row>
    <row r="40" spans="1:11" ht="11.1" customHeight="1">
      <c r="A40" s="433"/>
      <c r="B40" s="433"/>
      <c r="C40" s="155" t="s">
        <v>5</v>
      </c>
      <c r="D40" s="332">
        <v>454</v>
      </c>
      <c r="E40" s="130">
        <v>4608.4219999999996</v>
      </c>
      <c r="F40" s="130">
        <v>49645.473309999972</v>
      </c>
      <c r="G40" s="326">
        <f t="shared" ref="G40" si="9">E40/$E$44</f>
        <v>6.2030195924784731E-2</v>
      </c>
      <c r="H40" s="326">
        <f>(E40-I40)/I40</f>
        <v>-0.1114981241563814</v>
      </c>
      <c r="I40" s="332">
        <v>5186.7330000000002</v>
      </c>
      <c r="J40" s="130">
        <v>55366.554349999948</v>
      </c>
      <c r="K40" s="326">
        <f t="shared" ref="K40:K43" si="10">I40/$I$44</f>
        <v>6.1569043746612311E-2</v>
      </c>
    </row>
    <row r="41" spans="1:11" ht="11.1" customHeight="1">
      <c r="A41" s="433"/>
      <c r="B41" s="433"/>
      <c r="C41" s="155" t="s">
        <v>6</v>
      </c>
      <c r="D41" s="332">
        <v>18472</v>
      </c>
      <c r="E41" s="130">
        <v>9204.9660000000003</v>
      </c>
      <c r="F41" s="130">
        <v>99193.285759999999</v>
      </c>
      <c r="G41" s="326">
        <f>E41/$E$44</f>
        <v>0.12390051181532032</v>
      </c>
      <c r="H41" s="326">
        <f t="shared" ref="H41:H43" si="11">(E41-I41)/I41</f>
        <v>-7.169477493834886E-2</v>
      </c>
      <c r="I41" s="332">
        <v>9915.8829999999998</v>
      </c>
      <c r="J41" s="130">
        <v>105863.49436</v>
      </c>
      <c r="K41" s="326">
        <f t="shared" si="10"/>
        <v>0.11770635469635497</v>
      </c>
    </row>
    <row r="42" spans="1:11" ht="11.1" customHeight="1">
      <c r="A42" s="433"/>
      <c r="B42" s="433"/>
      <c r="C42" s="155" t="s">
        <v>7</v>
      </c>
      <c r="D42" s="332">
        <v>357388</v>
      </c>
      <c r="E42" s="130">
        <v>20445</v>
      </c>
      <c r="F42" s="130">
        <v>220316.6</v>
      </c>
      <c r="G42" s="326">
        <f>E42/$E$44</f>
        <v>0.27519340800001041</v>
      </c>
      <c r="H42" s="326">
        <f t="shared" si="11"/>
        <v>-0.1636086940513739</v>
      </c>
      <c r="I42" s="332">
        <v>24444.3</v>
      </c>
      <c r="J42" s="130">
        <v>260970.5</v>
      </c>
      <c r="K42" s="326">
        <f t="shared" si="10"/>
        <v>0.2901657316957158</v>
      </c>
    </row>
    <row r="43" spans="1:11" ht="11.1" customHeight="1">
      <c r="A43" s="433"/>
      <c r="B43" s="433"/>
      <c r="C43" s="155" t="s">
        <v>93</v>
      </c>
      <c r="D43" s="332">
        <v>32</v>
      </c>
      <c r="E43" s="130">
        <v>1911.423</v>
      </c>
      <c r="F43" s="130">
        <v>20586.679849999997</v>
      </c>
      <c r="G43" s="326">
        <f>E43/$E$44</f>
        <v>2.5728100244539198E-2</v>
      </c>
      <c r="H43" s="326">
        <f t="shared" si="11"/>
        <v>-5.6436409446580016E-2</v>
      </c>
      <c r="I43" s="332">
        <v>2025.749</v>
      </c>
      <c r="J43" s="130">
        <v>21619.354620000002</v>
      </c>
      <c r="K43" s="326">
        <f t="shared" si="10"/>
        <v>2.4046626036207407E-2</v>
      </c>
    </row>
    <row r="44" spans="1:11" ht="11.1" customHeight="1">
      <c r="A44" s="434"/>
      <c r="B44" s="434"/>
      <c r="C44" s="337" t="s">
        <v>0</v>
      </c>
      <c r="D44" s="340">
        <v>376518</v>
      </c>
      <c r="E44" s="338">
        <v>74293.203999999983</v>
      </c>
      <c r="F44" s="338">
        <v>800354.80649999972</v>
      </c>
      <c r="G44" s="339">
        <f>SUM(G39:G43)</f>
        <v>1</v>
      </c>
      <c r="H44" s="339">
        <f>(E44-I44)/I44</f>
        <v>-0.11810352930216542</v>
      </c>
      <c r="I44" s="340">
        <v>84242.546000000002</v>
      </c>
      <c r="J44" s="338">
        <v>899187.57574999996</v>
      </c>
      <c r="K44" s="339">
        <f>SUM(K39:K43)</f>
        <v>1</v>
      </c>
    </row>
    <row r="45" spans="1:11" ht="11.1" customHeight="1">
      <c r="A45" s="432" t="str">
        <f>'3.1'!E5</f>
        <v>Květen</v>
      </c>
      <c r="B45" s="432"/>
      <c r="C45" s="165" t="s">
        <v>4</v>
      </c>
      <c r="D45" s="331">
        <v>172</v>
      </c>
      <c r="E45" s="327">
        <v>33223.523000000001</v>
      </c>
      <c r="F45" s="327">
        <v>356811.88991999993</v>
      </c>
      <c r="G45" s="328">
        <f>E45/$E$50</f>
        <v>0.72303533914247964</v>
      </c>
      <c r="H45" s="328">
        <f>(E45-I45)/I45</f>
        <v>-0.14262365110124139</v>
      </c>
      <c r="I45" s="331">
        <v>38750.220999999998</v>
      </c>
      <c r="J45" s="327">
        <v>413590.44295999996</v>
      </c>
      <c r="K45" s="328">
        <f>I45/$I$50</f>
        <v>0.61666597202624962</v>
      </c>
    </row>
    <row r="46" spans="1:11" ht="11.1" customHeight="1">
      <c r="A46" s="433"/>
      <c r="B46" s="433"/>
      <c r="C46" s="155" t="s">
        <v>5</v>
      </c>
      <c r="D46" s="332">
        <v>454</v>
      </c>
      <c r="E46" s="130">
        <v>2532.4379999999996</v>
      </c>
      <c r="F46" s="130">
        <v>27206.189119999988</v>
      </c>
      <c r="G46" s="326">
        <f t="shared" ref="G46:G49" si="12">E46/$E$50</f>
        <v>5.5112823772099744E-2</v>
      </c>
      <c r="H46" s="326">
        <f>(E46-I46)/I46</f>
        <v>-0.2477778084713729</v>
      </c>
      <c r="I46" s="332">
        <v>3366.6089999999999</v>
      </c>
      <c r="J46" s="130">
        <v>35942.138520000008</v>
      </c>
      <c r="K46" s="326">
        <f t="shared" ref="K46:K49" si="13">I46/$I$50</f>
        <v>5.3575777320529865E-2</v>
      </c>
    </row>
    <row r="47" spans="1:11" ht="11.1" customHeight="1">
      <c r="A47" s="433"/>
      <c r="B47" s="433"/>
      <c r="C47" s="155" t="s">
        <v>6</v>
      </c>
      <c r="D47" s="332">
        <v>18463</v>
      </c>
      <c r="E47" s="130">
        <v>2839.913</v>
      </c>
      <c r="F47" s="130">
        <v>30512.74353</v>
      </c>
      <c r="G47" s="326">
        <f t="shared" si="12"/>
        <v>6.1804326383151385E-2</v>
      </c>
      <c r="H47" s="326">
        <f t="shared" ref="H47:H49" si="14">(E47-I47)/I47</f>
        <v>-0.45796080516663168</v>
      </c>
      <c r="I47" s="332">
        <v>5239.313000000001</v>
      </c>
      <c r="J47" s="130">
        <v>55942.520400000001</v>
      </c>
      <c r="K47" s="326">
        <f t="shared" si="13"/>
        <v>8.3377744965500114E-2</v>
      </c>
    </row>
    <row r="48" spans="1:11" ht="11.1" customHeight="1">
      <c r="A48" s="433"/>
      <c r="B48" s="433"/>
      <c r="C48" s="155" t="s">
        <v>7</v>
      </c>
      <c r="D48" s="332">
        <v>356917</v>
      </c>
      <c r="E48" s="130">
        <v>5289.2</v>
      </c>
      <c r="F48" s="130">
        <v>56831.9</v>
      </c>
      <c r="G48" s="326">
        <f t="shared" si="12"/>
        <v>0.11510755544474928</v>
      </c>
      <c r="H48" s="326">
        <f t="shared" si="14"/>
        <v>-0.60467874056261306</v>
      </c>
      <c r="I48" s="332">
        <v>13379.498</v>
      </c>
      <c r="J48" s="130">
        <v>142864.978</v>
      </c>
      <c r="K48" s="326">
        <f t="shared" si="13"/>
        <v>0.21291958926874927</v>
      </c>
    </row>
    <row r="49" spans="1:11" ht="11.1" customHeight="1">
      <c r="A49" s="433"/>
      <c r="B49" s="433"/>
      <c r="C49" s="155" t="s">
        <v>93</v>
      </c>
      <c r="D49" s="332">
        <v>32</v>
      </c>
      <c r="E49" s="130">
        <v>2064.9940000000001</v>
      </c>
      <c r="F49" s="130">
        <v>22172.909249999997</v>
      </c>
      <c r="G49" s="326">
        <f t="shared" si="12"/>
        <v>4.4939955257519974E-2</v>
      </c>
      <c r="H49" s="326">
        <f t="shared" si="14"/>
        <v>-1.789761945300784E-2</v>
      </c>
      <c r="I49" s="332">
        <v>2102.6260000000002</v>
      </c>
      <c r="J49" s="130">
        <v>22443.070490000002</v>
      </c>
      <c r="K49" s="326">
        <f t="shared" si="13"/>
        <v>3.3460916418971268E-2</v>
      </c>
    </row>
    <row r="50" spans="1:11" ht="11.1" customHeight="1">
      <c r="A50" s="434"/>
      <c r="B50" s="434"/>
      <c r="C50" s="337" t="s">
        <v>0</v>
      </c>
      <c r="D50" s="340">
        <v>376038</v>
      </c>
      <c r="E50" s="338">
        <v>45950.067999999999</v>
      </c>
      <c r="F50" s="338">
        <v>493535.63181999989</v>
      </c>
      <c r="G50" s="339">
        <f>SUM(G45:G49)</f>
        <v>0.99999999999999989</v>
      </c>
      <c r="H50" s="339">
        <f t="shared" ref="H50" si="15">(E50-I50)/I50</f>
        <v>-0.26875660017804109</v>
      </c>
      <c r="I50" s="340">
        <v>62838.266999999993</v>
      </c>
      <c r="J50" s="338">
        <v>670783.15036999981</v>
      </c>
      <c r="K50" s="339">
        <f>SUM(K45:K49)</f>
        <v>1</v>
      </c>
    </row>
    <row r="51" spans="1:11" ht="11.1" customHeight="1">
      <c r="A51" s="432" t="str">
        <f>'3.1'!F5</f>
        <v>Červen</v>
      </c>
      <c r="B51" s="432"/>
      <c r="C51" s="165" t="s">
        <v>4</v>
      </c>
      <c r="D51" s="331">
        <v>172</v>
      </c>
      <c r="E51" s="327">
        <v>29784.711000000003</v>
      </c>
      <c r="F51" s="327">
        <v>322433.93557999999</v>
      </c>
      <c r="G51" s="328">
        <f>E51/$E$56</f>
        <v>0.76470909167185852</v>
      </c>
      <c r="H51" s="328">
        <f>(E51-I51)/I51</f>
        <v>-0.1125705827567319</v>
      </c>
      <c r="I51" s="331">
        <v>33562.906999999999</v>
      </c>
      <c r="J51" s="327">
        <v>358446.58495999995</v>
      </c>
      <c r="K51" s="328">
        <f>I51/$I$56</f>
        <v>0.76604436354759009</v>
      </c>
    </row>
    <row r="52" spans="1:11" ht="11.1" customHeight="1">
      <c r="A52" s="433"/>
      <c r="B52" s="433"/>
      <c r="C52" s="155" t="s">
        <v>5</v>
      </c>
      <c r="D52" s="332">
        <v>452</v>
      </c>
      <c r="E52" s="130">
        <v>2278.384</v>
      </c>
      <c r="F52" s="130">
        <v>24674.266410000033</v>
      </c>
      <c r="G52" s="326">
        <f t="shared" ref="G52:G55" si="16">E52/$E$56</f>
        <v>5.8496486976814907E-2</v>
      </c>
      <c r="H52" s="326">
        <f t="shared" ref="H52:H55" si="17">(E52-I52)/I52</f>
        <v>-6.5603816352786309E-2</v>
      </c>
      <c r="I52" s="332">
        <v>2438.3490000000002</v>
      </c>
      <c r="J52" s="130">
        <v>26050.90545999998</v>
      </c>
      <c r="K52" s="326">
        <f t="shared" ref="K52:K55" si="18">I52/$I$56</f>
        <v>5.5653209890665994E-2</v>
      </c>
    </row>
    <row r="53" spans="1:11" ht="11.1" customHeight="1">
      <c r="A53" s="433"/>
      <c r="B53" s="433"/>
      <c r="C53" s="155" t="s">
        <v>6</v>
      </c>
      <c r="D53" s="332">
        <v>18423</v>
      </c>
      <c r="E53" s="130">
        <v>1758.4799999999998</v>
      </c>
      <c r="F53" s="130">
        <v>19048.430200000003</v>
      </c>
      <c r="G53" s="326">
        <f t="shared" si="16"/>
        <v>4.5148185037723866E-2</v>
      </c>
      <c r="H53" s="326">
        <f t="shared" si="17"/>
        <v>0.15513998800506323</v>
      </c>
      <c r="I53" s="332">
        <v>1522.309</v>
      </c>
      <c r="J53" s="130">
        <v>16265.27067</v>
      </c>
      <c r="K53" s="326">
        <f t="shared" si="18"/>
        <v>3.4745388086549485E-2</v>
      </c>
    </row>
    <row r="54" spans="1:11" ht="11.1" customHeight="1">
      <c r="A54" s="433"/>
      <c r="B54" s="433"/>
      <c r="C54" s="155" t="s">
        <v>7</v>
      </c>
      <c r="D54" s="332">
        <v>356438</v>
      </c>
      <c r="E54" s="130">
        <v>3103.1</v>
      </c>
      <c r="F54" s="130">
        <v>33611.5</v>
      </c>
      <c r="G54" s="326">
        <f t="shared" si="16"/>
        <v>7.9670700258496513E-2</v>
      </c>
      <c r="H54" s="326">
        <f t="shared" si="17"/>
        <v>-0.25244519392917369</v>
      </c>
      <c r="I54" s="332">
        <v>4151</v>
      </c>
      <c r="J54" s="130">
        <v>44355.199999999997</v>
      </c>
      <c r="K54" s="326">
        <f t="shared" si="18"/>
        <v>9.4742989726308471E-2</v>
      </c>
    </row>
    <row r="55" spans="1:11" ht="11.1" customHeight="1">
      <c r="A55" s="433"/>
      <c r="B55" s="433"/>
      <c r="C55" s="155" t="s">
        <v>93</v>
      </c>
      <c r="D55" s="332">
        <v>32</v>
      </c>
      <c r="E55" s="130">
        <v>2024.3989999999999</v>
      </c>
      <c r="F55" s="130">
        <v>21908.775630000004</v>
      </c>
      <c r="G55" s="326">
        <f t="shared" si="16"/>
        <v>5.1975536055106207E-2</v>
      </c>
      <c r="H55" s="326">
        <f t="shared" si="17"/>
        <v>-5.344547606656936E-2</v>
      </c>
      <c r="I55" s="332">
        <v>2138.703</v>
      </c>
      <c r="J55" s="130">
        <v>22842.174129999999</v>
      </c>
      <c r="K55" s="326">
        <f t="shared" si="18"/>
        <v>4.8814048748885834E-2</v>
      </c>
    </row>
    <row r="56" spans="1:11" ht="11.1" customHeight="1">
      <c r="A56" s="434"/>
      <c r="B56" s="434"/>
      <c r="C56" s="337" t="s">
        <v>0</v>
      </c>
      <c r="D56" s="340">
        <v>375517</v>
      </c>
      <c r="E56" s="338">
        <v>38949.074000000001</v>
      </c>
      <c r="F56" s="338">
        <v>421676.90782000002</v>
      </c>
      <c r="G56" s="339">
        <f>SUM(G51:G55)</f>
        <v>1</v>
      </c>
      <c r="H56" s="339">
        <f t="shared" ref="H56" si="19">(E56-I56)/I56</f>
        <v>-0.1110210267812025</v>
      </c>
      <c r="I56" s="340">
        <v>43813.268000000004</v>
      </c>
      <c r="J56" s="338">
        <v>467960.13521999994</v>
      </c>
      <c r="K56" s="339">
        <f>SUM(K51:K55)</f>
        <v>0.99999999999999989</v>
      </c>
    </row>
    <row r="57" spans="1:11" ht="11.1" customHeight="1">
      <c r="A57" s="501" t="str">
        <f>'3.1'!G5</f>
        <v>II. čtvrtletí</v>
      </c>
      <c r="B57" s="432"/>
      <c r="C57" s="165" t="s">
        <v>4</v>
      </c>
      <c r="D57" s="331">
        <f>D51</f>
        <v>172</v>
      </c>
      <c r="E57" s="327">
        <f>E39+E45+E51</f>
        <v>101131.62700000001</v>
      </c>
      <c r="F57" s="327">
        <f>F39+F45+F51</f>
        <v>1089858.5930799998</v>
      </c>
      <c r="G57" s="328">
        <f>E57/$E$62</f>
        <v>0.63527945621204684</v>
      </c>
      <c r="H57" s="328">
        <f>(E57-I57)/I57</f>
        <v>-0.12046459838253132</v>
      </c>
      <c r="I57" s="331">
        <f>I39+I45+I51</f>
        <v>114983.00899999999</v>
      </c>
      <c r="J57" s="327">
        <f>J39+J45+J51</f>
        <v>1227404.70034</v>
      </c>
      <c r="K57" s="328">
        <f>I57/$I$62</f>
        <v>0.60233930982909845</v>
      </c>
    </row>
    <row r="58" spans="1:11" ht="11.1" customHeight="1">
      <c r="A58" s="433"/>
      <c r="B58" s="433"/>
      <c r="C58" s="155" t="s">
        <v>5</v>
      </c>
      <c r="D58" s="332">
        <f>D52</f>
        <v>452</v>
      </c>
      <c r="E58" s="130">
        <f t="shared" ref="E58:F59" si="20">E40+E46+E52</f>
        <v>9419.2439999999988</v>
      </c>
      <c r="F58" s="130">
        <f t="shared" si="20"/>
        <v>101525.92884000001</v>
      </c>
      <c r="G58" s="326">
        <f t="shared" ref="G58:G61" si="21">E58/$E$62</f>
        <v>5.9168950245886816E-2</v>
      </c>
      <c r="H58" s="326">
        <f t="shared" ref="H58:H61" si="22">(E58-I58)/I58</f>
        <v>-0.14305778792362356</v>
      </c>
      <c r="I58" s="332">
        <f t="shared" ref="I58:J58" si="23">I40+I46+I52</f>
        <v>10991.691000000001</v>
      </c>
      <c r="J58" s="130">
        <f t="shared" si="23"/>
        <v>117359.59832999994</v>
      </c>
      <c r="K58" s="326">
        <f t="shared" ref="K58:K61" si="24">I58/$I$62</f>
        <v>5.7580051421290544E-2</v>
      </c>
    </row>
    <row r="59" spans="1:11" ht="11.1" customHeight="1">
      <c r="A59" s="433"/>
      <c r="B59" s="433"/>
      <c r="C59" s="155" t="s">
        <v>6</v>
      </c>
      <c r="D59" s="332">
        <f>D53</f>
        <v>18423</v>
      </c>
      <c r="E59" s="130">
        <f>E41+E47+E53</f>
        <v>13803.359</v>
      </c>
      <c r="F59" s="130">
        <f t="shared" si="20"/>
        <v>148754.45949000001</v>
      </c>
      <c r="G59" s="326">
        <f t="shared" si="21"/>
        <v>8.6708685102234756E-2</v>
      </c>
      <c r="H59" s="326">
        <f t="shared" si="22"/>
        <v>-0.17233668945085015</v>
      </c>
      <c r="I59" s="332">
        <f>I41+I47+I53</f>
        <v>16677.505000000001</v>
      </c>
      <c r="J59" s="130">
        <f t="shared" ref="J59" si="25">J41+J47+J53</f>
        <v>178071.28542999999</v>
      </c>
      <c r="K59" s="326">
        <f t="shared" si="24"/>
        <v>8.7365228469289222E-2</v>
      </c>
    </row>
    <row r="60" spans="1:11" ht="11.1" customHeight="1">
      <c r="A60" s="433"/>
      <c r="B60" s="433"/>
      <c r="C60" s="155" t="s">
        <v>7</v>
      </c>
      <c r="D60" s="332">
        <f>D54</f>
        <v>356438</v>
      </c>
      <c r="E60" s="130">
        <f t="shared" ref="E60:F61" si="26">E42+E48+E54</f>
        <v>28837.3</v>
      </c>
      <c r="F60" s="130">
        <f t="shared" si="26"/>
        <v>310760</v>
      </c>
      <c r="G60" s="326">
        <f t="shared" si="21"/>
        <v>0.18114752828631597</v>
      </c>
      <c r="H60" s="326">
        <f t="shared" si="22"/>
        <v>-0.3129853775591725</v>
      </c>
      <c r="I60" s="332">
        <f t="shared" ref="I60:J60" si="27">I42+I48+I54</f>
        <v>41974.797999999995</v>
      </c>
      <c r="J60" s="130">
        <f t="shared" si="27"/>
        <v>448190.67800000001</v>
      </c>
      <c r="K60" s="326">
        <f t="shared" si="24"/>
        <v>0.2198852776372883</v>
      </c>
    </row>
    <row r="61" spans="1:11" ht="11.1" customHeight="1">
      <c r="A61" s="433"/>
      <c r="B61" s="433"/>
      <c r="C61" s="155" t="s">
        <v>93</v>
      </c>
      <c r="D61" s="332">
        <f>D55</f>
        <v>32</v>
      </c>
      <c r="E61" s="130">
        <f>E43+E49+E55</f>
        <v>6000.8160000000007</v>
      </c>
      <c r="F61" s="130">
        <f t="shared" si="26"/>
        <v>64668.364730000001</v>
      </c>
      <c r="G61" s="326">
        <f t="shared" si="21"/>
        <v>3.769538015351568E-2</v>
      </c>
      <c r="H61" s="326">
        <f t="shared" si="22"/>
        <v>-4.2485828323821535E-2</v>
      </c>
      <c r="I61" s="332">
        <f>I43+I49+I55</f>
        <v>6267.0779999999995</v>
      </c>
      <c r="J61" s="130">
        <f t="shared" ref="J61" si="28">J43+J49+J55</f>
        <v>66904.59924000001</v>
      </c>
      <c r="K61" s="326">
        <f t="shared" si="24"/>
        <v>3.2830132643033604E-2</v>
      </c>
    </row>
    <row r="62" spans="1:11" ht="11.1" customHeight="1">
      <c r="A62" s="434"/>
      <c r="B62" s="434"/>
      <c r="C62" s="337" t="s">
        <v>0</v>
      </c>
      <c r="D62" s="340">
        <f>SUM(D57:D61)</f>
        <v>375517</v>
      </c>
      <c r="E62" s="338">
        <f>SUM(E57:E61)</f>
        <v>159192.34599999999</v>
      </c>
      <c r="F62" s="338">
        <f>SUM(F57:F61)</f>
        <v>1715567.3461399998</v>
      </c>
      <c r="G62" s="339">
        <f>SUM(G57:G61)</f>
        <v>1</v>
      </c>
      <c r="H62" s="339">
        <f>(E62-I62)/I62</f>
        <v>-0.16606976410127661</v>
      </c>
      <c r="I62" s="340">
        <f>SUM(I57:I61)</f>
        <v>190894.08099999998</v>
      </c>
      <c r="J62" s="338">
        <f>SUM(J57:J61)</f>
        <v>2037930.8613399998</v>
      </c>
      <c r="K62" s="339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topLeftCell="A40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5" t="s">
        <v>310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5"/>
      <c r="B3" s="525"/>
      <c r="C3" s="525"/>
      <c r="D3" s="319"/>
      <c r="E3" s="319"/>
      <c r="F3" s="320"/>
      <c r="G3" s="321"/>
      <c r="H3" s="321"/>
      <c r="I3" s="321"/>
      <c r="J3" s="76"/>
      <c r="K3" s="76"/>
    </row>
    <row r="4" spans="1:16" ht="12.95" customHeight="1">
      <c r="A4" s="497" t="s">
        <v>41</v>
      </c>
      <c r="B4" s="497"/>
      <c r="C4" s="497"/>
      <c r="D4" s="491">
        <f>'3.1'!A4</f>
        <v>2022</v>
      </c>
      <c r="E4" s="380"/>
      <c r="F4" s="369"/>
      <c r="G4" s="369"/>
      <c r="H4" s="369"/>
      <c r="I4" s="491">
        <f>D4-1</f>
        <v>2021</v>
      </c>
      <c r="J4" s="492"/>
      <c r="K4" s="492"/>
    </row>
    <row r="5" spans="1:16" ht="24.95" customHeight="1">
      <c r="A5" s="381"/>
      <c r="B5" s="381"/>
      <c r="C5" s="381"/>
      <c r="D5" s="493"/>
      <c r="E5" s="382"/>
      <c r="F5" s="383"/>
      <c r="G5" s="383"/>
      <c r="H5" s="384"/>
      <c r="I5" s="493"/>
      <c r="J5" s="494"/>
      <c r="K5" s="494"/>
    </row>
    <row r="6" spans="1:16" ht="24.95" customHeight="1">
      <c r="A6" s="323"/>
      <c r="B6" s="291"/>
      <c r="C6" s="324"/>
      <c r="D6" s="391" t="s">
        <v>160</v>
      </c>
      <c r="E6" s="489" t="s">
        <v>60</v>
      </c>
      <c r="F6" s="489"/>
      <c r="G6" s="490" t="s">
        <v>33</v>
      </c>
      <c r="H6" s="490" t="s">
        <v>274</v>
      </c>
      <c r="I6" s="488" t="s">
        <v>60</v>
      </c>
      <c r="J6" s="489"/>
      <c r="K6" s="490" t="s">
        <v>33</v>
      </c>
    </row>
    <row r="7" spans="1:16" ht="24.95" customHeight="1">
      <c r="A7" s="323"/>
      <c r="B7" s="325"/>
      <c r="D7" s="392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159</v>
      </c>
      <c r="B8" s="498"/>
      <c r="C8" s="342" t="s">
        <v>185</v>
      </c>
      <c r="D8" s="370"/>
      <c r="E8" s="222" t="s">
        <v>265</v>
      </c>
      <c r="F8" s="222" t="s">
        <v>266</v>
      </c>
      <c r="G8" s="477"/>
      <c r="H8" s="477"/>
      <c r="I8" s="224" t="s">
        <v>265</v>
      </c>
      <c r="J8" s="222" t="s">
        <v>266</v>
      </c>
      <c r="K8" s="477"/>
    </row>
    <row r="9" spans="1:16" ht="11.1" customHeight="1">
      <c r="A9" s="432" t="str">
        <f>'3.1'!D5</f>
        <v>Duben</v>
      </c>
      <c r="B9" s="432"/>
      <c r="C9" s="165" t="s">
        <v>4</v>
      </c>
      <c r="D9" s="331">
        <v>119</v>
      </c>
      <c r="E9" s="327">
        <v>17954.497000000003</v>
      </c>
      <c r="F9" s="327">
        <v>193478.86727000005</v>
      </c>
      <c r="G9" s="328">
        <f>E9/$E$14</f>
        <v>0.4226566557046712</v>
      </c>
      <c r="H9" s="328">
        <f>(E9-I9)/I9</f>
        <v>8.0614473080209539E-2</v>
      </c>
      <c r="I9" s="331">
        <v>16615.081000000002</v>
      </c>
      <c r="J9" s="327">
        <v>177385.08590999999</v>
      </c>
      <c r="K9" s="328">
        <f>I9/$I$14</f>
        <v>0.36902147043733774</v>
      </c>
    </row>
    <row r="10" spans="1:16" ht="11.1" customHeight="1">
      <c r="A10" s="433"/>
      <c r="B10" s="433"/>
      <c r="C10" s="155" t="s">
        <v>5</v>
      </c>
      <c r="D10" s="332">
        <v>351</v>
      </c>
      <c r="E10" s="130">
        <v>3729.5989999999997</v>
      </c>
      <c r="F10" s="130">
        <v>40190.975600000027</v>
      </c>
      <c r="G10" s="326">
        <f>E10/$E$14</f>
        <v>8.7796379952024592E-2</v>
      </c>
      <c r="H10" s="326">
        <f>(E10-I10)/I10</f>
        <v>-0.16246905518148308</v>
      </c>
      <c r="I10" s="332">
        <v>4453.0879999999997</v>
      </c>
      <c r="J10" s="130">
        <v>47541.952310000001</v>
      </c>
      <c r="K10" s="326">
        <f>I10/$I$14</f>
        <v>9.8903224230255826E-2</v>
      </c>
      <c r="L10" s="94"/>
      <c r="N10" s="94"/>
      <c r="O10" s="94"/>
      <c r="P10" s="94"/>
    </row>
    <row r="11" spans="1:16" ht="11.1" customHeight="1">
      <c r="A11" s="433"/>
      <c r="B11" s="433"/>
      <c r="C11" s="155" t="s">
        <v>6</v>
      </c>
      <c r="D11" s="332">
        <v>13307</v>
      </c>
      <c r="E11" s="130">
        <v>6846.9</v>
      </c>
      <c r="F11" s="130">
        <v>73782.600000000006</v>
      </c>
      <c r="G11" s="326">
        <f>E11/$E$14</f>
        <v>0.16117899910781755</v>
      </c>
      <c r="H11" s="326">
        <f t="shared" ref="H11:H13" si="0">(E11-I11)/I11</f>
        <v>-7.1255178909764891E-2</v>
      </c>
      <c r="I11" s="332">
        <v>7372.2079999999996</v>
      </c>
      <c r="J11" s="130">
        <v>78706.973827999987</v>
      </c>
      <c r="K11" s="326">
        <f>I11/$I$14</f>
        <v>0.16373697104034005</v>
      </c>
      <c r="L11" s="94"/>
      <c r="N11" s="94"/>
      <c r="O11" s="94"/>
      <c r="P11" s="94"/>
    </row>
    <row r="12" spans="1:16" ht="11.1" customHeight="1">
      <c r="A12" s="433"/>
      <c r="B12" s="433"/>
      <c r="C12" s="155" t="s">
        <v>7</v>
      </c>
      <c r="D12" s="332">
        <v>172602</v>
      </c>
      <c r="E12" s="130">
        <v>13549.7</v>
      </c>
      <c r="F12" s="130">
        <v>146012.9</v>
      </c>
      <c r="G12" s="326">
        <f>E12/$E$14</f>
        <v>0.31896582164354609</v>
      </c>
      <c r="H12" s="326">
        <f t="shared" si="0"/>
        <v>-0.16360909124578707</v>
      </c>
      <c r="I12" s="332">
        <v>16200.2</v>
      </c>
      <c r="J12" s="130">
        <v>172955.9</v>
      </c>
      <c r="K12" s="326">
        <f>I12/$I$14</f>
        <v>0.35980695040722088</v>
      </c>
      <c r="L12" s="94"/>
      <c r="N12" s="94"/>
      <c r="O12" s="94"/>
      <c r="P12" s="94"/>
    </row>
    <row r="13" spans="1:16" ht="11.1" customHeight="1">
      <c r="A13" s="433"/>
      <c r="B13" s="433"/>
      <c r="C13" s="155" t="s">
        <v>93</v>
      </c>
      <c r="D13" s="332">
        <v>14</v>
      </c>
      <c r="E13" s="130">
        <v>399.404</v>
      </c>
      <c r="F13" s="130">
        <v>4304.0062500000004</v>
      </c>
      <c r="G13" s="326">
        <f>E13/$E$14</f>
        <v>9.4021435919406978E-3</v>
      </c>
      <c r="H13" s="326">
        <f t="shared" si="0"/>
        <v>3.9781528312545736E-2</v>
      </c>
      <c r="I13" s="332">
        <v>384.12299999999999</v>
      </c>
      <c r="J13" s="130">
        <v>4100.9483919999993</v>
      </c>
      <c r="K13" s="326">
        <f>I13/$I$14</f>
        <v>8.5313838848454279E-3</v>
      </c>
      <c r="L13" s="94"/>
      <c r="N13" s="94"/>
      <c r="O13" s="94"/>
      <c r="P13" s="94"/>
    </row>
    <row r="14" spans="1:16" ht="11.1" customHeight="1">
      <c r="A14" s="434"/>
      <c r="B14" s="434"/>
      <c r="C14" s="337" t="s">
        <v>0</v>
      </c>
      <c r="D14" s="340">
        <v>186393</v>
      </c>
      <c r="E14" s="338">
        <v>42480.1</v>
      </c>
      <c r="F14" s="338">
        <v>457769.34912000003</v>
      </c>
      <c r="G14" s="339">
        <f>SUM(G9:G13)</f>
        <v>1</v>
      </c>
      <c r="H14" s="339">
        <f>(E14-I14)/I14</f>
        <v>-5.6515645856607719E-2</v>
      </c>
      <c r="I14" s="340">
        <v>45024.700000000004</v>
      </c>
      <c r="J14" s="338">
        <v>480690.86044000002</v>
      </c>
      <c r="K14" s="339">
        <f>SUM(K9:K13)</f>
        <v>0.99999999999999989</v>
      </c>
      <c r="L14" s="94"/>
    </row>
    <row r="15" spans="1:16" ht="11.1" customHeight="1">
      <c r="A15" s="432" t="str">
        <f>'3.1'!E5</f>
        <v>Květen</v>
      </c>
      <c r="B15" s="432"/>
      <c r="C15" s="165" t="s">
        <v>4</v>
      </c>
      <c r="D15" s="331">
        <v>119</v>
      </c>
      <c r="E15" s="327">
        <v>14326.156999999999</v>
      </c>
      <c r="F15" s="327">
        <v>153932.80334999997</v>
      </c>
      <c r="G15" s="328">
        <f>E15/$E$20</f>
        <v>0.6461781368118138</v>
      </c>
      <c r="H15" s="328">
        <f>(E15-I15)/I15</f>
        <v>-8.2514099002342731E-2</v>
      </c>
      <c r="I15" s="331">
        <v>15614.58</v>
      </c>
      <c r="J15" s="327">
        <v>166730.64460999999</v>
      </c>
      <c r="K15" s="328">
        <f>I15/$I$20</f>
        <v>0.49261390524143933</v>
      </c>
      <c r="L15" s="94"/>
      <c r="M15" s="94"/>
    </row>
    <row r="16" spans="1:16" ht="11.1" customHeight="1">
      <c r="A16" s="433"/>
      <c r="B16" s="433"/>
      <c r="C16" s="155" t="s">
        <v>5</v>
      </c>
      <c r="D16" s="332">
        <v>352</v>
      </c>
      <c r="E16" s="130">
        <v>1782.98</v>
      </c>
      <c r="F16" s="130">
        <v>19158.190679999989</v>
      </c>
      <c r="G16" s="326">
        <f>E16/$E$20</f>
        <v>8.042091779203088E-2</v>
      </c>
      <c r="H16" s="326">
        <f>(E16-I16)/I16</f>
        <v>-0.38745207437232881</v>
      </c>
      <c r="I16" s="332">
        <v>2910.7599999999998</v>
      </c>
      <c r="J16" s="130">
        <v>31081.011140000021</v>
      </c>
      <c r="K16" s="326">
        <f>I16/$I$20</f>
        <v>9.1829613785357783E-2</v>
      </c>
      <c r="L16" s="98"/>
      <c r="M16" s="94"/>
    </row>
    <row r="17" spans="1:20" ht="11.1" customHeight="1">
      <c r="A17" s="433"/>
      <c r="B17" s="433"/>
      <c r="C17" s="155" t="s">
        <v>6</v>
      </c>
      <c r="D17" s="332">
        <v>13303</v>
      </c>
      <c r="E17" s="130">
        <v>2112.6999999999998</v>
      </c>
      <c r="F17" s="130">
        <v>22700.400000000001</v>
      </c>
      <c r="G17" s="326">
        <f>E17/$E$20</f>
        <v>9.5292865326152637E-2</v>
      </c>
      <c r="H17" s="326">
        <f t="shared" ref="H17:H20" si="1">(E17-I17)/I17</f>
        <v>-0.45787545787545791</v>
      </c>
      <c r="I17" s="332">
        <v>3897.0749999999998</v>
      </c>
      <c r="J17" s="130">
        <v>41612.166761999993</v>
      </c>
      <c r="K17" s="326">
        <f>I17/$I$20</f>
        <v>0.12294620378958525</v>
      </c>
      <c r="L17" s="94"/>
      <c r="M17" s="94"/>
      <c r="N17" s="94"/>
      <c r="O17" s="94"/>
    </row>
    <row r="18" spans="1:20" ht="11.1" customHeight="1">
      <c r="A18" s="433"/>
      <c r="B18" s="433"/>
      <c r="C18" s="155" t="s">
        <v>7</v>
      </c>
      <c r="D18" s="332">
        <v>172370</v>
      </c>
      <c r="E18" s="130">
        <v>3505.4</v>
      </c>
      <c r="F18" s="130">
        <v>37664.800000000003</v>
      </c>
      <c r="G18" s="326">
        <f>E18/$E$20</f>
        <v>0.15811029020414422</v>
      </c>
      <c r="H18" s="326">
        <f t="shared" si="1"/>
        <v>-0.60462440785021432</v>
      </c>
      <c r="I18" s="332">
        <v>8866</v>
      </c>
      <c r="J18" s="130">
        <v>94670.5</v>
      </c>
      <c r="K18" s="326">
        <f>I18/$I$20</f>
        <v>0.27970748389457811</v>
      </c>
      <c r="L18" s="94"/>
      <c r="M18" s="94"/>
      <c r="N18" s="94"/>
      <c r="O18" s="94"/>
    </row>
    <row r="19" spans="1:20" ht="11.1" customHeight="1">
      <c r="A19" s="433"/>
      <c r="B19" s="433"/>
      <c r="C19" s="155" t="s">
        <v>93</v>
      </c>
      <c r="D19" s="332">
        <v>14</v>
      </c>
      <c r="E19" s="130">
        <v>443.363</v>
      </c>
      <c r="F19" s="130">
        <v>4763.8885</v>
      </c>
      <c r="G19" s="326">
        <f>E19/$E$20</f>
        <v>1.9997789865858387E-2</v>
      </c>
      <c r="H19" s="326">
        <f t="shared" si="1"/>
        <v>8.4056872501436453E-2</v>
      </c>
      <c r="I19" s="332">
        <v>408.98500000000001</v>
      </c>
      <c r="J19" s="130">
        <v>4367.0949380000002</v>
      </c>
      <c r="K19" s="326">
        <f>I19/$I$20</f>
        <v>1.2902793289039479E-2</v>
      </c>
      <c r="L19" s="94"/>
      <c r="M19" s="94"/>
      <c r="N19" s="94"/>
      <c r="O19" s="94"/>
    </row>
    <row r="20" spans="1:20" ht="11.1" customHeight="1">
      <c r="A20" s="434"/>
      <c r="B20" s="434"/>
      <c r="C20" s="337" t="s">
        <v>0</v>
      </c>
      <c r="D20" s="340">
        <v>186158</v>
      </c>
      <c r="E20" s="338">
        <v>22170.600000000002</v>
      </c>
      <c r="F20" s="338">
        <v>238220.08252999996</v>
      </c>
      <c r="G20" s="339">
        <f>SUM(G15:G19)</f>
        <v>1</v>
      </c>
      <c r="H20" s="339">
        <f t="shared" si="1"/>
        <v>-0.30055461962179858</v>
      </c>
      <c r="I20" s="340">
        <v>31697.4</v>
      </c>
      <c r="J20" s="338">
        <v>338461.41745000001</v>
      </c>
      <c r="K20" s="339">
        <f>SUM(K15:K19)</f>
        <v>0.99999999999999989</v>
      </c>
      <c r="L20" s="94"/>
      <c r="M20" s="94"/>
      <c r="N20" s="94"/>
      <c r="O20" s="94"/>
    </row>
    <row r="21" spans="1:20" ht="11.1" customHeight="1">
      <c r="A21" s="432" t="str">
        <f>'3.1'!F5</f>
        <v>Červen</v>
      </c>
      <c r="B21" s="432"/>
      <c r="C21" s="165" t="s">
        <v>4</v>
      </c>
      <c r="D21" s="331">
        <v>119</v>
      </c>
      <c r="E21" s="327">
        <v>12747.852999999999</v>
      </c>
      <c r="F21" s="327">
        <v>138081.35122000004</v>
      </c>
      <c r="G21" s="328">
        <f>E21/$E$26</f>
        <v>0.70886778918335791</v>
      </c>
      <c r="H21" s="328">
        <f>(E21-I21)/I21</f>
        <v>1.4300384050952979E-2</v>
      </c>
      <c r="I21" s="331">
        <v>12568.124</v>
      </c>
      <c r="J21" s="327">
        <v>134294.65544000003</v>
      </c>
      <c r="K21" s="328">
        <f>I21/$I$26</f>
        <v>0.67222160415908949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3"/>
      <c r="B22" s="433"/>
      <c r="C22" s="155" t="s">
        <v>5</v>
      </c>
      <c r="D22" s="332">
        <v>351</v>
      </c>
      <c r="E22" s="130">
        <v>1445.1799999999998</v>
      </c>
      <c r="F22" s="130">
        <v>15653.772960000002</v>
      </c>
      <c r="G22" s="326">
        <f>E22/$E$26</f>
        <v>8.0361889297908051E-2</v>
      </c>
      <c r="H22" s="326">
        <f t="shared" ref="H22:H26" si="2">(E22-I22)/I22</f>
        <v>-0.20845538216162823</v>
      </c>
      <c r="I22" s="332">
        <v>1825.7720000000002</v>
      </c>
      <c r="J22" s="130">
        <v>19509.06932000001</v>
      </c>
      <c r="K22" s="326">
        <f>I22/$I$26</f>
        <v>9.7653665946385415E-2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3"/>
      <c r="B23" s="433"/>
      <c r="C23" s="155" t="s">
        <v>6</v>
      </c>
      <c r="D23" s="332">
        <v>13275</v>
      </c>
      <c r="E23" s="130">
        <v>1308.5999999999999</v>
      </c>
      <c r="F23" s="130">
        <v>14174.8</v>
      </c>
      <c r="G23" s="326">
        <f>E23/$E$26</f>
        <v>7.2767107443531251E-2</v>
      </c>
      <c r="H23" s="326">
        <f t="shared" si="2"/>
        <v>0.15697905218960445</v>
      </c>
      <c r="I23" s="332">
        <v>1131.049</v>
      </c>
      <c r="J23" s="130">
        <v>12085.787428</v>
      </c>
      <c r="K23" s="326">
        <f>I23/$I$26</f>
        <v>6.0495549945444052E-2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3"/>
      <c r="B24" s="433"/>
      <c r="C24" s="155" t="s">
        <v>7</v>
      </c>
      <c r="D24" s="332">
        <v>172142</v>
      </c>
      <c r="E24" s="130">
        <v>2056.5</v>
      </c>
      <c r="F24" s="130">
        <v>22275.8</v>
      </c>
      <c r="G24" s="326">
        <f>E24/$E$26</f>
        <v>0.11435546114750268</v>
      </c>
      <c r="H24" s="326">
        <f t="shared" si="2"/>
        <v>-0.25248082585147757</v>
      </c>
      <c r="I24" s="332">
        <v>2751.1</v>
      </c>
      <c r="J24" s="130">
        <v>29396</v>
      </c>
      <c r="K24" s="326">
        <f>I24/$I$26</f>
        <v>0.14714597462613124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3"/>
      <c r="B25" s="433"/>
      <c r="C25" s="155" t="s">
        <v>93</v>
      </c>
      <c r="D25" s="332">
        <v>14</v>
      </c>
      <c r="E25" s="130">
        <v>425.267</v>
      </c>
      <c r="F25" s="130">
        <v>4606.3775999999998</v>
      </c>
      <c r="G25" s="326">
        <f>E25/$E$26</f>
        <v>2.3647752927699987E-2</v>
      </c>
      <c r="H25" s="326">
        <f t="shared" si="2"/>
        <v>1.1685361182809714E-2</v>
      </c>
      <c r="I25" s="332">
        <v>420.35500000000002</v>
      </c>
      <c r="J25" s="130">
        <v>4491.6417019999999</v>
      </c>
      <c r="K25" s="326">
        <f>I25/$I$26</f>
        <v>2.2483205322949878E-2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4"/>
      <c r="B26" s="434"/>
      <c r="C26" s="337" t="s">
        <v>0</v>
      </c>
      <c r="D26" s="340">
        <v>185901</v>
      </c>
      <c r="E26" s="338">
        <v>17983.400000000001</v>
      </c>
      <c r="F26" s="338">
        <v>194792.10178000003</v>
      </c>
      <c r="G26" s="339">
        <f>SUM(G21:G25)</f>
        <v>0.99999999999999989</v>
      </c>
      <c r="H26" s="339">
        <f t="shared" si="2"/>
        <v>-3.8135683874970391E-2</v>
      </c>
      <c r="I26" s="340">
        <v>18696.399999999998</v>
      </c>
      <c r="J26" s="338">
        <v>199777.15389000005</v>
      </c>
      <c r="K26" s="339">
        <f>SUM(K21:K25)</f>
        <v>1</v>
      </c>
    </row>
    <row r="27" spans="1:20" ht="11.1" customHeight="1">
      <c r="A27" s="501" t="str">
        <f>'3.1'!G5</f>
        <v>II. čtvrtletí</v>
      </c>
      <c r="B27" s="432"/>
      <c r="C27" s="165" t="s">
        <v>4</v>
      </c>
      <c r="D27" s="331">
        <f>D21</f>
        <v>119</v>
      </c>
      <c r="E27" s="327">
        <f>E9+E15+E21</f>
        <v>45028.506999999998</v>
      </c>
      <c r="F27" s="327">
        <f>F9+F15+F21</f>
        <v>485493.02184000006</v>
      </c>
      <c r="G27" s="328">
        <f>E27/$E$32</f>
        <v>0.54491435133921717</v>
      </c>
      <c r="H27" s="328">
        <f>(E27-I27)/I27</f>
        <v>5.1502992837702639E-3</v>
      </c>
      <c r="I27" s="331">
        <f>I9+I15+I21</f>
        <v>44797.785000000003</v>
      </c>
      <c r="J27" s="327">
        <f>J9+J15+J21</f>
        <v>478410.38595999999</v>
      </c>
      <c r="K27" s="328">
        <f>I27/$I$32</f>
        <v>0.46948741596231336</v>
      </c>
    </row>
    <row r="28" spans="1:20" ht="11.1" customHeight="1">
      <c r="A28" s="433"/>
      <c r="B28" s="433"/>
      <c r="C28" s="155" t="s">
        <v>5</v>
      </c>
      <c r="D28" s="332">
        <f>D22</f>
        <v>351</v>
      </c>
      <c r="E28" s="130">
        <f t="shared" ref="E28:F31" si="3">E10+E16+E22</f>
        <v>6957.759</v>
      </c>
      <c r="F28" s="130">
        <f t="shared" si="3"/>
        <v>75002.939240000022</v>
      </c>
      <c r="G28" s="326">
        <f>E28/$E$32</f>
        <v>8.4199610088329158E-2</v>
      </c>
      <c r="H28" s="326">
        <f t="shared" ref="H28:H31" si="4">(E28-I28)/I28</f>
        <v>-0.2428676049716964</v>
      </c>
      <c r="I28" s="332">
        <f t="shared" ref="I28:J28" si="5">I10+I16+I22</f>
        <v>9189.6200000000008</v>
      </c>
      <c r="J28" s="130">
        <f t="shared" si="5"/>
        <v>98132.032770000034</v>
      </c>
      <c r="K28" s="326">
        <f>I28/$I$32</f>
        <v>9.6308577477113966E-2</v>
      </c>
    </row>
    <row r="29" spans="1:20" ht="11.1" customHeight="1">
      <c r="A29" s="433"/>
      <c r="B29" s="433"/>
      <c r="C29" s="155" t="s">
        <v>6</v>
      </c>
      <c r="D29" s="332">
        <f>D23</f>
        <v>13275</v>
      </c>
      <c r="E29" s="130">
        <f t="shared" si="3"/>
        <v>10268.199999999999</v>
      </c>
      <c r="F29" s="130">
        <f t="shared" si="3"/>
        <v>110657.8</v>
      </c>
      <c r="G29" s="326">
        <f>E29/$E$32</f>
        <v>0.12426104961511047</v>
      </c>
      <c r="H29" s="326">
        <f t="shared" si="4"/>
        <v>-0.17194152543657701</v>
      </c>
      <c r="I29" s="332">
        <f t="shared" ref="I29:J29" si="6">I11+I17+I23</f>
        <v>12400.331999999999</v>
      </c>
      <c r="J29" s="130">
        <f t="shared" si="6"/>
        <v>132404.92801799998</v>
      </c>
      <c r="K29" s="326">
        <f>I29/$I$32</f>
        <v>0.1299573143572787</v>
      </c>
    </row>
    <row r="30" spans="1:20" ht="11.1" customHeight="1">
      <c r="A30" s="433"/>
      <c r="B30" s="433"/>
      <c r="C30" s="155" t="s">
        <v>7</v>
      </c>
      <c r="D30" s="332">
        <f>D24</f>
        <v>172142</v>
      </c>
      <c r="E30" s="130">
        <f t="shared" si="3"/>
        <v>19111.600000000002</v>
      </c>
      <c r="F30" s="130">
        <f t="shared" si="3"/>
        <v>205953.5</v>
      </c>
      <c r="G30" s="326">
        <f>E30/$E$32</f>
        <v>0.23127982273661846</v>
      </c>
      <c r="H30" s="326">
        <f t="shared" si="4"/>
        <v>-0.31295992062493477</v>
      </c>
      <c r="I30" s="332">
        <f t="shared" ref="I30:J30" si="7">I12+I18+I24</f>
        <v>27817.3</v>
      </c>
      <c r="J30" s="130">
        <f t="shared" si="7"/>
        <v>297022.40000000002</v>
      </c>
      <c r="K30" s="326">
        <f>I30/$I$32</f>
        <v>0.29152942039541591</v>
      </c>
    </row>
    <row r="31" spans="1:20" ht="11.1" customHeight="1">
      <c r="A31" s="433"/>
      <c r="B31" s="433"/>
      <c r="C31" s="155" t="s">
        <v>93</v>
      </c>
      <c r="D31" s="332">
        <f>D25</f>
        <v>14</v>
      </c>
      <c r="E31" s="130">
        <f>E13+E19+E25</f>
        <v>1268.0340000000001</v>
      </c>
      <c r="F31" s="130">
        <f t="shared" si="3"/>
        <v>13674.272349999999</v>
      </c>
      <c r="G31" s="326">
        <f>E31/$E$32</f>
        <v>1.5345166220724861E-2</v>
      </c>
      <c r="H31" s="326">
        <f t="shared" si="4"/>
        <v>4.4971292903038779E-2</v>
      </c>
      <c r="I31" s="332">
        <f>I13+I19+I25</f>
        <v>1213.463</v>
      </c>
      <c r="J31" s="130">
        <f t="shared" ref="J31" si="8">J13+J19+J25</f>
        <v>12959.685032000001</v>
      </c>
      <c r="K31" s="326">
        <f>I31/$I$32</f>
        <v>1.2717271807877925E-2</v>
      </c>
    </row>
    <row r="32" spans="1:20" ht="11.1" customHeight="1">
      <c r="A32" s="434"/>
      <c r="B32" s="434"/>
      <c r="C32" s="337" t="s">
        <v>0</v>
      </c>
      <c r="D32" s="340">
        <f>SUM(D27:D31)</f>
        <v>185901</v>
      </c>
      <c r="E32" s="338">
        <f>SUM(E27:E31)</f>
        <v>82634.099999999991</v>
      </c>
      <c r="F32" s="338">
        <f>SUM(F27:F31)</f>
        <v>890781.53343000007</v>
      </c>
      <c r="G32" s="339">
        <f>SUM(G27:G31)</f>
        <v>1</v>
      </c>
      <c r="H32" s="339">
        <f>(E32-I32)/I32</f>
        <v>-0.13398240383154233</v>
      </c>
      <c r="I32" s="340">
        <f>SUM(I27:I31)</f>
        <v>95418.500000000015</v>
      </c>
      <c r="J32" s="338">
        <f>SUM(J27:J31)</f>
        <v>1018929.43178</v>
      </c>
      <c r="K32" s="339">
        <f>SUM(K27:K31)</f>
        <v>0.99999999999999989</v>
      </c>
    </row>
    <row r="33" spans="1:11" ht="9.9499999999999993" customHeight="1">
      <c r="A33" s="385"/>
      <c r="B33" s="386"/>
      <c r="C33" s="387"/>
      <c r="D33" s="388"/>
      <c r="E33" s="388"/>
      <c r="F33" s="388"/>
      <c r="G33" s="389"/>
      <c r="H33" s="390"/>
      <c r="I33" s="388"/>
      <c r="J33" s="388"/>
      <c r="K33" s="389"/>
    </row>
    <row r="34" spans="1:11" ht="12.95" customHeight="1">
      <c r="A34" s="526" t="s">
        <v>42</v>
      </c>
      <c r="B34" s="526"/>
      <c r="C34" s="526"/>
      <c r="D34" s="491">
        <f>D4</f>
        <v>2022</v>
      </c>
      <c r="E34" s="380"/>
      <c r="F34" s="369"/>
      <c r="G34" s="369"/>
      <c r="H34" s="369"/>
      <c r="I34" s="491">
        <f>D34-1</f>
        <v>2021</v>
      </c>
      <c r="J34" s="492"/>
      <c r="K34" s="492"/>
    </row>
    <row r="35" spans="1:11" ht="24.95" customHeight="1">
      <c r="A35" s="323"/>
      <c r="B35" s="291"/>
      <c r="C35" s="151"/>
      <c r="D35" s="493"/>
      <c r="E35" s="382"/>
      <c r="F35" s="383"/>
      <c r="G35" s="383"/>
      <c r="H35" s="384"/>
      <c r="I35" s="493"/>
      <c r="J35" s="494"/>
      <c r="K35" s="494"/>
    </row>
    <row r="36" spans="1:11" ht="24.95" customHeight="1">
      <c r="A36" s="131"/>
      <c r="B36" s="132"/>
      <c r="C36" s="379"/>
      <c r="D36" s="391" t="s">
        <v>160</v>
      </c>
      <c r="E36" s="489" t="s">
        <v>60</v>
      </c>
      <c r="F36" s="489"/>
      <c r="G36" s="490" t="s">
        <v>33</v>
      </c>
      <c r="H36" s="490" t="s">
        <v>274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25"/>
      <c r="C37" s="325"/>
      <c r="D37" s="392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27" t="s">
        <v>159</v>
      </c>
      <c r="B38" s="527"/>
      <c r="C38" s="393" t="s">
        <v>185</v>
      </c>
      <c r="D38" s="370"/>
      <c r="E38" s="222" t="s">
        <v>265</v>
      </c>
      <c r="F38" s="222" t="s">
        <v>266</v>
      </c>
      <c r="G38" s="477"/>
      <c r="H38" s="477"/>
      <c r="I38" s="224" t="s">
        <v>265</v>
      </c>
      <c r="J38" s="222" t="s">
        <v>266</v>
      </c>
      <c r="K38" s="477"/>
    </row>
    <row r="39" spans="1:11" ht="11.1" customHeight="1">
      <c r="A39" s="432" t="str">
        <f>'3.1'!D5</f>
        <v>Duben</v>
      </c>
      <c r="B39" s="432"/>
      <c r="C39" s="165" t="s">
        <v>4</v>
      </c>
      <c r="D39" s="331">
        <v>80</v>
      </c>
      <c r="E39" s="327">
        <v>11735.428</v>
      </c>
      <c r="F39" s="327">
        <v>126461.65083999997</v>
      </c>
      <c r="G39" s="328">
        <f>E39/$E$44</f>
        <v>0.37178962575281882</v>
      </c>
      <c r="H39" s="328">
        <f>(E39-I39)/I39</f>
        <v>-2.0162131996004275E-2</v>
      </c>
      <c r="I39" s="331">
        <v>11976.907999999999</v>
      </c>
      <c r="J39" s="327">
        <v>127867.44948999994</v>
      </c>
      <c r="K39" s="328">
        <f>I39/$I$44</f>
        <v>0.34130607499273324</v>
      </c>
    </row>
    <row r="40" spans="1:11" ht="11.1" customHeight="1">
      <c r="A40" s="433"/>
      <c r="B40" s="433"/>
      <c r="C40" s="155" t="s">
        <v>5</v>
      </c>
      <c r="D40" s="332">
        <v>277</v>
      </c>
      <c r="E40" s="130">
        <v>3170.7829999999999</v>
      </c>
      <c r="F40" s="130">
        <v>34168.498520000001</v>
      </c>
      <c r="G40" s="326">
        <f t="shared" ref="G40" si="9">E40/$E$44</f>
        <v>0.1004534495813361</v>
      </c>
      <c r="H40" s="326">
        <f>(E40-I40)/I40</f>
        <v>-0.19713130143769167</v>
      </c>
      <c r="I40" s="332">
        <v>3949.317</v>
      </c>
      <c r="J40" s="130">
        <v>42163.77646999999</v>
      </c>
      <c r="K40" s="326">
        <f t="shared" ref="K40:K43" si="10">I40/$I$44</f>
        <v>0.11254372866286326</v>
      </c>
    </row>
    <row r="41" spans="1:11" ht="11.1" customHeight="1">
      <c r="A41" s="433"/>
      <c r="B41" s="433"/>
      <c r="C41" s="155" t="s">
        <v>6</v>
      </c>
      <c r="D41" s="332">
        <v>11410</v>
      </c>
      <c r="E41" s="130">
        <v>5611.7160000000003</v>
      </c>
      <c r="F41" s="130">
        <v>60472.218220000002</v>
      </c>
      <c r="G41" s="326">
        <f>E41/$E$44</f>
        <v>0.17778455046301725</v>
      </c>
      <c r="H41" s="326">
        <f t="shared" ref="H41:H43" si="11">(E41-I41)/I41</f>
        <v>-7.0567873344385884E-2</v>
      </c>
      <c r="I41" s="332">
        <v>6037.79</v>
      </c>
      <c r="J41" s="130">
        <v>64459.889359999994</v>
      </c>
      <c r="K41" s="326">
        <f t="shared" si="10"/>
        <v>0.17205896601446508</v>
      </c>
    </row>
    <row r="42" spans="1:11" ht="11.1" customHeight="1">
      <c r="A42" s="433"/>
      <c r="B42" s="433"/>
      <c r="C42" s="155" t="s">
        <v>7</v>
      </c>
      <c r="D42" s="332">
        <v>124525</v>
      </c>
      <c r="E42" s="130">
        <v>10801.8</v>
      </c>
      <c r="F42" s="130">
        <v>116401.60000000001</v>
      </c>
      <c r="G42" s="326">
        <f>E42/$E$44</f>
        <v>0.34221139437409509</v>
      </c>
      <c r="H42" s="326">
        <f t="shared" si="11"/>
        <v>-0.16361074116517485</v>
      </c>
      <c r="I42" s="332">
        <v>12914.8</v>
      </c>
      <c r="J42" s="130">
        <v>137880.70000000001</v>
      </c>
      <c r="K42" s="326">
        <f t="shared" si="10"/>
        <v>0.36803319331802092</v>
      </c>
    </row>
    <row r="43" spans="1:11" ht="11.1" customHeight="1">
      <c r="A43" s="433"/>
      <c r="B43" s="433"/>
      <c r="C43" s="155" t="s">
        <v>93</v>
      </c>
      <c r="D43" s="332">
        <v>14</v>
      </c>
      <c r="E43" s="130">
        <v>244.97300000000001</v>
      </c>
      <c r="F43" s="130">
        <v>2639.8425299999999</v>
      </c>
      <c r="G43" s="326">
        <f>E43/$E$44</f>
        <v>7.7609798287327303E-3</v>
      </c>
      <c r="H43" s="326">
        <f t="shared" si="11"/>
        <v>0.15235317637650825</v>
      </c>
      <c r="I43" s="332">
        <v>212.58500000000001</v>
      </c>
      <c r="J43" s="130">
        <v>2269.5961999999995</v>
      </c>
      <c r="K43" s="326">
        <f t="shared" si="10"/>
        <v>6.0580370119174502E-3</v>
      </c>
    </row>
    <row r="44" spans="1:11" ht="11.1" customHeight="1">
      <c r="A44" s="434"/>
      <c r="B44" s="434"/>
      <c r="C44" s="337" t="s">
        <v>0</v>
      </c>
      <c r="D44" s="340">
        <v>136306</v>
      </c>
      <c r="E44" s="338">
        <v>31564.7</v>
      </c>
      <c r="F44" s="338">
        <v>340143.81011000002</v>
      </c>
      <c r="G44" s="339">
        <f>SUM(G39:G43)</f>
        <v>1</v>
      </c>
      <c r="H44" s="339">
        <f>(E44-I44)/I44</f>
        <v>-0.1005004075072525</v>
      </c>
      <c r="I44" s="340">
        <v>35091.4</v>
      </c>
      <c r="J44" s="338">
        <v>374641.41151999991</v>
      </c>
      <c r="K44" s="339">
        <f>SUM(K39:K43)</f>
        <v>1</v>
      </c>
    </row>
    <row r="45" spans="1:11" ht="11.1" customHeight="1">
      <c r="A45" s="432" t="str">
        <f>'3.1'!E5</f>
        <v>Květen</v>
      </c>
      <c r="B45" s="432"/>
      <c r="C45" s="165" t="s">
        <v>4</v>
      </c>
      <c r="D45" s="331">
        <v>80</v>
      </c>
      <c r="E45" s="327">
        <v>9987.9629999999997</v>
      </c>
      <c r="F45" s="327">
        <v>107319.48895999996</v>
      </c>
      <c r="G45" s="328">
        <f>E45/$E$50</f>
        <v>0.60244301560398339</v>
      </c>
      <c r="H45" s="328">
        <f>(E45-I45)/I45</f>
        <v>-0.16346770887965398</v>
      </c>
      <c r="I45" s="331">
        <v>11939.722</v>
      </c>
      <c r="J45" s="327">
        <v>127491.18168999998</v>
      </c>
      <c r="K45" s="328">
        <f>I45/$I$50</f>
        <v>0.4743594409261746</v>
      </c>
    </row>
    <row r="46" spans="1:11" ht="11.1" customHeight="1">
      <c r="A46" s="433"/>
      <c r="B46" s="433"/>
      <c r="C46" s="155" t="s">
        <v>5</v>
      </c>
      <c r="D46" s="332">
        <v>277</v>
      </c>
      <c r="E46" s="130">
        <v>1828.828</v>
      </c>
      <c r="F46" s="130">
        <v>19650.645910000028</v>
      </c>
      <c r="G46" s="326">
        <f t="shared" ref="G46:G49" si="12">E46/$E$50</f>
        <v>0.11030924477203227</v>
      </c>
      <c r="H46" s="326">
        <f>(E46-I46)/I46</f>
        <v>-0.33356339523261708</v>
      </c>
      <c r="I46" s="332">
        <v>2744.1890000000003</v>
      </c>
      <c r="J46" s="130">
        <v>29301.95991999999</v>
      </c>
      <c r="K46" s="326">
        <f t="shared" ref="K46:K49" si="13">I46/$I$50</f>
        <v>0.10902531565104767</v>
      </c>
    </row>
    <row r="47" spans="1:11" ht="11.1" customHeight="1">
      <c r="A47" s="433"/>
      <c r="B47" s="433"/>
      <c r="C47" s="155" t="s">
        <v>6</v>
      </c>
      <c r="D47" s="332">
        <v>11405</v>
      </c>
      <c r="E47" s="130">
        <v>1718.42</v>
      </c>
      <c r="F47" s="130">
        <v>18464.730060000002</v>
      </c>
      <c r="G47" s="326">
        <f t="shared" si="12"/>
        <v>0.10364977592269786</v>
      </c>
      <c r="H47" s="326">
        <f t="shared" ref="H47:H49" si="14">(E47-I47)/I47</f>
        <v>-0.46179590952112798</v>
      </c>
      <c r="I47" s="332">
        <v>3192.8780000000002</v>
      </c>
      <c r="J47" s="130">
        <v>34093.628829999994</v>
      </c>
      <c r="K47" s="326">
        <f t="shared" si="13"/>
        <v>0.12685151488665167</v>
      </c>
    </row>
    <row r="48" spans="1:11" ht="11.1" customHeight="1">
      <c r="A48" s="433"/>
      <c r="B48" s="433"/>
      <c r="C48" s="155" t="s">
        <v>7</v>
      </c>
      <c r="D48" s="332">
        <v>124360</v>
      </c>
      <c r="E48" s="130">
        <v>2794.5</v>
      </c>
      <c r="F48" s="130">
        <v>30026.400000000001</v>
      </c>
      <c r="G48" s="326">
        <f t="shared" si="12"/>
        <v>0.16855559107551074</v>
      </c>
      <c r="H48" s="326">
        <f t="shared" si="14"/>
        <v>-0.60462648556876064</v>
      </c>
      <c r="I48" s="332">
        <v>7068</v>
      </c>
      <c r="J48" s="130">
        <v>75471.399999999994</v>
      </c>
      <c r="K48" s="326">
        <f t="shared" si="13"/>
        <v>0.28080825738373155</v>
      </c>
    </row>
    <row r="49" spans="1:11" ht="11.1" customHeight="1">
      <c r="A49" s="433"/>
      <c r="B49" s="433"/>
      <c r="C49" s="155" t="s">
        <v>93</v>
      </c>
      <c r="D49" s="332">
        <v>14</v>
      </c>
      <c r="E49" s="130">
        <v>249.38900000000001</v>
      </c>
      <c r="F49" s="130">
        <v>2679.6600700000004</v>
      </c>
      <c r="G49" s="326">
        <f t="shared" si="12"/>
        <v>1.5042372625775829E-2</v>
      </c>
      <c r="H49" s="326">
        <f t="shared" si="14"/>
        <v>0.10637457799308822</v>
      </c>
      <c r="I49" s="332">
        <v>225.411</v>
      </c>
      <c r="J49" s="130">
        <v>2406.9168</v>
      </c>
      <c r="K49" s="326">
        <f t="shared" si="13"/>
        <v>8.9554711523944976E-3</v>
      </c>
    </row>
    <row r="50" spans="1:11" ht="11.1" customHeight="1">
      <c r="A50" s="434"/>
      <c r="B50" s="434"/>
      <c r="C50" s="337" t="s">
        <v>0</v>
      </c>
      <c r="D50" s="340">
        <v>136136</v>
      </c>
      <c r="E50" s="338">
        <v>16579.099999999999</v>
      </c>
      <c r="F50" s="338">
        <v>178140.92499999999</v>
      </c>
      <c r="G50" s="339">
        <f>SUM(G45:G49)</f>
        <v>1.0000000000000002</v>
      </c>
      <c r="H50" s="339">
        <f t="shared" ref="H50" si="15">(E50-I50)/I50</f>
        <v>-0.3413202914557692</v>
      </c>
      <c r="I50" s="340">
        <v>25170.2</v>
      </c>
      <c r="J50" s="338">
        <v>268765.08723999996</v>
      </c>
      <c r="K50" s="339">
        <f>SUM(K45:K49)</f>
        <v>1</v>
      </c>
    </row>
    <row r="51" spans="1:11" ht="11.1" customHeight="1">
      <c r="A51" s="432" t="str">
        <f>'3.1'!F5</f>
        <v>Červen</v>
      </c>
      <c r="B51" s="432"/>
      <c r="C51" s="165" t="s">
        <v>4</v>
      </c>
      <c r="D51" s="331">
        <v>80</v>
      </c>
      <c r="E51" s="327">
        <v>9407.4719999999998</v>
      </c>
      <c r="F51" s="327">
        <v>101899.18634999999</v>
      </c>
      <c r="G51" s="328">
        <f>E51/$E$56</f>
        <v>0.68529619161397481</v>
      </c>
      <c r="H51" s="328">
        <f>(E51-I51)/I51</f>
        <v>-9.9692368057765282E-2</v>
      </c>
      <c r="I51" s="331">
        <v>10449.174999999999</v>
      </c>
      <c r="J51" s="327">
        <v>111652.76349999999</v>
      </c>
      <c r="K51" s="328">
        <f>I51/$I$56</f>
        <v>0.66718864731986083</v>
      </c>
    </row>
    <row r="52" spans="1:11" ht="11.1" customHeight="1">
      <c r="A52" s="433"/>
      <c r="B52" s="433"/>
      <c r="C52" s="155" t="s">
        <v>5</v>
      </c>
      <c r="D52" s="332">
        <v>276</v>
      </c>
      <c r="E52" s="130">
        <v>1374.606</v>
      </c>
      <c r="F52" s="130">
        <v>14888.862900000006</v>
      </c>
      <c r="G52" s="326">
        <f t="shared" ref="G52:G55" si="16">E52/$E$56</f>
        <v>0.10013447361519859</v>
      </c>
      <c r="H52" s="326">
        <f t="shared" ref="H52:H55" si="17">(E52-I52)/I52</f>
        <v>-0.257288493479015</v>
      </c>
      <c r="I52" s="332">
        <v>1850.7940000000001</v>
      </c>
      <c r="J52" s="130">
        <v>19775.885270000002</v>
      </c>
      <c r="K52" s="326">
        <f t="shared" ref="K52:K55" si="18">I52/$I$56</f>
        <v>0.11817475976119786</v>
      </c>
    </row>
    <row r="53" spans="1:11" ht="11.1" customHeight="1">
      <c r="A53" s="433"/>
      <c r="B53" s="433"/>
      <c r="C53" s="155" t="s">
        <v>6</v>
      </c>
      <c r="D53" s="332">
        <v>11380</v>
      </c>
      <c r="E53" s="130">
        <v>1074.2560000000001</v>
      </c>
      <c r="F53" s="130">
        <v>11636.572029999999</v>
      </c>
      <c r="G53" s="326">
        <f t="shared" si="16"/>
        <v>7.8255193915906657E-2</v>
      </c>
      <c r="H53" s="326">
        <f t="shared" si="17"/>
        <v>0.16324795857485205</v>
      </c>
      <c r="I53" s="332">
        <v>923.49699999999996</v>
      </c>
      <c r="J53" s="130">
        <v>9867.5382799999988</v>
      </c>
      <c r="K53" s="326">
        <f t="shared" si="18"/>
        <v>5.8966063276186829E-2</v>
      </c>
    </row>
    <row r="54" spans="1:11" ht="11.1" customHeight="1">
      <c r="A54" s="433"/>
      <c r="B54" s="433"/>
      <c r="C54" s="155" t="s">
        <v>7</v>
      </c>
      <c r="D54" s="332">
        <v>124194</v>
      </c>
      <c r="E54" s="130">
        <v>1639.5</v>
      </c>
      <c r="F54" s="130">
        <v>17758.3</v>
      </c>
      <c r="G54" s="326">
        <f t="shared" si="16"/>
        <v>0.11943092747457677</v>
      </c>
      <c r="H54" s="326">
        <f t="shared" si="17"/>
        <v>-0.25242806985545574</v>
      </c>
      <c r="I54" s="332">
        <v>2193.1</v>
      </c>
      <c r="J54" s="130">
        <v>23434.5</v>
      </c>
      <c r="K54" s="326">
        <f t="shared" si="18"/>
        <v>0.14003128691376945</v>
      </c>
    </row>
    <row r="55" spans="1:11" ht="11.1" customHeight="1">
      <c r="A55" s="433"/>
      <c r="B55" s="433"/>
      <c r="C55" s="155" t="s">
        <v>93</v>
      </c>
      <c r="D55" s="332">
        <v>14</v>
      </c>
      <c r="E55" s="130">
        <v>231.76599999999999</v>
      </c>
      <c r="F55" s="130">
        <v>2510.4221200000002</v>
      </c>
      <c r="G55" s="326">
        <f t="shared" si="16"/>
        <v>1.6883213380343251E-2</v>
      </c>
      <c r="H55" s="326">
        <f t="shared" si="17"/>
        <v>-5.3761421444144163E-2</v>
      </c>
      <c r="I55" s="332">
        <v>244.934</v>
      </c>
      <c r="J55" s="130">
        <v>2617.2077600000002</v>
      </c>
      <c r="K55" s="326">
        <f t="shared" si="18"/>
        <v>1.5639242728985092E-2</v>
      </c>
    </row>
    <row r="56" spans="1:11" ht="11.1" customHeight="1">
      <c r="A56" s="434"/>
      <c r="B56" s="434"/>
      <c r="C56" s="337" t="s">
        <v>0</v>
      </c>
      <c r="D56" s="340">
        <v>135944</v>
      </c>
      <c r="E56" s="338">
        <v>13727.599999999999</v>
      </c>
      <c r="F56" s="338">
        <v>148693.34339999998</v>
      </c>
      <c r="G56" s="339">
        <f>SUM(G51:G55)</f>
        <v>1</v>
      </c>
      <c r="H56" s="339">
        <f t="shared" ref="H56" si="19">(E56-I56)/I56</f>
        <v>-0.12348114803818279</v>
      </c>
      <c r="I56" s="340">
        <v>15661.499999999998</v>
      </c>
      <c r="J56" s="338">
        <v>167347.89481</v>
      </c>
      <c r="K56" s="339">
        <f>SUM(K51:K55)</f>
        <v>1</v>
      </c>
    </row>
    <row r="57" spans="1:11" ht="11.1" customHeight="1">
      <c r="A57" s="501" t="str">
        <f>'3.1'!G5</f>
        <v>II. čtvrtletí</v>
      </c>
      <c r="B57" s="432"/>
      <c r="C57" s="165" t="s">
        <v>4</v>
      </c>
      <c r="D57" s="331">
        <f>D51</f>
        <v>80</v>
      </c>
      <c r="E57" s="327">
        <f>E39+E45+E51</f>
        <v>31130.862999999998</v>
      </c>
      <c r="F57" s="327">
        <f>F39+F45+F51</f>
        <v>335680.32614999992</v>
      </c>
      <c r="G57" s="328">
        <f>E57/$E$62</f>
        <v>0.50315433301977974</v>
      </c>
      <c r="H57" s="328">
        <f>(E57-I57)/I57</f>
        <v>-9.4132583246631235E-2</v>
      </c>
      <c r="I57" s="331">
        <f>I39+I45+I51</f>
        <v>34365.804999999993</v>
      </c>
      <c r="J57" s="327">
        <f>J39+J45+J51</f>
        <v>367011.39467999991</v>
      </c>
      <c r="K57" s="328">
        <f>I57/$I$62</f>
        <v>0.4526396445877473</v>
      </c>
    </row>
    <row r="58" spans="1:11" ht="11.1" customHeight="1">
      <c r="A58" s="433"/>
      <c r="B58" s="433"/>
      <c r="C58" s="155" t="s">
        <v>5</v>
      </c>
      <c r="D58" s="332">
        <f>D52</f>
        <v>276</v>
      </c>
      <c r="E58" s="130">
        <f t="shared" ref="E58:F59" si="20">E40+E46+E52</f>
        <v>6374.2169999999996</v>
      </c>
      <c r="F58" s="130">
        <f t="shared" si="20"/>
        <v>68708.007330000037</v>
      </c>
      <c r="G58" s="326">
        <f t="shared" ref="G58:G61" si="21">E58/$E$62</f>
        <v>0.10302364258768995</v>
      </c>
      <c r="H58" s="326">
        <f t="shared" ref="H58:H61" si="22">(E58-I58)/I58</f>
        <v>-0.25398019732453231</v>
      </c>
      <c r="I58" s="332">
        <f t="shared" ref="I58:J58" si="23">I40+I46+I52</f>
        <v>8544.3000000000011</v>
      </c>
      <c r="J58" s="130">
        <f t="shared" si="23"/>
        <v>91241.621659999975</v>
      </c>
      <c r="K58" s="326">
        <f t="shared" ref="K58:K61" si="24">I58/$I$62</f>
        <v>0.11253887156873207</v>
      </c>
    </row>
    <row r="59" spans="1:11" ht="11.1" customHeight="1">
      <c r="A59" s="433"/>
      <c r="B59" s="433"/>
      <c r="C59" s="155" t="s">
        <v>6</v>
      </c>
      <c r="D59" s="332">
        <f>D53</f>
        <v>11380</v>
      </c>
      <c r="E59" s="130">
        <f>E41+E47+E53</f>
        <v>8404.3919999999998</v>
      </c>
      <c r="F59" s="130">
        <f t="shared" si="20"/>
        <v>90573.520310000007</v>
      </c>
      <c r="G59" s="326">
        <f t="shared" si="21"/>
        <v>0.13583646078802161</v>
      </c>
      <c r="H59" s="326">
        <f t="shared" si="22"/>
        <v>-0.17232071765625231</v>
      </c>
      <c r="I59" s="332">
        <f>I41+I47+I53</f>
        <v>10154.164999999999</v>
      </c>
      <c r="J59" s="130">
        <f t="shared" ref="J59" si="25">J41+J47+J53</f>
        <v>108421.05646999998</v>
      </c>
      <c r="K59" s="326">
        <f t="shared" si="24"/>
        <v>0.13374276076714464</v>
      </c>
    </row>
    <row r="60" spans="1:11" ht="11.1" customHeight="1">
      <c r="A60" s="433"/>
      <c r="B60" s="433"/>
      <c r="C60" s="155" t="s">
        <v>7</v>
      </c>
      <c r="D60" s="332">
        <f>D54</f>
        <v>124194</v>
      </c>
      <c r="E60" s="130">
        <f t="shared" ref="E60:F61" si="26">E42+E48+E54</f>
        <v>15235.8</v>
      </c>
      <c r="F60" s="130">
        <f t="shared" si="26"/>
        <v>164186.29999999999</v>
      </c>
      <c r="G60" s="326">
        <f t="shared" si="21"/>
        <v>0.24624947875755196</v>
      </c>
      <c r="H60" s="326">
        <f t="shared" si="22"/>
        <v>-0.31295685857169264</v>
      </c>
      <c r="I60" s="332">
        <f t="shared" ref="I60:J60" si="27">I42+I48+I54</f>
        <v>22175.899999999998</v>
      </c>
      <c r="J60" s="130">
        <f t="shared" si="27"/>
        <v>236786.6</v>
      </c>
      <c r="K60" s="326">
        <f t="shared" si="24"/>
        <v>0.29208370048114474</v>
      </c>
    </row>
    <row r="61" spans="1:11" ht="11.1" customHeight="1">
      <c r="A61" s="433"/>
      <c r="B61" s="433"/>
      <c r="C61" s="155" t="s">
        <v>93</v>
      </c>
      <c r="D61" s="332">
        <f>D55</f>
        <v>14</v>
      </c>
      <c r="E61" s="130">
        <f>E43+E49+E55</f>
        <v>726.12800000000004</v>
      </c>
      <c r="F61" s="130">
        <f t="shared" si="26"/>
        <v>7829.92472</v>
      </c>
      <c r="G61" s="326">
        <f t="shared" si="21"/>
        <v>1.1736084846956754E-2</v>
      </c>
      <c r="H61" s="326">
        <f t="shared" si="22"/>
        <v>6.3253920606797326E-2</v>
      </c>
      <c r="I61" s="332">
        <f>I43+I49+I55</f>
        <v>682.93</v>
      </c>
      <c r="J61" s="130">
        <f t="shared" ref="J61" si="28">J43+J49+J55</f>
        <v>7293.7207599999992</v>
      </c>
      <c r="K61" s="326">
        <f t="shared" si="24"/>
        <v>8.9950225952312272E-3</v>
      </c>
    </row>
    <row r="62" spans="1:11" ht="11.1" customHeight="1">
      <c r="A62" s="434"/>
      <c r="B62" s="434"/>
      <c r="C62" s="337" t="s">
        <v>0</v>
      </c>
      <c r="D62" s="340">
        <f>SUM(D57:D61)</f>
        <v>135944</v>
      </c>
      <c r="E62" s="338">
        <f>SUM(E57:E61)</f>
        <v>61871.399999999994</v>
      </c>
      <c r="F62" s="338">
        <f>SUM(F57:F61)</f>
        <v>666978.0785099999</v>
      </c>
      <c r="G62" s="339">
        <f>SUM(G57:G61)</f>
        <v>1</v>
      </c>
      <c r="H62" s="339">
        <f>(E62-I62)/I62</f>
        <v>-0.18507805924679049</v>
      </c>
      <c r="I62" s="340">
        <f>SUM(I57:I61)</f>
        <v>75923.099999999991</v>
      </c>
      <c r="J62" s="338">
        <f>SUM(J57:J61)</f>
        <v>810754.39356999984</v>
      </c>
      <c r="K62" s="339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43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5" t="s">
        <v>311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5"/>
      <c r="B3" s="525"/>
      <c r="C3" s="525"/>
      <c r="D3" s="319"/>
      <c r="E3" s="319"/>
      <c r="F3" s="320"/>
      <c r="G3" s="321"/>
      <c r="H3" s="321"/>
      <c r="I3" s="321"/>
      <c r="J3" s="76"/>
      <c r="K3" s="76"/>
    </row>
    <row r="4" spans="1:16" ht="12.95" customHeight="1">
      <c r="A4" s="497" t="s">
        <v>43</v>
      </c>
      <c r="B4" s="497"/>
      <c r="C4" s="497"/>
      <c r="D4" s="491">
        <f>'3.1'!A4</f>
        <v>2022</v>
      </c>
      <c r="E4" s="380"/>
      <c r="F4" s="369"/>
      <c r="G4" s="369"/>
      <c r="H4" s="369"/>
      <c r="I4" s="491">
        <f>D4-1</f>
        <v>2021</v>
      </c>
      <c r="J4" s="492"/>
      <c r="K4" s="492"/>
    </row>
    <row r="5" spans="1:16" ht="24.95" customHeight="1">
      <c r="A5" s="381"/>
      <c r="B5" s="381"/>
      <c r="C5" s="381"/>
      <c r="D5" s="493"/>
      <c r="E5" s="382"/>
      <c r="F5" s="383"/>
      <c r="G5" s="383"/>
      <c r="H5" s="384"/>
      <c r="I5" s="493"/>
      <c r="J5" s="494"/>
      <c r="K5" s="494"/>
    </row>
    <row r="6" spans="1:16" ht="24.95" customHeight="1">
      <c r="A6" s="323"/>
      <c r="B6" s="291"/>
      <c r="C6" s="324"/>
      <c r="D6" s="391" t="s">
        <v>160</v>
      </c>
      <c r="E6" s="489" t="s">
        <v>60</v>
      </c>
      <c r="F6" s="489"/>
      <c r="G6" s="490" t="s">
        <v>33</v>
      </c>
      <c r="H6" s="490" t="s">
        <v>274</v>
      </c>
      <c r="I6" s="488" t="s">
        <v>60</v>
      </c>
      <c r="J6" s="489"/>
      <c r="K6" s="490" t="s">
        <v>33</v>
      </c>
    </row>
    <row r="7" spans="1:16" ht="24.95" customHeight="1">
      <c r="A7" s="323"/>
      <c r="B7" s="325"/>
      <c r="D7" s="392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159</v>
      </c>
      <c r="B8" s="498"/>
      <c r="C8" s="342" t="s">
        <v>185</v>
      </c>
      <c r="D8" s="370"/>
      <c r="E8" s="222" t="s">
        <v>265</v>
      </c>
      <c r="F8" s="222" t="s">
        <v>266</v>
      </c>
      <c r="G8" s="477"/>
      <c r="H8" s="477"/>
      <c r="I8" s="224" t="s">
        <v>265</v>
      </c>
      <c r="J8" s="222" t="s">
        <v>266</v>
      </c>
      <c r="K8" s="477"/>
    </row>
    <row r="9" spans="1:16" ht="11.1" customHeight="1">
      <c r="A9" s="432" t="str">
        <f>'3.1'!D5</f>
        <v>Duben</v>
      </c>
      <c r="B9" s="432"/>
      <c r="C9" s="165" t="s">
        <v>4</v>
      </c>
      <c r="D9" s="331">
        <v>85</v>
      </c>
      <c r="E9" s="327">
        <v>13175.578</v>
      </c>
      <c r="F9" s="327">
        <v>141981.25039</v>
      </c>
      <c r="G9" s="328">
        <f>E9/$E$14</f>
        <v>0.39846180831727962</v>
      </c>
      <c r="H9" s="328">
        <f>(E9-I9)/I9</f>
        <v>-5.4655383011722194E-2</v>
      </c>
      <c r="I9" s="331">
        <v>13937.328</v>
      </c>
      <c r="J9" s="327">
        <v>148796.65265</v>
      </c>
      <c r="K9" s="328">
        <f>I9/$I$14</f>
        <v>0.38144434743816763</v>
      </c>
    </row>
    <row r="10" spans="1:16" ht="11.1" customHeight="1">
      <c r="A10" s="433"/>
      <c r="B10" s="433"/>
      <c r="C10" s="155" t="s">
        <v>5</v>
      </c>
      <c r="D10" s="332">
        <v>329</v>
      </c>
      <c r="E10" s="130">
        <v>3605.7849999999999</v>
      </c>
      <c r="F10" s="130">
        <v>38856.248229999976</v>
      </c>
      <c r="G10" s="326">
        <f>E10/$E$14</f>
        <v>0.10904778610117311</v>
      </c>
      <c r="H10" s="326">
        <f>(E10-I10)/I10</f>
        <v>-7.5497110179317053E-2</v>
      </c>
      <c r="I10" s="332">
        <v>3900.2419999999997</v>
      </c>
      <c r="J10" s="130">
        <v>41639.808210000025</v>
      </c>
      <c r="K10" s="326">
        <f>I10/$I$14</f>
        <v>0.1067439371837223</v>
      </c>
      <c r="L10" s="94"/>
      <c r="N10" s="94"/>
      <c r="O10" s="94"/>
      <c r="P10" s="94"/>
    </row>
    <row r="11" spans="1:16" ht="11.1" customHeight="1">
      <c r="A11" s="433"/>
      <c r="B11" s="433"/>
      <c r="C11" s="155" t="s">
        <v>6</v>
      </c>
      <c r="D11" s="332">
        <v>11967</v>
      </c>
      <c r="E11" s="130">
        <v>6147.6640000000007</v>
      </c>
      <c r="F11" s="130">
        <v>66248.148359999992</v>
      </c>
      <c r="G11" s="326">
        <f>E11/$E$14</f>
        <v>0.18592044420116074</v>
      </c>
      <c r="H11" s="326">
        <f t="shared" ref="H11:H13" si="0">(E11-I11)/I11</f>
        <v>-7.1408902847719016E-2</v>
      </c>
      <c r="I11" s="332">
        <v>6620.4209999999994</v>
      </c>
      <c r="J11" s="130">
        <v>70680.092869999993</v>
      </c>
      <c r="K11" s="326">
        <f>I11/$I$14</f>
        <v>0.18119127052982761</v>
      </c>
      <c r="L11" s="94"/>
      <c r="N11" s="94"/>
      <c r="O11" s="94"/>
      <c r="P11" s="94"/>
    </row>
    <row r="12" spans="1:16" ht="11.1" customHeight="1">
      <c r="A12" s="433"/>
      <c r="B12" s="433"/>
      <c r="C12" s="155" t="s">
        <v>7</v>
      </c>
      <c r="D12" s="332">
        <v>147227</v>
      </c>
      <c r="E12" s="130">
        <v>9985.1</v>
      </c>
      <c r="F12" s="130">
        <v>107600.6</v>
      </c>
      <c r="G12" s="326">
        <f>E12/$E$14</f>
        <v>0.30197392495637526</v>
      </c>
      <c r="H12" s="326">
        <f t="shared" si="0"/>
        <v>-0.16361488976747296</v>
      </c>
      <c r="I12" s="332">
        <v>11938.4</v>
      </c>
      <c r="J12" s="130">
        <v>127455.6</v>
      </c>
      <c r="K12" s="326">
        <f>I12/$I$14</f>
        <v>0.32673660241445279</v>
      </c>
      <c r="L12" s="94"/>
      <c r="N12" s="94"/>
      <c r="O12" s="94"/>
      <c r="P12" s="94"/>
    </row>
    <row r="13" spans="1:16" ht="11.1" customHeight="1">
      <c r="A13" s="433"/>
      <c r="B13" s="433"/>
      <c r="C13" s="155" t="s">
        <v>93</v>
      </c>
      <c r="D13" s="332">
        <v>14</v>
      </c>
      <c r="E13" s="130">
        <v>151.97300000000001</v>
      </c>
      <c r="F13" s="130">
        <v>1637.6778399999996</v>
      </c>
      <c r="G13" s="326">
        <f>E13/$E$14</f>
        <v>4.5960364240112996E-3</v>
      </c>
      <c r="H13" s="326">
        <f t="shared" si="0"/>
        <v>7.091868732779473E-2</v>
      </c>
      <c r="I13" s="332">
        <v>141.90899999999999</v>
      </c>
      <c r="J13" s="130">
        <v>1515.0452499999997</v>
      </c>
      <c r="K13" s="326">
        <f>I13/$I$14</f>
        <v>3.8838424338297076E-3</v>
      </c>
      <c r="L13" s="94"/>
      <c r="N13" s="94"/>
      <c r="O13" s="94"/>
      <c r="P13" s="94"/>
    </row>
    <row r="14" spans="1:16" ht="11.1" customHeight="1">
      <c r="A14" s="434"/>
      <c r="B14" s="434"/>
      <c r="C14" s="337" t="s">
        <v>0</v>
      </c>
      <c r="D14" s="340">
        <v>159622</v>
      </c>
      <c r="E14" s="338">
        <v>33066.1</v>
      </c>
      <c r="F14" s="338">
        <v>356323.92481999996</v>
      </c>
      <c r="G14" s="339">
        <f>SUM(G9:G13)</f>
        <v>0.99999999999999989</v>
      </c>
      <c r="H14" s="339">
        <f>(E14-I14)/I14</f>
        <v>-9.502905170738643E-2</v>
      </c>
      <c r="I14" s="340">
        <v>36538.299999999996</v>
      </c>
      <c r="J14" s="338">
        <v>390087.19898000004</v>
      </c>
      <c r="K14" s="339">
        <f>SUM(K9:K13)</f>
        <v>1</v>
      </c>
      <c r="L14" s="94"/>
    </row>
    <row r="15" spans="1:16" ht="11.1" customHeight="1">
      <c r="A15" s="432" t="str">
        <f>'3.1'!E5</f>
        <v>Květen</v>
      </c>
      <c r="B15" s="432"/>
      <c r="C15" s="165" t="s">
        <v>4</v>
      </c>
      <c r="D15" s="331">
        <v>85</v>
      </c>
      <c r="E15" s="327">
        <v>11752.875999999998</v>
      </c>
      <c r="F15" s="327">
        <v>126283.27929999998</v>
      </c>
      <c r="G15" s="328">
        <f>E15/$E$20</f>
        <v>0.65346032381460717</v>
      </c>
      <c r="H15" s="328">
        <f>(E15-I15)/I15</f>
        <v>-9.9216801634839563E-2</v>
      </c>
      <c r="I15" s="331">
        <v>13047.396999999999</v>
      </c>
      <c r="J15" s="327">
        <v>139318.32002000004</v>
      </c>
      <c r="K15" s="328">
        <f>I15/$I$20</f>
        <v>0.50510419610469559</v>
      </c>
      <c r="L15" s="94"/>
      <c r="M15" s="94"/>
    </row>
    <row r="16" spans="1:16" ht="11.1" customHeight="1">
      <c r="A16" s="433"/>
      <c r="B16" s="433"/>
      <c r="C16" s="155" t="s">
        <v>5</v>
      </c>
      <c r="D16" s="332">
        <v>330</v>
      </c>
      <c r="E16" s="130">
        <v>1594.008</v>
      </c>
      <c r="F16" s="130">
        <v>17127.537289999978</v>
      </c>
      <c r="G16" s="326">
        <f>E16/$E$20</f>
        <v>8.862690152121698E-2</v>
      </c>
      <c r="H16" s="326">
        <f>(E16-I16)/I16</f>
        <v>-0.38583481736576086</v>
      </c>
      <c r="I16" s="332">
        <v>2595.4059999999999</v>
      </c>
      <c r="J16" s="130">
        <v>27713.544980000028</v>
      </c>
      <c r="K16" s="326">
        <f>I16/$I$20</f>
        <v>0.10047601534584281</v>
      </c>
      <c r="L16" s="98"/>
      <c r="M16" s="94"/>
    </row>
    <row r="17" spans="1:20" ht="11.1" customHeight="1">
      <c r="A17" s="433"/>
      <c r="B17" s="433"/>
      <c r="C17" s="155" t="s">
        <v>6</v>
      </c>
      <c r="D17" s="332">
        <v>11960</v>
      </c>
      <c r="E17" s="130">
        <v>1897.3440000000001</v>
      </c>
      <c r="F17" s="130">
        <v>20386.470949999999</v>
      </c>
      <c r="G17" s="326">
        <f>E17/$E$20</f>
        <v>0.10549239391513211</v>
      </c>
      <c r="H17" s="326">
        <f t="shared" ref="H17:H20" si="1">(E17-I17)/I17</f>
        <v>-0.4576069624121451</v>
      </c>
      <c r="I17" s="332">
        <v>3498.098</v>
      </c>
      <c r="J17" s="130">
        <v>37352.848019999998</v>
      </c>
      <c r="K17" s="326">
        <f>I17/$I$20</f>
        <v>0.13542195260751577</v>
      </c>
      <c r="L17" s="94"/>
      <c r="M17" s="94"/>
      <c r="N17" s="94"/>
      <c r="O17" s="94"/>
    </row>
    <row r="18" spans="1:20" ht="11.1" customHeight="1">
      <c r="A18" s="433"/>
      <c r="B18" s="433"/>
      <c r="C18" s="155" t="s">
        <v>7</v>
      </c>
      <c r="D18" s="332">
        <v>147033</v>
      </c>
      <c r="E18" s="130">
        <v>2583.1999999999998</v>
      </c>
      <c r="F18" s="130">
        <v>27756.2</v>
      </c>
      <c r="G18" s="326">
        <f>E18/$E$20</f>
        <v>0.14362601192064764</v>
      </c>
      <c r="H18" s="326">
        <f t="shared" si="1"/>
        <v>-0.6046283825149994</v>
      </c>
      <c r="I18" s="332">
        <v>6533.6</v>
      </c>
      <c r="J18" s="130">
        <v>69765.100000000006</v>
      </c>
      <c r="K18" s="326">
        <f>I18/$I$20</f>
        <v>0.25293541506168926</v>
      </c>
      <c r="L18" s="94"/>
      <c r="M18" s="94"/>
      <c r="N18" s="94"/>
      <c r="O18" s="94"/>
    </row>
    <row r="19" spans="1:20" ht="11.1" customHeight="1">
      <c r="A19" s="433"/>
      <c r="B19" s="433"/>
      <c r="C19" s="155" t="s">
        <v>93</v>
      </c>
      <c r="D19" s="332">
        <v>14</v>
      </c>
      <c r="E19" s="130">
        <v>158.172</v>
      </c>
      <c r="F19" s="130">
        <v>1699.54278</v>
      </c>
      <c r="G19" s="326">
        <f>E19/$E$20</f>
        <v>8.79436882839605E-3</v>
      </c>
      <c r="H19" s="326">
        <f t="shared" si="1"/>
        <v>1.0044764015095931E-2</v>
      </c>
      <c r="I19" s="332">
        <v>156.59899999999999</v>
      </c>
      <c r="J19" s="130">
        <v>1672.1504199999999</v>
      </c>
      <c r="K19" s="326">
        <f>I19/$I$20</f>
        <v>6.0624208802567458E-3</v>
      </c>
      <c r="L19" s="94"/>
      <c r="M19" s="94"/>
      <c r="N19" s="94"/>
      <c r="O19" s="94"/>
    </row>
    <row r="20" spans="1:20" ht="11.1" customHeight="1">
      <c r="A20" s="434"/>
      <c r="B20" s="434"/>
      <c r="C20" s="337" t="s">
        <v>0</v>
      </c>
      <c r="D20" s="340">
        <v>159422</v>
      </c>
      <c r="E20" s="338">
        <v>17985.599999999999</v>
      </c>
      <c r="F20" s="338">
        <v>193253.03031999993</v>
      </c>
      <c r="G20" s="339">
        <f>SUM(G15:G19)</f>
        <v>0.99999999999999989</v>
      </c>
      <c r="H20" s="339">
        <f t="shared" si="1"/>
        <v>-0.30372303153950075</v>
      </c>
      <c r="I20" s="340">
        <v>25831.099999999995</v>
      </c>
      <c r="J20" s="338">
        <v>275821.96344000014</v>
      </c>
      <c r="K20" s="339">
        <f>SUM(K15:K19)</f>
        <v>1.0000000000000002</v>
      </c>
      <c r="L20" s="94"/>
      <c r="M20" s="94"/>
      <c r="N20" s="94"/>
      <c r="O20" s="94"/>
    </row>
    <row r="21" spans="1:20" ht="11.1" customHeight="1">
      <c r="A21" s="432" t="str">
        <f>'3.1'!F5</f>
        <v>Červen</v>
      </c>
      <c r="B21" s="432"/>
      <c r="C21" s="165" t="s">
        <v>4</v>
      </c>
      <c r="D21" s="331">
        <v>85</v>
      </c>
      <c r="E21" s="327">
        <v>10912.460000000001</v>
      </c>
      <c r="F21" s="327">
        <v>118200.76586999999</v>
      </c>
      <c r="G21" s="328">
        <f>E21/$E$26</f>
        <v>0.72742459087424594</v>
      </c>
      <c r="H21" s="328">
        <f>(E21-I21)/I21</f>
        <v>-2.8308285905371574E-3</v>
      </c>
      <c r="I21" s="331">
        <v>10943.439</v>
      </c>
      <c r="J21" s="327">
        <v>116934.96467000002</v>
      </c>
      <c r="K21" s="328">
        <f>I21/$I$26</f>
        <v>0.7080977954926333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3"/>
      <c r="B22" s="433"/>
      <c r="C22" s="155" t="s">
        <v>5</v>
      </c>
      <c r="D22" s="332">
        <v>330</v>
      </c>
      <c r="E22" s="130">
        <v>1240.1560000000002</v>
      </c>
      <c r="F22" s="130">
        <v>13432.661779999999</v>
      </c>
      <c r="G22" s="326">
        <f>E22/$E$26</f>
        <v>8.2668799786687994E-2</v>
      </c>
      <c r="H22" s="326">
        <f t="shared" ref="H22:H26" si="2">(E22-I22)/I22</f>
        <v>-4.7679163537457527E-2</v>
      </c>
      <c r="I22" s="332">
        <v>1302.2460000000001</v>
      </c>
      <c r="J22" s="130">
        <v>13914.998979999984</v>
      </c>
      <c r="K22" s="326">
        <f>I22/$I$26</f>
        <v>8.4262133849249743E-2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3"/>
      <c r="B23" s="433"/>
      <c r="C23" s="155" t="s">
        <v>6</v>
      </c>
      <c r="D23" s="332">
        <v>11936</v>
      </c>
      <c r="E23" s="130">
        <v>1172.252</v>
      </c>
      <c r="F23" s="130">
        <v>12697.221949999999</v>
      </c>
      <c r="G23" s="326">
        <f>E23/$E$26</f>
        <v>7.8142319101423177E-2</v>
      </c>
      <c r="H23" s="326">
        <f t="shared" si="2"/>
        <v>0.15832087483831944</v>
      </c>
      <c r="I23" s="332">
        <v>1012.027</v>
      </c>
      <c r="J23" s="130">
        <v>10813.781729999999</v>
      </c>
      <c r="K23" s="326">
        <f>I23/$I$26</f>
        <v>6.548344516554834E-2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3"/>
      <c r="B24" s="433"/>
      <c r="C24" s="155" t="s">
        <v>7</v>
      </c>
      <c r="D24" s="332">
        <v>146836</v>
      </c>
      <c r="E24" s="130">
        <v>1515.5</v>
      </c>
      <c r="F24" s="130">
        <v>16415.599999999999</v>
      </c>
      <c r="G24" s="326">
        <f>E24/$E$26</f>
        <v>0.10102323101023229</v>
      </c>
      <c r="H24" s="326">
        <f t="shared" si="2"/>
        <v>-0.25245400286094805</v>
      </c>
      <c r="I24" s="332">
        <v>2027.3</v>
      </c>
      <c r="J24" s="130">
        <v>21662.7</v>
      </c>
      <c r="K24" s="326">
        <f>I24/$I$26</f>
        <v>0.13117692352488239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3"/>
      <c r="B25" s="433"/>
      <c r="C25" s="155" t="s">
        <v>93</v>
      </c>
      <c r="D25" s="332">
        <v>14</v>
      </c>
      <c r="E25" s="130">
        <v>161.13200000000001</v>
      </c>
      <c r="F25" s="130">
        <v>1745.3384300000002</v>
      </c>
      <c r="G25" s="326">
        <f>E25/$E$26</f>
        <v>1.0741059227410591E-2</v>
      </c>
      <c r="H25" s="326">
        <f t="shared" si="2"/>
        <v>-5.042195087454613E-2</v>
      </c>
      <c r="I25" s="332">
        <v>169.68799999999999</v>
      </c>
      <c r="J25" s="130">
        <v>1813.1732199999999</v>
      </c>
      <c r="K25" s="326">
        <f>I25/$I$26</f>
        <v>1.0979701967686203E-2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4"/>
      <c r="B26" s="434"/>
      <c r="C26" s="337" t="s">
        <v>0</v>
      </c>
      <c r="D26" s="340">
        <v>159201</v>
      </c>
      <c r="E26" s="338">
        <v>15001.500000000002</v>
      </c>
      <c r="F26" s="338">
        <v>162491.58803000001</v>
      </c>
      <c r="G26" s="339">
        <f>SUM(G21:G25)</f>
        <v>1</v>
      </c>
      <c r="H26" s="339">
        <f t="shared" si="2"/>
        <v>-2.9324412638226487E-2</v>
      </c>
      <c r="I26" s="340">
        <v>15454.7</v>
      </c>
      <c r="J26" s="338">
        <v>165139.61860000002</v>
      </c>
      <c r="K26" s="339">
        <f>SUM(K21:K25)</f>
        <v>1</v>
      </c>
    </row>
    <row r="27" spans="1:20" ht="11.1" customHeight="1">
      <c r="A27" s="501" t="str">
        <f>'3.1'!G5</f>
        <v>II. čtvrtletí</v>
      </c>
      <c r="B27" s="432"/>
      <c r="C27" s="165" t="s">
        <v>4</v>
      </c>
      <c r="D27" s="331">
        <f>D21</f>
        <v>85</v>
      </c>
      <c r="E27" s="327">
        <f>E9+E15+E21</f>
        <v>35840.913999999997</v>
      </c>
      <c r="F27" s="327">
        <f>F9+F15+F21</f>
        <v>386465.29556</v>
      </c>
      <c r="G27" s="328">
        <f>E27/$E$32</f>
        <v>0.54260677756717313</v>
      </c>
      <c r="H27" s="328">
        <f>(E27-I27)/I27</f>
        <v>-5.5031664596261506E-2</v>
      </c>
      <c r="I27" s="331">
        <f>I9+I15+I21</f>
        <v>37928.163999999997</v>
      </c>
      <c r="J27" s="327">
        <f>J9+J15+J21</f>
        <v>405049.93734000006</v>
      </c>
      <c r="K27" s="328">
        <f>I27/$I$32</f>
        <v>0.48735756661496893</v>
      </c>
    </row>
    <row r="28" spans="1:20" ht="11.1" customHeight="1">
      <c r="A28" s="433"/>
      <c r="B28" s="433"/>
      <c r="C28" s="155" t="s">
        <v>5</v>
      </c>
      <c r="D28" s="332">
        <f>D22</f>
        <v>330</v>
      </c>
      <c r="E28" s="130">
        <f t="shared" ref="E28:F31" si="3">E10+E16+E22</f>
        <v>6439.9489999999996</v>
      </c>
      <c r="F28" s="130">
        <f t="shared" si="3"/>
        <v>69416.447299999956</v>
      </c>
      <c r="G28" s="326">
        <f>E28/$E$32</f>
        <v>9.7496396843756244E-2</v>
      </c>
      <c r="H28" s="326">
        <f t="shared" ref="H28:H31" si="4">(E28-I28)/I28</f>
        <v>-0.17414253130396487</v>
      </c>
      <c r="I28" s="332">
        <f t="shared" ref="I28:J28" si="5">I10+I16+I22</f>
        <v>7797.8939999999993</v>
      </c>
      <c r="J28" s="130">
        <f t="shared" si="5"/>
        <v>83268.352170000042</v>
      </c>
      <c r="K28" s="326">
        <f>I28/$I$32</f>
        <v>0.1001989615042127</v>
      </c>
    </row>
    <row r="29" spans="1:20" ht="11.1" customHeight="1">
      <c r="A29" s="433"/>
      <c r="B29" s="433"/>
      <c r="C29" s="155" t="s">
        <v>6</v>
      </c>
      <c r="D29" s="332">
        <f>D23</f>
        <v>11936</v>
      </c>
      <c r="E29" s="130">
        <f t="shared" si="3"/>
        <v>9217.26</v>
      </c>
      <c r="F29" s="130">
        <f t="shared" si="3"/>
        <v>99331.841259999987</v>
      </c>
      <c r="G29" s="326">
        <f>E29/$E$32</f>
        <v>0.13954297445089717</v>
      </c>
      <c r="H29" s="326">
        <f t="shared" si="4"/>
        <v>-0.17189507145471569</v>
      </c>
      <c r="I29" s="332">
        <f t="shared" ref="I29:J29" si="6">I11+I17+I23</f>
        <v>11130.546</v>
      </c>
      <c r="J29" s="130">
        <f t="shared" si="6"/>
        <v>118846.72262</v>
      </c>
      <c r="K29" s="326">
        <f>I29/$I$32</f>
        <v>0.14302184027826859</v>
      </c>
    </row>
    <row r="30" spans="1:20" ht="11.1" customHeight="1">
      <c r="A30" s="433"/>
      <c r="B30" s="433"/>
      <c r="C30" s="155" t="s">
        <v>7</v>
      </c>
      <c r="D30" s="332">
        <f>D24</f>
        <v>146836</v>
      </c>
      <c r="E30" s="130">
        <f t="shared" si="3"/>
        <v>14083.8</v>
      </c>
      <c r="F30" s="130">
        <f t="shared" si="3"/>
        <v>151772.40000000002</v>
      </c>
      <c r="G30" s="326">
        <f>E30/$E$32</f>
        <v>0.21321904162099642</v>
      </c>
      <c r="H30" s="326">
        <f t="shared" si="4"/>
        <v>-0.31296190601630303</v>
      </c>
      <c r="I30" s="332">
        <f t="shared" ref="I30:J30" si="7">I12+I18+I24</f>
        <v>20499.3</v>
      </c>
      <c r="J30" s="130">
        <f t="shared" si="7"/>
        <v>218883.40000000002</v>
      </c>
      <c r="K30" s="326">
        <f>I30/$I$32</f>
        <v>0.26340555175067881</v>
      </c>
    </row>
    <row r="31" spans="1:20" ht="11.1" customHeight="1">
      <c r="A31" s="433"/>
      <c r="B31" s="433"/>
      <c r="C31" s="155" t="s">
        <v>93</v>
      </c>
      <c r="D31" s="332">
        <f>D25</f>
        <v>14</v>
      </c>
      <c r="E31" s="130">
        <f>E13+E19+E25</f>
        <v>471.27699999999999</v>
      </c>
      <c r="F31" s="130">
        <f t="shared" si="3"/>
        <v>5082.5590499999998</v>
      </c>
      <c r="G31" s="326">
        <f>E31/$E$32</f>
        <v>7.1348095171770631E-3</v>
      </c>
      <c r="H31" s="326">
        <f t="shared" si="4"/>
        <v>6.5805773650351937E-3</v>
      </c>
      <c r="I31" s="332">
        <f>I13+I19+I25</f>
        <v>468.19599999999997</v>
      </c>
      <c r="J31" s="130">
        <f t="shared" ref="J31" si="8">J13+J19+J25</f>
        <v>5000.3688899999997</v>
      </c>
      <c r="K31" s="326">
        <f>I31/$I$32</f>
        <v>6.0160798518710786E-3</v>
      </c>
    </row>
    <row r="32" spans="1:20" ht="11.1" customHeight="1">
      <c r="A32" s="434"/>
      <c r="B32" s="434"/>
      <c r="C32" s="337" t="s">
        <v>0</v>
      </c>
      <c r="D32" s="340">
        <f>SUM(D27:D31)</f>
        <v>159201</v>
      </c>
      <c r="E32" s="338">
        <f>SUM(E27:E31)</f>
        <v>66053.2</v>
      </c>
      <c r="F32" s="338">
        <f>SUM(F27:F31)</f>
        <v>712068.54316999996</v>
      </c>
      <c r="G32" s="339">
        <f>SUM(G27:G31)</f>
        <v>1</v>
      </c>
      <c r="H32" s="339">
        <f>(E32-I32)/I32</f>
        <v>-0.15125006264126403</v>
      </c>
      <c r="I32" s="340">
        <f>SUM(I27:I31)</f>
        <v>77824.099999999991</v>
      </c>
      <c r="J32" s="338">
        <f>SUM(J27:J31)</f>
        <v>831048.78102000011</v>
      </c>
      <c r="K32" s="339">
        <f>SUM(K27:K31)</f>
        <v>1.0000000000000002</v>
      </c>
    </row>
    <row r="33" spans="1:11" ht="9.9499999999999993" customHeight="1">
      <c r="A33" s="385"/>
      <c r="B33" s="386"/>
      <c r="C33" s="387"/>
      <c r="D33" s="388"/>
      <c r="E33" s="388"/>
      <c r="F33" s="388"/>
      <c r="G33" s="389"/>
      <c r="H33" s="390"/>
      <c r="I33" s="388"/>
      <c r="J33" s="388"/>
      <c r="K33" s="389"/>
    </row>
    <row r="34" spans="1:11" ht="12.95" customHeight="1">
      <c r="A34" s="526" t="s">
        <v>90</v>
      </c>
      <c r="B34" s="526"/>
      <c r="C34" s="526"/>
      <c r="D34" s="491">
        <f>D4</f>
        <v>2022</v>
      </c>
      <c r="E34" s="380"/>
      <c r="F34" s="369"/>
      <c r="G34" s="369"/>
      <c r="H34" s="369"/>
      <c r="I34" s="491">
        <f>D34-1</f>
        <v>2021</v>
      </c>
      <c r="J34" s="492"/>
      <c r="K34" s="492"/>
    </row>
    <row r="35" spans="1:11" ht="24.95" customHeight="1">
      <c r="A35" s="323"/>
      <c r="B35" s="291"/>
      <c r="C35" s="151"/>
      <c r="D35" s="493"/>
      <c r="E35" s="382"/>
      <c r="F35" s="383"/>
      <c r="G35" s="383"/>
      <c r="H35" s="384"/>
      <c r="I35" s="493"/>
      <c r="J35" s="494"/>
      <c r="K35" s="494"/>
    </row>
    <row r="36" spans="1:11" ht="24.95" customHeight="1">
      <c r="A36" s="131"/>
      <c r="B36" s="132"/>
      <c r="C36" s="379"/>
      <c r="D36" s="391" t="s">
        <v>160</v>
      </c>
      <c r="E36" s="489" t="s">
        <v>60</v>
      </c>
      <c r="F36" s="489"/>
      <c r="G36" s="490" t="s">
        <v>33</v>
      </c>
      <c r="H36" s="490" t="s">
        <v>274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25"/>
      <c r="C37" s="325"/>
      <c r="D37" s="392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27" t="s">
        <v>159</v>
      </c>
      <c r="B38" s="527"/>
      <c r="C38" s="393" t="s">
        <v>185</v>
      </c>
      <c r="D38" s="370"/>
      <c r="E38" s="222" t="s">
        <v>265</v>
      </c>
      <c r="F38" s="222" t="s">
        <v>266</v>
      </c>
      <c r="G38" s="477"/>
      <c r="H38" s="477"/>
      <c r="I38" s="224" t="s">
        <v>265</v>
      </c>
      <c r="J38" s="222" t="s">
        <v>266</v>
      </c>
      <c r="K38" s="477"/>
    </row>
    <row r="39" spans="1:11" ht="11.1" customHeight="1">
      <c r="A39" s="432" t="str">
        <f>'3.1'!D5</f>
        <v>Duben</v>
      </c>
      <c r="B39" s="432"/>
      <c r="C39" s="165" t="s">
        <v>4</v>
      </c>
      <c r="D39" s="331">
        <v>147</v>
      </c>
      <c r="E39" s="327">
        <v>15510.468847709948</v>
      </c>
      <c r="F39" s="327">
        <v>168355.70262999999</v>
      </c>
      <c r="G39" s="328">
        <f>E39/$E$44</f>
        <v>0.21237730509239994</v>
      </c>
      <c r="H39" s="328">
        <f>(E39-I39)/I39</f>
        <v>-0.11023378879534368</v>
      </c>
      <c r="I39" s="331">
        <v>17432.072214464395</v>
      </c>
      <c r="J39" s="327">
        <v>186074.09247</v>
      </c>
      <c r="K39" s="328">
        <f>I39/$I$44</f>
        <v>0.21087066385685357</v>
      </c>
    </row>
    <row r="40" spans="1:11" ht="11.1" customHeight="1">
      <c r="A40" s="433"/>
      <c r="B40" s="433"/>
      <c r="C40" s="155" t="s">
        <v>5</v>
      </c>
      <c r="D40" s="332">
        <v>1534</v>
      </c>
      <c r="E40" s="130">
        <v>14302.660463260214</v>
      </c>
      <c r="F40" s="130">
        <v>155245.98737000002</v>
      </c>
      <c r="G40" s="326">
        <f t="shared" ref="G40" si="9">E40/$E$44</f>
        <v>0.19583937240474217</v>
      </c>
      <c r="H40" s="326">
        <f>(E40-I40)/I40</f>
        <v>-8.9494817728689557E-2</v>
      </c>
      <c r="I40" s="332">
        <v>15708.488805721412</v>
      </c>
      <c r="J40" s="130">
        <v>167676.13061000002</v>
      </c>
      <c r="K40" s="326">
        <f t="shared" ref="K40:K43" si="10">I40/$I$44</f>
        <v>0.19002098097677042</v>
      </c>
    </row>
    <row r="41" spans="1:11" ht="11.1" customHeight="1">
      <c r="A41" s="433"/>
      <c r="B41" s="433"/>
      <c r="C41" s="155" t="s">
        <v>6</v>
      </c>
      <c r="D41" s="332">
        <v>38349</v>
      </c>
      <c r="E41" s="130">
        <v>17393.224897125587</v>
      </c>
      <c r="F41" s="130">
        <v>188792.03485525702</v>
      </c>
      <c r="G41" s="326">
        <f>E41/$E$44</f>
        <v>0.23815696783807791</v>
      </c>
      <c r="H41" s="326">
        <f t="shared" ref="H41:H43" si="11">(E41-I41)/I41</f>
        <v>-0.13161429226013346</v>
      </c>
      <c r="I41" s="332">
        <v>20029.377201974745</v>
      </c>
      <c r="J41" s="130">
        <v>213798.31690315402</v>
      </c>
      <c r="K41" s="326">
        <f t="shared" si="10"/>
        <v>0.2422895003679007</v>
      </c>
    </row>
    <row r="42" spans="1:11" ht="11.1" customHeight="1">
      <c r="A42" s="433"/>
      <c r="B42" s="433"/>
      <c r="C42" s="155" t="s">
        <v>7</v>
      </c>
      <c r="D42" s="332">
        <v>372589</v>
      </c>
      <c r="E42" s="130">
        <v>24814.944496952703</v>
      </c>
      <c r="F42" s="130">
        <v>269349.92757865082</v>
      </c>
      <c r="G42" s="326">
        <f>E42/$E$44</f>
        <v>0.33977896413224201</v>
      </c>
      <c r="H42" s="326">
        <f t="shared" si="11"/>
        <v>-0.12169398112961746</v>
      </c>
      <c r="I42" s="332">
        <v>28253.187344506641</v>
      </c>
      <c r="J42" s="130">
        <v>301581.2144578048</v>
      </c>
      <c r="K42" s="326">
        <f t="shared" si="10"/>
        <v>0.34177051919648804</v>
      </c>
    </row>
    <row r="43" spans="1:11" ht="11.1" customHeight="1">
      <c r="A43" s="433"/>
      <c r="B43" s="433"/>
      <c r="C43" s="155" t="s">
        <v>93</v>
      </c>
      <c r="D43" s="332">
        <v>39</v>
      </c>
      <c r="E43" s="130">
        <v>1011.3110691538385</v>
      </c>
      <c r="F43" s="130">
        <v>10977.11757</v>
      </c>
      <c r="G43" s="326">
        <f>E43/$E$44</f>
        <v>1.3847390532538105E-2</v>
      </c>
      <c r="H43" s="326">
        <f t="shared" si="11"/>
        <v>-0.18705073719288917</v>
      </c>
      <c r="I43" s="332">
        <v>1244.0026892475246</v>
      </c>
      <c r="J43" s="130">
        <v>13278.77939</v>
      </c>
      <c r="K43" s="326">
        <f t="shared" si="10"/>
        <v>1.5048335601987213E-2</v>
      </c>
    </row>
    <row r="44" spans="1:11" ht="11.1" customHeight="1">
      <c r="A44" s="434"/>
      <c r="B44" s="434"/>
      <c r="C44" s="337" t="s">
        <v>0</v>
      </c>
      <c r="D44" s="340">
        <v>412658</v>
      </c>
      <c r="E44" s="338">
        <v>73032.609774202283</v>
      </c>
      <c r="F44" s="338">
        <v>792720.77000390785</v>
      </c>
      <c r="G44" s="339">
        <f>SUM(G39:G43)</f>
        <v>1</v>
      </c>
      <c r="H44" s="339">
        <f>(E44-I44)/I44</f>
        <v>-0.11654594377449058</v>
      </c>
      <c r="I44" s="340">
        <v>82667.128255914722</v>
      </c>
      <c r="J44" s="338">
        <v>882408.53383095888</v>
      </c>
      <c r="K44" s="339">
        <f>SUM(K39:K43)</f>
        <v>1</v>
      </c>
    </row>
    <row r="45" spans="1:11" ht="11.1" customHeight="1">
      <c r="A45" s="432" t="str">
        <f>'3.1'!E5</f>
        <v>Květen</v>
      </c>
      <c r="B45" s="432"/>
      <c r="C45" s="165" t="s">
        <v>4</v>
      </c>
      <c r="D45" s="331">
        <v>143</v>
      </c>
      <c r="E45" s="327">
        <v>8143.1996808910008</v>
      </c>
      <c r="F45" s="327">
        <v>87860.812040000004</v>
      </c>
      <c r="G45" s="328">
        <f>E45/$E$50</f>
        <v>0.30584598287735276</v>
      </c>
      <c r="H45" s="328">
        <f>(E45-I45)/I45</f>
        <v>-0.34798255491405283</v>
      </c>
      <c r="I45" s="331">
        <v>12489.235897388584</v>
      </c>
      <c r="J45" s="327">
        <v>133312.59015999999</v>
      </c>
      <c r="K45" s="328">
        <f>I45/$I$50</f>
        <v>0.24322777793300476</v>
      </c>
    </row>
    <row r="46" spans="1:11" ht="11.1" customHeight="1">
      <c r="A46" s="433"/>
      <c r="B46" s="433"/>
      <c r="C46" s="155" t="s">
        <v>5</v>
      </c>
      <c r="D46" s="332">
        <v>1537</v>
      </c>
      <c r="E46" s="130">
        <v>4966.9356566841952</v>
      </c>
      <c r="F46" s="130">
        <v>53590.57922</v>
      </c>
      <c r="G46" s="326">
        <f t="shared" ref="G46:G49" si="12">E46/$E$50</f>
        <v>0.1865504196553032</v>
      </c>
      <c r="H46" s="326">
        <f>(E46-I46)/I46</f>
        <v>-0.48430309147379919</v>
      </c>
      <c r="I46" s="332">
        <v>9631.5017107220883</v>
      </c>
      <c r="J46" s="130">
        <v>102808.57519</v>
      </c>
      <c r="K46" s="326">
        <f t="shared" ref="K46:K49" si="13">I46/$I$50</f>
        <v>0.18757342550849726</v>
      </c>
    </row>
    <row r="47" spans="1:11" ht="11.1" customHeight="1">
      <c r="A47" s="433"/>
      <c r="B47" s="433"/>
      <c r="C47" s="155" t="s">
        <v>6</v>
      </c>
      <c r="D47" s="332">
        <v>38279</v>
      </c>
      <c r="E47" s="130">
        <v>5104.2999034858458</v>
      </c>
      <c r="F47" s="130">
        <v>55072.665975102798</v>
      </c>
      <c r="G47" s="326">
        <f t="shared" si="12"/>
        <v>0.19170960826931263</v>
      </c>
      <c r="H47" s="326">
        <f t="shared" ref="H47:H49" si="14">(E47-I47)/I47</f>
        <v>-0.56070810129340343</v>
      </c>
      <c r="I47" s="332">
        <v>11619.380913953553</v>
      </c>
      <c r="J47" s="130">
        <v>124027.59530464599</v>
      </c>
      <c r="K47" s="326">
        <f t="shared" si="13"/>
        <v>0.226287358480355</v>
      </c>
    </row>
    <row r="48" spans="1:11" ht="11.1" customHeight="1">
      <c r="A48" s="433"/>
      <c r="B48" s="433"/>
      <c r="C48" s="155" t="s">
        <v>7</v>
      </c>
      <c r="D48" s="332">
        <v>372234</v>
      </c>
      <c r="E48" s="130">
        <v>7327.8285825165203</v>
      </c>
      <c r="F48" s="130">
        <v>79063.351189874389</v>
      </c>
      <c r="G48" s="326">
        <f t="shared" si="12"/>
        <v>0.27522190576214645</v>
      </c>
      <c r="H48" s="326">
        <f t="shared" si="14"/>
        <v>-0.55090462792738459</v>
      </c>
      <c r="I48" s="332">
        <v>16316.865054070662</v>
      </c>
      <c r="J48" s="130">
        <v>174169.48033233971</v>
      </c>
      <c r="K48" s="326">
        <f t="shared" si="13"/>
        <v>0.31777082781854865</v>
      </c>
    </row>
    <row r="49" spans="1:11" ht="11.1" customHeight="1">
      <c r="A49" s="433"/>
      <c r="B49" s="433"/>
      <c r="C49" s="155" t="s">
        <v>93</v>
      </c>
      <c r="D49" s="332">
        <v>39</v>
      </c>
      <c r="E49" s="130">
        <v>1082.900922027424</v>
      </c>
      <c r="F49" s="130">
        <v>11683.921769999999</v>
      </c>
      <c r="G49" s="326">
        <f t="shared" si="12"/>
        <v>4.0672083435884777E-2</v>
      </c>
      <c r="H49" s="326">
        <f t="shared" si="14"/>
        <v>-0.16113859871399391</v>
      </c>
      <c r="I49" s="332">
        <v>1290.9175703725266</v>
      </c>
      <c r="J49" s="130">
        <v>13779.512279999999</v>
      </c>
      <c r="K49" s="326">
        <f t="shared" si="13"/>
        <v>2.5140610259594468E-2</v>
      </c>
    </row>
    <row r="50" spans="1:11" ht="11.1" customHeight="1">
      <c r="A50" s="434"/>
      <c r="B50" s="434"/>
      <c r="C50" s="337" t="s">
        <v>0</v>
      </c>
      <c r="D50" s="340">
        <v>412232</v>
      </c>
      <c r="E50" s="338">
        <v>26625.16474560499</v>
      </c>
      <c r="F50" s="338">
        <v>287271.33019497723</v>
      </c>
      <c r="G50" s="339">
        <f>SUM(G45:G49)</f>
        <v>0.99999999999999978</v>
      </c>
      <c r="H50" s="339">
        <f t="shared" ref="H50" si="15">(E50-I50)/I50</f>
        <v>-0.4814751109371101</v>
      </c>
      <c r="I50" s="340">
        <v>51347.901146507407</v>
      </c>
      <c r="J50" s="338">
        <v>548097.75326698564</v>
      </c>
      <c r="K50" s="339">
        <f>SUM(K45:K49)</f>
        <v>1.0000000000000002</v>
      </c>
    </row>
    <row r="51" spans="1:11" ht="11.1" customHeight="1">
      <c r="A51" s="432" t="str">
        <f>'3.1'!F5</f>
        <v>Červen</v>
      </c>
      <c r="B51" s="432"/>
      <c r="C51" s="165" t="s">
        <v>4</v>
      </c>
      <c r="D51" s="331">
        <v>143</v>
      </c>
      <c r="E51" s="327">
        <v>6204.8873373267188</v>
      </c>
      <c r="F51" s="327">
        <v>67960.032089999993</v>
      </c>
      <c r="G51" s="328">
        <f>E51/$E$56</f>
        <v>0.33638047595535758</v>
      </c>
      <c r="H51" s="328">
        <f>(E51-I51)/I51</f>
        <v>-6.4403533615212658E-2</v>
      </c>
      <c r="I51" s="331">
        <v>6632.0123688611757</v>
      </c>
      <c r="J51" s="327">
        <v>70835.250780000017</v>
      </c>
      <c r="K51" s="328">
        <f>I51/$I$56</f>
        <v>0.33090765496002489</v>
      </c>
    </row>
    <row r="52" spans="1:11" ht="11.1" customHeight="1">
      <c r="A52" s="433"/>
      <c r="B52" s="433"/>
      <c r="C52" s="155" t="s">
        <v>5</v>
      </c>
      <c r="D52" s="332">
        <v>1527</v>
      </c>
      <c r="E52" s="130">
        <v>3353.1154904999667</v>
      </c>
      <c r="F52" s="130">
        <v>36725.525289999998</v>
      </c>
      <c r="G52" s="326">
        <f t="shared" ref="G52:G55" si="16">E52/$E$56</f>
        <v>0.18177970417648379</v>
      </c>
      <c r="H52" s="326">
        <f t="shared" ref="H52:H55" si="17">(E52-I52)/I52</f>
        <v>-4.8182763547873028E-2</v>
      </c>
      <c r="I52" s="332">
        <v>3522.8564498354895</v>
      </c>
      <c r="J52" s="130">
        <v>37626.950599999996</v>
      </c>
      <c r="K52" s="326">
        <f t="shared" ref="K52:K55" si="18">I52/$I$56</f>
        <v>0.17577472744913425</v>
      </c>
    </row>
    <row r="53" spans="1:11" ht="11.1" customHeight="1">
      <c r="A53" s="433"/>
      <c r="B53" s="433"/>
      <c r="C53" s="155" t="s">
        <v>6</v>
      </c>
      <c r="D53" s="332">
        <v>38204</v>
      </c>
      <c r="E53" s="130">
        <v>3064.141829824554</v>
      </c>
      <c r="F53" s="130">
        <v>33560.4957783871</v>
      </c>
      <c r="G53" s="326">
        <f t="shared" si="16"/>
        <v>0.16611381175458581</v>
      </c>
      <c r="H53" s="326">
        <f t="shared" si="17"/>
        <v>-0.13453183299820487</v>
      </c>
      <c r="I53" s="332">
        <v>3540.4442897530607</v>
      </c>
      <c r="J53" s="130">
        <v>37814.802927553697</v>
      </c>
      <c r="K53" s="326">
        <f t="shared" si="18"/>
        <v>0.17665228173269706</v>
      </c>
    </row>
    <row r="54" spans="1:11" ht="11.1" customHeight="1">
      <c r="A54" s="433"/>
      <c r="B54" s="433"/>
      <c r="C54" s="155" t="s">
        <v>7</v>
      </c>
      <c r="D54" s="332">
        <v>371333</v>
      </c>
      <c r="E54" s="130">
        <v>4725.5716967655117</v>
      </c>
      <c r="F54" s="130">
        <v>51757.567954628648</v>
      </c>
      <c r="G54" s="326">
        <f t="shared" si="16"/>
        <v>0.25618354856447728</v>
      </c>
      <c r="H54" s="326">
        <f t="shared" si="17"/>
        <v>-6.4157758122366806E-2</v>
      </c>
      <c r="I54" s="332">
        <v>5049.5387847468073</v>
      </c>
      <c r="J54" s="130">
        <v>53933.150303448987</v>
      </c>
      <c r="K54" s="326">
        <f t="shared" si="18"/>
        <v>0.25194932472316633</v>
      </c>
    </row>
    <row r="55" spans="1:11" ht="11.1" customHeight="1">
      <c r="A55" s="433"/>
      <c r="B55" s="433"/>
      <c r="C55" s="155" t="s">
        <v>93</v>
      </c>
      <c r="D55" s="332">
        <v>39</v>
      </c>
      <c r="E55" s="130">
        <v>1098.3225237439292</v>
      </c>
      <c r="F55" s="130">
        <v>12029.55035</v>
      </c>
      <c r="G55" s="326">
        <f t="shared" si="16"/>
        <v>5.9542459549095719E-2</v>
      </c>
      <c r="H55" s="326">
        <f t="shared" si="17"/>
        <v>-0.15320236722288622</v>
      </c>
      <c r="I55" s="332">
        <v>1297.0306968642878</v>
      </c>
      <c r="J55" s="130">
        <v>13853.33483</v>
      </c>
      <c r="K55" s="326">
        <f t="shared" si="18"/>
        <v>6.4716011134977505E-2</v>
      </c>
    </row>
    <row r="56" spans="1:11" ht="11.1" customHeight="1">
      <c r="A56" s="434"/>
      <c r="B56" s="434"/>
      <c r="C56" s="337" t="s">
        <v>0</v>
      </c>
      <c r="D56" s="340">
        <v>411246</v>
      </c>
      <c r="E56" s="338">
        <v>18446.038878160678</v>
      </c>
      <c r="F56" s="338">
        <v>202033.17146301572</v>
      </c>
      <c r="G56" s="339">
        <f>SUM(G51:G55)</f>
        <v>1.0000000000000002</v>
      </c>
      <c r="H56" s="339">
        <f t="shared" ref="H56" si="19">(E56-I56)/I56</f>
        <v>-7.9625439612721532E-2</v>
      </c>
      <c r="I56" s="340">
        <v>20041.882590060821</v>
      </c>
      <c r="J56" s="338">
        <v>214063.48944100269</v>
      </c>
      <c r="K56" s="339">
        <f>SUM(K51:K55)</f>
        <v>1</v>
      </c>
    </row>
    <row r="57" spans="1:11" ht="11.1" customHeight="1">
      <c r="A57" s="501" t="str">
        <f>'3.1'!G5</f>
        <v>II. čtvrtletí</v>
      </c>
      <c r="B57" s="432"/>
      <c r="C57" s="165" t="s">
        <v>4</v>
      </c>
      <c r="D57" s="331">
        <f>D51</f>
        <v>143</v>
      </c>
      <c r="E57" s="327">
        <f>E39+E45+E51</f>
        <v>29858.555865927668</v>
      </c>
      <c r="F57" s="327">
        <f>F39+F45+F51</f>
        <v>324176.54676</v>
      </c>
      <c r="G57" s="328">
        <f>E57/$E$62</f>
        <v>0.25281618778315756</v>
      </c>
      <c r="H57" s="328">
        <f>(E57-I57)/I57</f>
        <v>-0.18315065572001057</v>
      </c>
      <c r="I57" s="331">
        <f>I39+I45+I51</f>
        <v>36553.320480714159</v>
      </c>
      <c r="J57" s="327">
        <f>J39+J45+J51</f>
        <v>390221.93341</v>
      </c>
      <c r="K57" s="328">
        <f>I57/$I$62</f>
        <v>0.23727153821243502</v>
      </c>
    </row>
    <row r="58" spans="1:11" ht="11.1" customHeight="1">
      <c r="A58" s="433"/>
      <c r="B58" s="433"/>
      <c r="C58" s="155" t="s">
        <v>5</v>
      </c>
      <c r="D58" s="332">
        <f>D52</f>
        <v>1527</v>
      </c>
      <c r="E58" s="130">
        <f t="shared" ref="E58:F59" si="20">E40+E46+E52</f>
        <v>22622.711610444378</v>
      </c>
      <c r="F58" s="130">
        <f t="shared" si="20"/>
        <v>245562.09187999999</v>
      </c>
      <c r="G58" s="326">
        <f t="shared" ref="G58:G61" si="21">E58/$E$62</f>
        <v>0.19154937473707018</v>
      </c>
      <c r="H58" s="326">
        <f t="shared" ref="H58:H61" si="22">(E58-I58)/I58</f>
        <v>-0.21619957875690782</v>
      </c>
      <c r="I58" s="332">
        <f t="shared" ref="I58:J58" si="23">I40+I46+I52</f>
        <v>28862.84696627899</v>
      </c>
      <c r="J58" s="130">
        <f t="shared" si="23"/>
        <v>308111.65639999998</v>
      </c>
      <c r="K58" s="326">
        <f t="shared" ref="K58:K61" si="24">I58/$I$62</f>
        <v>0.18735184674925409</v>
      </c>
    </row>
    <row r="59" spans="1:11" ht="11.1" customHeight="1">
      <c r="A59" s="433"/>
      <c r="B59" s="433"/>
      <c r="C59" s="155" t="s">
        <v>6</v>
      </c>
      <c r="D59" s="332">
        <f>D53</f>
        <v>38204</v>
      </c>
      <c r="E59" s="130">
        <f>E41+E47+E53</f>
        <v>25561.66663043599</v>
      </c>
      <c r="F59" s="130">
        <f t="shared" si="20"/>
        <v>277425.19660874695</v>
      </c>
      <c r="G59" s="326">
        <f t="shared" si="21"/>
        <v>0.21643388045652884</v>
      </c>
      <c r="H59" s="326">
        <f t="shared" si="22"/>
        <v>-0.27359346382033906</v>
      </c>
      <c r="I59" s="332">
        <f>I41+I47+I53</f>
        <v>35189.202405681361</v>
      </c>
      <c r="J59" s="130">
        <f t="shared" ref="J59" si="25">J41+J47+J53</f>
        <v>375640.71513535373</v>
      </c>
      <c r="K59" s="326">
        <f t="shared" si="24"/>
        <v>0.22841690093981878</v>
      </c>
    </row>
    <row r="60" spans="1:11" ht="11.1" customHeight="1">
      <c r="A60" s="433"/>
      <c r="B60" s="433"/>
      <c r="C60" s="155" t="s">
        <v>7</v>
      </c>
      <c r="D60" s="332">
        <f>D54</f>
        <v>371333</v>
      </c>
      <c r="E60" s="130">
        <f t="shared" ref="E60:F61" si="26">E42+E48+E54</f>
        <v>36868.344776234735</v>
      </c>
      <c r="F60" s="130">
        <f t="shared" si="26"/>
        <v>400170.8467231539</v>
      </c>
      <c r="G60" s="326">
        <f t="shared" si="21"/>
        <v>0.31216896148815693</v>
      </c>
      <c r="H60" s="326">
        <f t="shared" si="22"/>
        <v>-0.25698007788856486</v>
      </c>
      <c r="I60" s="332">
        <f t="shared" ref="I60:J60" si="27">I42+I48+I54</f>
        <v>49619.591183324112</v>
      </c>
      <c r="J60" s="130">
        <f t="shared" si="27"/>
        <v>529683.84509359347</v>
      </c>
      <c r="K60" s="326">
        <f t="shared" si="24"/>
        <v>0.32208610792968023</v>
      </c>
    </row>
    <row r="61" spans="1:11" ht="11.1" customHeight="1">
      <c r="A61" s="433"/>
      <c r="B61" s="433"/>
      <c r="C61" s="155" t="s">
        <v>93</v>
      </c>
      <c r="D61" s="332">
        <f>D55</f>
        <v>39</v>
      </c>
      <c r="E61" s="130">
        <f>E43+E49+E55</f>
        <v>3192.5345149251916</v>
      </c>
      <c r="F61" s="130">
        <f t="shared" si="26"/>
        <v>34690.589690000001</v>
      </c>
      <c r="G61" s="326">
        <f t="shared" si="21"/>
        <v>2.7031595535086429E-2</v>
      </c>
      <c r="H61" s="326">
        <f t="shared" si="22"/>
        <v>-0.16686446377324893</v>
      </c>
      <c r="I61" s="332">
        <f>I43+I49+I55</f>
        <v>3831.9509564843393</v>
      </c>
      <c r="J61" s="130">
        <f t="shared" ref="J61" si="28">J43+J49+J55</f>
        <v>40911.626499999998</v>
      </c>
      <c r="K61" s="326">
        <f t="shared" si="24"/>
        <v>2.4873606168811922E-2</v>
      </c>
    </row>
    <row r="62" spans="1:11" ht="11.1" customHeight="1">
      <c r="A62" s="434"/>
      <c r="B62" s="434"/>
      <c r="C62" s="337" t="s">
        <v>0</v>
      </c>
      <c r="D62" s="340">
        <f>SUM(D57:D61)</f>
        <v>411246</v>
      </c>
      <c r="E62" s="338">
        <f>SUM(E57:E61)</f>
        <v>118103.81339796797</v>
      </c>
      <c r="F62" s="338">
        <f>SUM(F57:F61)</f>
        <v>1282025.2716619009</v>
      </c>
      <c r="G62" s="339">
        <f>SUM(G57:G61)</f>
        <v>0.99999999999999978</v>
      </c>
      <c r="H62" s="339">
        <f>(E62-I62)/I62</f>
        <v>-0.23337543333511243</v>
      </c>
      <c r="I62" s="340">
        <f>SUM(I57:I61)</f>
        <v>154056.91199248296</v>
      </c>
      <c r="J62" s="338">
        <f>SUM(J57:J61)</f>
        <v>1644569.7765389474</v>
      </c>
      <c r="K62" s="339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topLeftCell="A34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5" t="s">
        <v>312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5"/>
      <c r="B3" s="525"/>
      <c r="C3" s="525"/>
      <c r="D3" s="319"/>
      <c r="E3" s="319"/>
      <c r="F3" s="320"/>
      <c r="G3" s="321"/>
      <c r="H3" s="321"/>
      <c r="I3" s="321"/>
      <c r="J3" s="76"/>
      <c r="K3" s="76"/>
    </row>
    <row r="4" spans="1:16" ht="12.95" customHeight="1">
      <c r="A4" s="497" t="s">
        <v>44</v>
      </c>
      <c r="B4" s="497"/>
      <c r="C4" s="497"/>
      <c r="D4" s="491">
        <f>'3.1'!A4</f>
        <v>2022</v>
      </c>
      <c r="E4" s="380"/>
      <c r="F4" s="369"/>
      <c r="G4" s="369"/>
      <c r="H4" s="369"/>
      <c r="I4" s="491">
        <f>D4-1</f>
        <v>2021</v>
      </c>
      <c r="J4" s="492"/>
      <c r="K4" s="492"/>
    </row>
    <row r="5" spans="1:16" ht="24.95" customHeight="1">
      <c r="A5" s="381"/>
      <c r="B5" s="381"/>
      <c r="C5" s="381"/>
      <c r="D5" s="493"/>
      <c r="E5" s="382"/>
      <c r="F5" s="383"/>
      <c r="G5" s="383"/>
      <c r="H5" s="384"/>
      <c r="I5" s="493"/>
      <c r="J5" s="494"/>
      <c r="K5" s="494"/>
    </row>
    <row r="6" spans="1:16" ht="24.95" customHeight="1">
      <c r="A6" s="323"/>
      <c r="B6" s="291"/>
      <c r="C6" s="324"/>
      <c r="D6" s="391" t="s">
        <v>160</v>
      </c>
      <c r="E6" s="489" t="s">
        <v>60</v>
      </c>
      <c r="F6" s="489"/>
      <c r="G6" s="490" t="s">
        <v>33</v>
      </c>
      <c r="H6" s="490" t="s">
        <v>274</v>
      </c>
      <c r="I6" s="488" t="s">
        <v>60</v>
      </c>
      <c r="J6" s="489"/>
      <c r="K6" s="490" t="s">
        <v>33</v>
      </c>
    </row>
    <row r="7" spans="1:16" ht="24.95" customHeight="1">
      <c r="A7" s="323"/>
      <c r="B7" s="325"/>
      <c r="D7" s="392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159</v>
      </c>
      <c r="B8" s="498"/>
      <c r="C8" s="342" t="s">
        <v>185</v>
      </c>
      <c r="D8" s="370"/>
      <c r="E8" s="222" t="s">
        <v>265</v>
      </c>
      <c r="F8" s="222" t="s">
        <v>266</v>
      </c>
      <c r="G8" s="477"/>
      <c r="H8" s="477"/>
      <c r="I8" s="224" t="s">
        <v>265</v>
      </c>
      <c r="J8" s="222" t="s">
        <v>266</v>
      </c>
      <c r="K8" s="477"/>
    </row>
    <row r="9" spans="1:16" ht="11.1" customHeight="1">
      <c r="A9" s="432" t="str">
        <f>'3.1'!D5</f>
        <v>Duben</v>
      </c>
      <c r="B9" s="432"/>
      <c r="C9" s="165" t="s">
        <v>4</v>
      </c>
      <c r="D9" s="331">
        <v>190</v>
      </c>
      <c r="E9" s="327">
        <v>51587.124000000003</v>
      </c>
      <c r="F9" s="327">
        <v>555988.13503999985</v>
      </c>
      <c r="G9" s="328">
        <f>E9/$E$14</f>
        <v>0.54455588458740711</v>
      </c>
      <c r="H9" s="328">
        <f>(E9-I9)/I9</f>
        <v>-6.251423275959965E-2</v>
      </c>
      <c r="I9" s="331">
        <v>55027.101000000002</v>
      </c>
      <c r="J9" s="327">
        <v>587476.32843400002</v>
      </c>
      <c r="K9" s="328">
        <f>I9/$I$14</f>
        <v>0.51840161250142691</v>
      </c>
    </row>
    <row r="10" spans="1:16" ht="11.1" customHeight="1">
      <c r="A10" s="433"/>
      <c r="B10" s="433"/>
      <c r="C10" s="155" t="s">
        <v>5</v>
      </c>
      <c r="D10" s="332">
        <v>631</v>
      </c>
      <c r="E10" s="130">
        <v>7004.0929999999998</v>
      </c>
      <c r="F10" s="130">
        <v>75476.793889999928</v>
      </c>
      <c r="G10" s="326">
        <f>E10/$E$14</f>
        <v>7.3935504901328969E-2</v>
      </c>
      <c r="H10" s="326">
        <f>(E10-I10)/I10</f>
        <v>-0.25961118475436618</v>
      </c>
      <c r="I10" s="332">
        <v>9460.0199999999986</v>
      </c>
      <c r="J10" s="130">
        <v>100996.76287000004</v>
      </c>
      <c r="K10" s="326">
        <f>I10/$I$14</f>
        <v>8.9121351718960226E-2</v>
      </c>
      <c r="L10" s="94"/>
      <c r="N10" s="94"/>
      <c r="O10" s="94"/>
      <c r="P10" s="94"/>
    </row>
    <row r="11" spans="1:16" ht="11.1" customHeight="1">
      <c r="A11" s="433"/>
      <c r="B11" s="433"/>
      <c r="C11" s="155" t="s">
        <v>6</v>
      </c>
      <c r="D11" s="332">
        <v>19430</v>
      </c>
      <c r="E11" s="130">
        <v>10503.814</v>
      </c>
      <c r="F11" s="130">
        <v>113190.50438000001</v>
      </c>
      <c r="G11" s="326">
        <f>E11/$E$14</f>
        <v>0.11087870927465525</v>
      </c>
      <c r="H11" s="326">
        <f t="shared" ref="H11:H13" si="0">(E11-I11)/I11</f>
        <v>-7.1447476712844515E-2</v>
      </c>
      <c r="I11" s="332">
        <v>11312.029999999999</v>
      </c>
      <c r="J11" s="130">
        <v>120768.80697999999</v>
      </c>
      <c r="K11" s="326">
        <f>I11/$I$14</f>
        <v>0.10656884491633524</v>
      </c>
      <c r="L11" s="94"/>
      <c r="N11" s="94"/>
      <c r="O11" s="94"/>
      <c r="P11" s="94"/>
    </row>
    <row r="12" spans="1:16" ht="11.1" customHeight="1">
      <c r="A12" s="433"/>
      <c r="B12" s="433"/>
      <c r="C12" s="155" t="s">
        <v>7</v>
      </c>
      <c r="D12" s="332">
        <v>240031</v>
      </c>
      <c r="E12" s="130">
        <v>24574.6</v>
      </c>
      <c r="F12" s="130">
        <v>264818.2</v>
      </c>
      <c r="G12" s="326">
        <f>E12/$E$14</f>
        <v>0.25941052735139281</v>
      </c>
      <c r="H12" s="326">
        <f t="shared" si="0"/>
        <v>-0.16360864075257736</v>
      </c>
      <c r="I12" s="332">
        <v>29381.7</v>
      </c>
      <c r="J12" s="130">
        <v>313683.8</v>
      </c>
      <c r="K12" s="326">
        <f>I12/$I$14</f>
        <v>0.27680034712410484</v>
      </c>
      <c r="L12" s="94"/>
      <c r="N12" s="94"/>
      <c r="O12" s="94"/>
      <c r="P12" s="94"/>
    </row>
    <row r="13" spans="1:16" ht="11.1" customHeight="1">
      <c r="A13" s="433"/>
      <c r="B13" s="433"/>
      <c r="C13" s="155" t="s">
        <v>93</v>
      </c>
      <c r="D13" s="332">
        <v>35</v>
      </c>
      <c r="E13" s="130">
        <v>1062.8389999999999</v>
      </c>
      <c r="F13" s="130">
        <v>11453.249629999998</v>
      </c>
      <c r="G13" s="326">
        <f>E13/$E$14</f>
        <v>1.1219373885215912E-2</v>
      </c>
      <c r="H13" s="326">
        <f t="shared" si="0"/>
        <v>9.9364278798811712E-2</v>
      </c>
      <c r="I13" s="332">
        <v>966.77599999999995</v>
      </c>
      <c r="J13" s="130">
        <v>10321.431750000003</v>
      </c>
      <c r="K13" s="326">
        <f>I13/$I$14</f>
        <v>9.1078437391728037E-3</v>
      </c>
      <c r="L13" s="94"/>
      <c r="N13" s="94"/>
      <c r="O13" s="94"/>
      <c r="P13" s="94"/>
    </row>
    <row r="14" spans="1:16" ht="11.1" customHeight="1">
      <c r="A14" s="434"/>
      <c r="B14" s="434"/>
      <c r="C14" s="337" t="s">
        <v>0</v>
      </c>
      <c r="D14" s="340">
        <v>260317</v>
      </c>
      <c r="E14" s="338">
        <v>94732.47</v>
      </c>
      <c r="F14" s="338">
        <v>1020926.8829399999</v>
      </c>
      <c r="G14" s="339">
        <f>SUM(G9:G13)</f>
        <v>1</v>
      </c>
      <c r="H14" s="339">
        <f>(E14-I14)/I14</f>
        <v>-0.10754038806727156</v>
      </c>
      <c r="I14" s="340">
        <v>106147.62699999999</v>
      </c>
      <c r="J14" s="338">
        <v>1133247.1300339999</v>
      </c>
      <c r="K14" s="339">
        <f>SUM(K9:K13)</f>
        <v>1</v>
      </c>
      <c r="L14" s="94"/>
    </row>
    <row r="15" spans="1:16" ht="11.1" customHeight="1">
      <c r="A15" s="432" t="str">
        <f>'3.1'!E5</f>
        <v>Květen</v>
      </c>
      <c r="B15" s="432"/>
      <c r="C15" s="165" t="s">
        <v>4</v>
      </c>
      <c r="D15" s="331">
        <v>190</v>
      </c>
      <c r="E15" s="327">
        <v>45600.21699999999</v>
      </c>
      <c r="F15" s="327">
        <v>489975.53608599998</v>
      </c>
      <c r="G15" s="328">
        <f>E15/$E$20</f>
        <v>0.75749342233882988</v>
      </c>
      <c r="H15" s="328">
        <f>(E15-I15)/I15</f>
        <v>-2.5512255863819827E-3</v>
      </c>
      <c r="I15" s="331">
        <v>45716.851000000002</v>
      </c>
      <c r="J15" s="327">
        <v>488156.26909099997</v>
      </c>
      <c r="K15" s="328">
        <f>I15/$I$20</f>
        <v>0.60021367082894672</v>
      </c>
      <c r="L15" s="94"/>
      <c r="M15" s="94"/>
    </row>
    <row r="16" spans="1:16" ht="11.1" customHeight="1">
      <c r="A16" s="433"/>
      <c r="B16" s="433"/>
      <c r="C16" s="155" t="s">
        <v>5</v>
      </c>
      <c r="D16" s="332">
        <v>633</v>
      </c>
      <c r="E16" s="130">
        <v>3886.5459999999998</v>
      </c>
      <c r="F16" s="130">
        <v>41760.226949999975</v>
      </c>
      <c r="G16" s="326">
        <f>E16/$E$20</f>
        <v>6.4561820629434524E-2</v>
      </c>
      <c r="H16" s="326">
        <f>(E16-I16)/I16</f>
        <v>-0.47192807491426492</v>
      </c>
      <c r="I16" s="332">
        <v>7359.88</v>
      </c>
      <c r="J16" s="130">
        <v>78588.339790000056</v>
      </c>
      <c r="K16" s="326">
        <f>I16/$I$20</f>
        <v>9.6627403135455425E-2</v>
      </c>
      <c r="L16" s="98"/>
      <c r="M16" s="94"/>
    </row>
    <row r="17" spans="1:20" ht="11.1" customHeight="1">
      <c r="A17" s="433"/>
      <c r="B17" s="433"/>
      <c r="C17" s="155" t="s">
        <v>6</v>
      </c>
      <c r="D17" s="332">
        <v>19421</v>
      </c>
      <c r="E17" s="130">
        <v>3240.895</v>
      </c>
      <c r="F17" s="130">
        <v>34823.600919999997</v>
      </c>
      <c r="G17" s="326">
        <f>E17/$E$20</f>
        <v>5.3836512334816358E-2</v>
      </c>
      <c r="H17" s="326">
        <f t="shared" ref="H17:H20" si="1">(E17-I17)/I17</f>
        <v>-0.45794134136518239</v>
      </c>
      <c r="I17" s="332">
        <v>5978.8639999999996</v>
      </c>
      <c r="J17" s="130">
        <v>63842.070809999997</v>
      </c>
      <c r="K17" s="326">
        <f>I17/$I$20</f>
        <v>7.8496130646160192E-2</v>
      </c>
      <c r="L17" s="94"/>
      <c r="M17" s="94"/>
      <c r="N17" s="94"/>
      <c r="O17" s="94"/>
    </row>
    <row r="18" spans="1:20" ht="11.1" customHeight="1">
      <c r="A18" s="433"/>
      <c r="B18" s="433"/>
      <c r="C18" s="155" t="s">
        <v>7</v>
      </c>
      <c r="D18" s="332">
        <v>239714</v>
      </c>
      <c r="E18" s="130">
        <v>6357.6</v>
      </c>
      <c r="F18" s="130">
        <v>68311.3</v>
      </c>
      <c r="G18" s="326">
        <f>E18/$E$20</f>
        <v>0.10561002772994142</v>
      </c>
      <c r="H18" s="326">
        <f t="shared" si="1"/>
        <v>-0.60462686567164181</v>
      </c>
      <c r="I18" s="332">
        <v>16080</v>
      </c>
      <c r="J18" s="130">
        <v>171700.3</v>
      </c>
      <c r="K18" s="326">
        <f>I18/$I$20</f>
        <v>0.21111331195863564</v>
      </c>
      <c r="L18" s="94"/>
      <c r="M18" s="94"/>
      <c r="N18" s="94"/>
      <c r="O18" s="94"/>
    </row>
    <row r="19" spans="1:20" ht="11.1" customHeight="1">
      <c r="A19" s="433"/>
      <c r="B19" s="433"/>
      <c r="C19" s="155" t="s">
        <v>93</v>
      </c>
      <c r="D19" s="332">
        <v>35</v>
      </c>
      <c r="E19" s="130">
        <v>1113.5709999999999</v>
      </c>
      <c r="F19" s="130">
        <v>11965.19522</v>
      </c>
      <c r="G19" s="326">
        <f>E19/$E$20</f>
        <v>1.8498216966977885E-2</v>
      </c>
      <c r="H19" s="326">
        <f t="shared" si="1"/>
        <v>7.9008209047781455E-2</v>
      </c>
      <c r="I19" s="332">
        <v>1032.0319999999999</v>
      </c>
      <c r="J19" s="130">
        <v>11019.937109999999</v>
      </c>
      <c r="K19" s="326">
        <f>I19/$I$20</f>
        <v>1.3549483430801906E-2</v>
      </c>
      <c r="L19" s="94"/>
      <c r="M19" s="94"/>
      <c r="N19" s="94"/>
      <c r="O19" s="94"/>
    </row>
    <row r="20" spans="1:20" ht="11.1" customHeight="1">
      <c r="A20" s="434"/>
      <c r="B20" s="434"/>
      <c r="C20" s="337" t="s">
        <v>0</v>
      </c>
      <c r="D20" s="340">
        <v>259993</v>
      </c>
      <c r="E20" s="338">
        <v>60198.828999999983</v>
      </c>
      <c r="F20" s="338">
        <v>646835.859176</v>
      </c>
      <c r="G20" s="339">
        <f>SUM(G15:G19)</f>
        <v>1</v>
      </c>
      <c r="H20" s="339">
        <f t="shared" si="1"/>
        <v>-0.20965334787179365</v>
      </c>
      <c r="I20" s="340">
        <v>76167.627000000008</v>
      </c>
      <c r="J20" s="338">
        <v>813306.91680100001</v>
      </c>
      <c r="K20" s="339">
        <f>SUM(K15:K19)</f>
        <v>1</v>
      </c>
      <c r="L20" s="94"/>
      <c r="M20" s="94"/>
      <c r="N20" s="94"/>
      <c r="O20" s="94"/>
    </row>
    <row r="21" spans="1:20" ht="11.1" customHeight="1">
      <c r="A21" s="432" t="str">
        <f>'3.1'!F5</f>
        <v>Červen</v>
      </c>
      <c r="B21" s="432"/>
      <c r="C21" s="165" t="s">
        <v>4</v>
      </c>
      <c r="D21" s="331">
        <v>190</v>
      </c>
      <c r="E21" s="327">
        <v>40996.383000000002</v>
      </c>
      <c r="F21" s="327">
        <v>444131.94329099997</v>
      </c>
      <c r="G21" s="328">
        <f>E21/$E$26</f>
        <v>0.80866368647149611</v>
      </c>
      <c r="H21" s="328">
        <f>(E21-I21)/I21</f>
        <v>3.4779247725846875E-2</v>
      </c>
      <c r="I21" s="331">
        <v>39618.481999999996</v>
      </c>
      <c r="J21" s="327">
        <v>423332.8776580001</v>
      </c>
      <c r="K21" s="328">
        <f>I21/$I$26</f>
        <v>0.74620863647729607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3"/>
      <c r="B22" s="433"/>
      <c r="C22" s="155" t="s">
        <v>5</v>
      </c>
      <c r="D22" s="332">
        <v>635</v>
      </c>
      <c r="E22" s="130">
        <v>2869.9409999999998</v>
      </c>
      <c r="F22" s="130">
        <v>31086.424520000015</v>
      </c>
      <c r="G22" s="326">
        <f>E22/$E$26</f>
        <v>5.6610288498272925E-2</v>
      </c>
      <c r="H22" s="326">
        <f t="shared" ref="H22:H26" si="2">(E22-I22)/I22</f>
        <v>-0.49646527144325675</v>
      </c>
      <c r="I22" s="332">
        <v>5699.5889999999999</v>
      </c>
      <c r="J22" s="130">
        <v>60901.991999999998</v>
      </c>
      <c r="K22" s="326">
        <f>I22/$I$26</f>
        <v>0.10735097160388417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3"/>
      <c r="B23" s="433"/>
      <c r="C23" s="155" t="s">
        <v>6</v>
      </c>
      <c r="D23" s="332">
        <v>19379</v>
      </c>
      <c r="E23" s="130">
        <v>1990.41</v>
      </c>
      <c r="F23" s="130">
        <v>21559.558059999999</v>
      </c>
      <c r="G23" s="326">
        <f>E23/$E$26</f>
        <v>3.9261324302432496E-2</v>
      </c>
      <c r="H23" s="326">
        <f t="shared" si="2"/>
        <v>0.1619385315188254</v>
      </c>
      <c r="I23" s="332">
        <v>1713.008</v>
      </c>
      <c r="J23" s="130">
        <v>18303.62729</v>
      </c>
      <c r="K23" s="326">
        <f>I23/$I$26</f>
        <v>3.2264269084178954E-2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3"/>
      <c r="B24" s="433"/>
      <c r="C24" s="155" t="s">
        <v>7</v>
      </c>
      <c r="D24" s="332">
        <v>239394</v>
      </c>
      <c r="E24" s="130">
        <v>3729.8</v>
      </c>
      <c r="F24" s="130">
        <v>40400.699999999997</v>
      </c>
      <c r="G24" s="326">
        <f>E24/$E$26</f>
        <v>7.3571217680383813E-2</v>
      </c>
      <c r="H24" s="326">
        <f t="shared" si="2"/>
        <v>-0.25247018739352639</v>
      </c>
      <c r="I24" s="332">
        <v>4989.5</v>
      </c>
      <c r="J24" s="130">
        <v>53314.5</v>
      </c>
      <c r="K24" s="326">
        <f>I24/$I$26</f>
        <v>9.397654336436892E-2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3"/>
      <c r="B25" s="433"/>
      <c r="C25" s="155" t="s">
        <v>93</v>
      </c>
      <c r="D25" s="332">
        <v>35</v>
      </c>
      <c r="E25" s="130">
        <v>1109.922</v>
      </c>
      <c r="F25" s="130">
        <v>12022.378460000002</v>
      </c>
      <c r="G25" s="326">
        <f>E25/$E$26</f>
        <v>2.1893483047414595E-2</v>
      </c>
      <c r="H25" s="326">
        <f t="shared" si="2"/>
        <v>3.4933801541693434E-2</v>
      </c>
      <c r="I25" s="332">
        <v>1072.4570000000001</v>
      </c>
      <c r="J25" s="130">
        <v>11459.58193</v>
      </c>
      <c r="K25" s="326">
        <f>I25/$I$26</f>
        <v>2.0199579470271772E-2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4"/>
      <c r="B26" s="434"/>
      <c r="C26" s="337" t="s">
        <v>0</v>
      </c>
      <c r="D26" s="340">
        <v>259633</v>
      </c>
      <c r="E26" s="338">
        <v>50696.456000000006</v>
      </c>
      <c r="F26" s="338">
        <v>549201.00433100003</v>
      </c>
      <c r="G26" s="339">
        <f>SUM(G21:G25)</f>
        <v>0.99999999999999978</v>
      </c>
      <c r="H26" s="339">
        <f t="shared" si="2"/>
        <v>-4.5139253291147159E-2</v>
      </c>
      <c r="I26" s="340">
        <v>53093.036</v>
      </c>
      <c r="J26" s="338">
        <v>567312.57887800003</v>
      </c>
      <c r="K26" s="339">
        <f>SUM(K21:K25)</f>
        <v>0.99999999999999989</v>
      </c>
    </row>
    <row r="27" spans="1:20" ht="11.1" customHeight="1">
      <c r="A27" s="501" t="str">
        <f>'3.1'!G5</f>
        <v>II. čtvrtletí</v>
      </c>
      <c r="B27" s="432"/>
      <c r="C27" s="165" t="s">
        <v>4</v>
      </c>
      <c r="D27" s="331">
        <f>D21</f>
        <v>190</v>
      </c>
      <c r="E27" s="327">
        <f>E9+E15+E21</f>
        <v>138183.72399999999</v>
      </c>
      <c r="F27" s="327">
        <f>F9+F15+F21</f>
        <v>1490095.6144169997</v>
      </c>
      <c r="G27" s="328">
        <f>E27/$E$32</f>
        <v>0.67200910694181337</v>
      </c>
      <c r="H27" s="328">
        <f>(E27-I27)/I27</f>
        <v>-1.5522030631073417E-2</v>
      </c>
      <c r="I27" s="331">
        <f>I9+I15+I21</f>
        <v>140362.43400000001</v>
      </c>
      <c r="J27" s="327">
        <f>J9+J15+J21</f>
        <v>1498965.4751830003</v>
      </c>
      <c r="K27" s="328">
        <f>I27/$I$32</f>
        <v>0.59625102412493625</v>
      </c>
    </row>
    <row r="28" spans="1:20" ht="11.1" customHeight="1">
      <c r="A28" s="433"/>
      <c r="B28" s="433"/>
      <c r="C28" s="155" t="s">
        <v>5</v>
      </c>
      <c r="D28" s="332">
        <f>D22</f>
        <v>635</v>
      </c>
      <c r="E28" s="130">
        <f t="shared" ref="E28:F31" si="3">E10+E16+E22</f>
        <v>13760.579999999998</v>
      </c>
      <c r="F28" s="130">
        <f t="shared" si="3"/>
        <v>148323.4453599999</v>
      </c>
      <c r="G28" s="326">
        <f>E28/$E$32</f>
        <v>6.6919857195347973E-2</v>
      </c>
      <c r="H28" s="326">
        <f t="shared" ref="H28:H31" si="4">(E28-I28)/I28</f>
        <v>-0.38894794637658076</v>
      </c>
      <c r="I28" s="332">
        <f t="shared" ref="I28:J28" si="5">I10+I16+I22</f>
        <v>22519.488999999998</v>
      </c>
      <c r="J28" s="130">
        <f t="shared" si="5"/>
        <v>240487.09466000009</v>
      </c>
      <c r="K28" s="326">
        <f>I28/$I$32</f>
        <v>9.5661410224763085E-2</v>
      </c>
    </row>
    <row r="29" spans="1:20" ht="11.1" customHeight="1">
      <c r="A29" s="433"/>
      <c r="B29" s="433"/>
      <c r="C29" s="155" t="s">
        <v>6</v>
      </c>
      <c r="D29" s="332">
        <f>D23</f>
        <v>19379</v>
      </c>
      <c r="E29" s="130">
        <f t="shared" si="3"/>
        <v>15735.119000000001</v>
      </c>
      <c r="F29" s="130">
        <f t="shared" si="3"/>
        <v>169573.66336000001</v>
      </c>
      <c r="G29" s="326">
        <f>E29/$E$32</f>
        <v>7.6522349816054755E-2</v>
      </c>
      <c r="H29" s="326">
        <f t="shared" si="4"/>
        <v>-0.17200588594910671</v>
      </c>
      <c r="I29" s="332">
        <f t="shared" ref="I29:J29" si="6">I11+I17+I23</f>
        <v>19003.902000000002</v>
      </c>
      <c r="J29" s="130">
        <f t="shared" si="6"/>
        <v>202914.50508</v>
      </c>
      <c r="K29" s="326">
        <f>I29/$I$32</f>
        <v>8.072741193608772E-2</v>
      </c>
    </row>
    <row r="30" spans="1:20" ht="11.1" customHeight="1">
      <c r="A30" s="433"/>
      <c r="B30" s="433"/>
      <c r="C30" s="155" t="s">
        <v>7</v>
      </c>
      <c r="D30" s="332">
        <f>D24</f>
        <v>239394</v>
      </c>
      <c r="E30" s="130">
        <f t="shared" si="3"/>
        <v>34662</v>
      </c>
      <c r="F30" s="130">
        <f t="shared" si="3"/>
        <v>373530.2</v>
      </c>
      <c r="G30" s="326">
        <f>E30/$E$32</f>
        <v>0.16856673847360734</v>
      </c>
      <c r="H30" s="326">
        <f t="shared" si="4"/>
        <v>-0.31295985031079532</v>
      </c>
      <c r="I30" s="332">
        <f t="shared" ref="I30:J30" si="7">I12+I18+I24</f>
        <v>50451.199999999997</v>
      </c>
      <c r="J30" s="130">
        <f t="shared" si="7"/>
        <v>538698.6</v>
      </c>
      <c r="K30" s="326">
        <f>I30/$I$32</f>
        <v>0.21431360807217106</v>
      </c>
    </row>
    <row r="31" spans="1:20" ht="11.1" customHeight="1">
      <c r="A31" s="433"/>
      <c r="B31" s="433"/>
      <c r="C31" s="155" t="s">
        <v>93</v>
      </c>
      <c r="D31" s="332">
        <f>D25</f>
        <v>35</v>
      </c>
      <c r="E31" s="130">
        <f>E13+E19+E25</f>
        <v>3286.3319999999999</v>
      </c>
      <c r="F31" s="130">
        <f t="shared" si="3"/>
        <v>35440.82331</v>
      </c>
      <c r="G31" s="326">
        <f>E31/$E$32</f>
        <v>1.5981947573176589E-2</v>
      </c>
      <c r="H31" s="326">
        <f t="shared" si="4"/>
        <v>7.0025543220789979E-2</v>
      </c>
      <c r="I31" s="332">
        <f>I13+I19+I25</f>
        <v>3071.2650000000003</v>
      </c>
      <c r="J31" s="130">
        <f t="shared" ref="J31" si="8">J13+J19+J25</f>
        <v>32800.950790000003</v>
      </c>
      <c r="K31" s="326">
        <f>I31/$I$32</f>
        <v>1.3046545642041748E-2</v>
      </c>
    </row>
    <row r="32" spans="1:20" ht="11.1" customHeight="1">
      <c r="A32" s="434"/>
      <c r="B32" s="434"/>
      <c r="C32" s="337" t="s">
        <v>0</v>
      </c>
      <c r="D32" s="340">
        <f>SUM(D27:D31)</f>
        <v>259633</v>
      </c>
      <c r="E32" s="338">
        <f>SUM(E27:E31)</f>
        <v>205627.75499999998</v>
      </c>
      <c r="F32" s="338">
        <f>SUM(F27:F31)</f>
        <v>2216963.7464469997</v>
      </c>
      <c r="G32" s="339">
        <f>SUM(G27:G31)</f>
        <v>1</v>
      </c>
      <c r="H32" s="339">
        <f>(E32-I32)/I32</f>
        <v>-0.12650588898122517</v>
      </c>
      <c r="I32" s="340">
        <f>SUM(I27:I31)</f>
        <v>235408.29000000004</v>
      </c>
      <c r="J32" s="338">
        <f>SUM(J27:J31)</f>
        <v>2513866.6257130005</v>
      </c>
      <c r="K32" s="339">
        <f>SUM(K27:K31)</f>
        <v>0.99999999999999978</v>
      </c>
    </row>
    <row r="33" spans="1:11" ht="9.9499999999999993" customHeight="1">
      <c r="A33" s="385"/>
      <c r="B33" s="386"/>
      <c r="C33" s="387"/>
      <c r="D33" s="388"/>
      <c r="E33" s="388"/>
      <c r="F33" s="388"/>
      <c r="G33" s="389"/>
      <c r="H33" s="390"/>
      <c r="I33" s="388"/>
      <c r="J33" s="388"/>
      <c r="K33" s="389"/>
    </row>
    <row r="34" spans="1:11" ht="12.95" customHeight="1">
      <c r="A34" s="526" t="s">
        <v>45</v>
      </c>
      <c r="B34" s="526"/>
      <c r="C34" s="526"/>
      <c r="D34" s="491">
        <f>D4</f>
        <v>2022</v>
      </c>
      <c r="E34" s="380"/>
      <c r="F34" s="369"/>
      <c r="G34" s="369"/>
      <c r="H34" s="369"/>
      <c r="I34" s="491">
        <f>D34-1</f>
        <v>2021</v>
      </c>
      <c r="J34" s="492"/>
      <c r="K34" s="492"/>
    </row>
    <row r="35" spans="1:11" ht="24.95" customHeight="1">
      <c r="A35" s="323"/>
      <c r="B35" s="291"/>
      <c r="C35" s="151"/>
      <c r="D35" s="493"/>
      <c r="E35" s="382"/>
      <c r="F35" s="383"/>
      <c r="G35" s="383"/>
      <c r="H35" s="384"/>
      <c r="I35" s="493"/>
      <c r="J35" s="494"/>
      <c r="K35" s="494"/>
    </row>
    <row r="36" spans="1:11" ht="24.95" customHeight="1">
      <c r="A36" s="131"/>
      <c r="B36" s="132"/>
      <c r="C36" s="379"/>
      <c r="D36" s="391" t="s">
        <v>160</v>
      </c>
      <c r="E36" s="489" t="s">
        <v>60</v>
      </c>
      <c r="F36" s="489"/>
      <c r="G36" s="490" t="s">
        <v>33</v>
      </c>
      <c r="H36" s="490" t="s">
        <v>274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25"/>
      <c r="C37" s="325"/>
      <c r="D37" s="392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27" t="s">
        <v>159</v>
      </c>
      <c r="B38" s="527"/>
      <c r="C38" s="393" t="s">
        <v>185</v>
      </c>
      <c r="D38" s="370"/>
      <c r="E38" s="222" t="s">
        <v>265</v>
      </c>
      <c r="F38" s="222" t="s">
        <v>266</v>
      </c>
      <c r="G38" s="477"/>
      <c r="H38" s="477"/>
      <c r="I38" s="224" t="s">
        <v>265</v>
      </c>
      <c r="J38" s="222" t="s">
        <v>266</v>
      </c>
      <c r="K38" s="477"/>
    </row>
    <row r="39" spans="1:11" ht="11.1" customHeight="1">
      <c r="A39" s="432" t="str">
        <f>'3.1'!D5</f>
        <v>Duben</v>
      </c>
      <c r="B39" s="432"/>
      <c r="C39" s="165" t="s">
        <v>4</v>
      </c>
      <c r="D39" s="331">
        <v>127</v>
      </c>
      <c r="E39" s="327">
        <v>43024.688000000009</v>
      </c>
      <c r="F39" s="327">
        <v>463758.4480400001</v>
      </c>
      <c r="G39" s="328">
        <f>E39/$E$44</f>
        <v>0.6550114033707003</v>
      </c>
      <c r="H39" s="328">
        <f>(E39-I39)/I39</f>
        <v>-0.64852603740038473</v>
      </c>
      <c r="I39" s="331">
        <v>122412.163</v>
      </c>
      <c r="J39" s="327">
        <v>1306827.11815</v>
      </c>
      <c r="K39" s="328">
        <f>I39/$I$44</f>
        <v>0.82382924465016116</v>
      </c>
    </row>
    <row r="40" spans="1:11" ht="11.1" customHeight="1">
      <c r="A40" s="433"/>
      <c r="B40" s="433"/>
      <c r="C40" s="155" t="s">
        <v>5</v>
      </c>
      <c r="D40" s="332">
        <v>314</v>
      </c>
      <c r="E40" s="130">
        <v>3462.3199999999997</v>
      </c>
      <c r="F40" s="130">
        <v>37309.992729999991</v>
      </c>
      <c r="G40" s="326">
        <f t="shared" ref="G40" si="9">E40/$E$44</f>
        <v>5.2710645620915188E-2</v>
      </c>
      <c r="H40" s="326">
        <f>(E40-I40)/I40</f>
        <v>-0.12593567612421888</v>
      </c>
      <c r="I40" s="332">
        <v>3961.1730000000002</v>
      </c>
      <c r="J40" s="130">
        <v>42290.473230000018</v>
      </c>
      <c r="K40" s="326">
        <f t="shared" ref="K40:K43" si="10">I40/$I$44</f>
        <v>2.665854503787024E-2</v>
      </c>
    </row>
    <row r="41" spans="1:11" ht="11.1" customHeight="1">
      <c r="A41" s="433"/>
      <c r="B41" s="433"/>
      <c r="C41" s="155" t="s">
        <v>6</v>
      </c>
      <c r="D41" s="332">
        <v>13073</v>
      </c>
      <c r="E41" s="130">
        <v>6155.7039999999997</v>
      </c>
      <c r="F41" s="130">
        <v>66330.341180000003</v>
      </c>
      <c r="G41" s="326">
        <f>E41/$E$44</f>
        <v>9.3714946074091976E-2</v>
      </c>
      <c r="H41" s="326">
        <f t="shared" ref="H41:H43" si="11">(E41-I41)/I41</f>
        <v>-8.2071742614616833E-2</v>
      </c>
      <c r="I41" s="332">
        <v>6706.0839999999998</v>
      </c>
      <c r="J41" s="130">
        <v>71574.781569999992</v>
      </c>
      <c r="K41" s="326">
        <f t="shared" si="10"/>
        <v>4.513169264299767E-2</v>
      </c>
    </row>
    <row r="42" spans="1:11" ht="11.1" customHeight="1">
      <c r="A42" s="433"/>
      <c r="B42" s="433"/>
      <c r="C42" s="155" t="s">
        <v>7</v>
      </c>
      <c r="D42" s="332">
        <v>208079</v>
      </c>
      <c r="E42" s="130">
        <v>12628.4</v>
      </c>
      <c r="F42" s="130">
        <v>136084.4</v>
      </c>
      <c r="G42" s="326">
        <f>E42/$E$44</f>
        <v>0.192255804535446</v>
      </c>
      <c r="H42" s="326">
        <f t="shared" si="11"/>
        <v>-0.16361011212885884</v>
      </c>
      <c r="I42" s="332">
        <v>15098.7</v>
      </c>
      <c r="J42" s="130">
        <v>161195.4</v>
      </c>
      <c r="K42" s="326">
        <f t="shared" si="10"/>
        <v>0.10161368209954258</v>
      </c>
    </row>
    <row r="43" spans="1:11" ht="11.1" customHeight="1">
      <c r="A43" s="433"/>
      <c r="B43" s="433"/>
      <c r="C43" s="155" t="s">
        <v>93</v>
      </c>
      <c r="D43" s="332">
        <v>19</v>
      </c>
      <c r="E43" s="130">
        <v>414.291</v>
      </c>
      <c r="F43" s="130">
        <v>4464.4305599999998</v>
      </c>
      <c r="G43" s="326">
        <f>E43/$E$44</f>
        <v>6.3072003988466048E-3</v>
      </c>
      <c r="H43" s="326">
        <f t="shared" si="11"/>
        <v>7.7081742159261302E-3</v>
      </c>
      <c r="I43" s="332">
        <v>411.12200000000001</v>
      </c>
      <c r="J43" s="130">
        <v>4389.1935600000006</v>
      </c>
      <c r="K43" s="326">
        <f t="shared" si="10"/>
        <v>2.7668355694283708E-3</v>
      </c>
    </row>
    <row r="44" spans="1:11" ht="11.1" customHeight="1">
      <c r="A44" s="434"/>
      <c r="B44" s="434"/>
      <c r="C44" s="337" t="s">
        <v>0</v>
      </c>
      <c r="D44" s="340">
        <v>221612</v>
      </c>
      <c r="E44" s="338">
        <v>65685.403000000006</v>
      </c>
      <c r="F44" s="338">
        <v>707947.61251000012</v>
      </c>
      <c r="G44" s="339">
        <f>SUM(G39:G43)</f>
        <v>1</v>
      </c>
      <c r="H44" s="339">
        <f>(E44-I44)/I44</f>
        <v>-0.55793971275524779</v>
      </c>
      <c r="I44" s="340">
        <v>148589.242</v>
      </c>
      <c r="J44" s="338">
        <v>1586276.9665100002</v>
      </c>
      <c r="K44" s="339">
        <f>SUM(K39:K43)</f>
        <v>1</v>
      </c>
    </row>
    <row r="45" spans="1:11" ht="11.1" customHeight="1">
      <c r="A45" s="432" t="str">
        <f>'3.1'!E5</f>
        <v>Květen</v>
      </c>
      <c r="B45" s="432"/>
      <c r="C45" s="165" t="s">
        <v>4</v>
      </c>
      <c r="D45" s="331">
        <v>127</v>
      </c>
      <c r="E45" s="327">
        <v>67994.440999999992</v>
      </c>
      <c r="F45" s="327">
        <v>731070.59909000015</v>
      </c>
      <c r="G45" s="328">
        <f>E45/$E$50</f>
        <v>0.90061748999106983</v>
      </c>
      <c r="H45" s="328">
        <f>(E45-I45)/I45</f>
        <v>0.23540844715994061</v>
      </c>
      <c r="I45" s="331">
        <v>55038.025000000001</v>
      </c>
      <c r="J45" s="327">
        <v>587695.34519000002</v>
      </c>
      <c r="K45" s="328">
        <f>I45/$I$50</f>
        <v>0.7853229992875479</v>
      </c>
    </row>
    <row r="46" spans="1:11" ht="11.1" customHeight="1">
      <c r="A46" s="433"/>
      <c r="B46" s="433"/>
      <c r="C46" s="155" t="s">
        <v>5</v>
      </c>
      <c r="D46" s="332">
        <v>314</v>
      </c>
      <c r="E46" s="130">
        <v>1858.7439999999997</v>
      </c>
      <c r="F46" s="130">
        <v>19972.328430000012</v>
      </c>
      <c r="G46" s="326">
        <f t="shared" ref="G46:G49" si="12">E46/$E$50</f>
        <v>2.4619914969459943E-2</v>
      </c>
      <c r="H46" s="326">
        <f>(E46-I46)/I46</f>
        <v>-0.32929967654729764</v>
      </c>
      <c r="I46" s="332">
        <v>2771.348</v>
      </c>
      <c r="J46" s="130">
        <v>29592.423110000003</v>
      </c>
      <c r="K46" s="326">
        <f t="shared" ref="K46:K49" si="13">I46/$I$50</f>
        <v>3.9543630488731149E-2</v>
      </c>
    </row>
    <row r="47" spans="1:11" ht="11.1" customHeight="1">
      <c r="A47" s="433"/>
      <c r="B47" s="433"/>
      <c r="C47" s="155" t="s">
        <v>6</v>
      </c>
      <c r="D47" s="332">
        <v>13067</v>
      </c>
      <c r="E47" s="130">
        <v>1931.1020000000001</v>
      </c>
      <c r="F47" s="130">
        <v>20745.938409999999</v>
      </c>
      <c r="G47" s="326">
        <f t="shared" si="12"/>
        <v>2.5578329795471592E-2</v>
      </c>
      <c r="H47" s="326">
        <f t="shared" ref="H47:H49" si="14">(E47-I47)/I47</f>
        <v>-0.45839085230921972</v>
      </c>
      <c r="I47" s="332">
        <v>3565.49</v>
      </c>
      <c r="J47" s="130">
        <v>38057.361539999998</v>
      </c>
      <c r="K47" s="326">
        <f t="shared" si="13"/>
        <v>5.0875032320468604E-2</v>
      </c>
    </row>
    <row r="48" spans="1:11" ht="11.1" customHeight="1">
      <c r="A48" s="433"/>
      <c r="B48" s="433"/>
      <c r="C48" s="155" t="s">
        <v>7</v>
      </c>
      <c r="D48" s="332">
        <v>207804</v>
      </c>
      <c r="E48" s="130">
        <v>3267</v>
      </c>
      <c r="F48" s="130">
        <v>35103.699999999997</v>
      </c>
      <c r="G48" s="326">
        <f t="shared" si="12"/>
        <v>4.3272910204539008E-2</v>
      </c>
      <c r="H48" s="326">
        <f t="shared" si="14"/>
        <v>-0.60463258785942497</v>
      </c>
      <c r="I48" s="332">
        <v>8263.2000000000007</v>
      </c>
      <c r="J48" s="130">
        <v>88233.2</v>
      </c>
      <c r="K48" s="326">
        <f t="shared" si="13"/>
        <v>0.11790541189864401</v>
      </c>
    </row>
    <row r="49" spans="1:11" ht="11.1" customHeight="1">
      <c r="A49" s="433"/>
      <c r="B49" s="433"/>
      <c r="C49" s="155" t="s">
        <v>93</v>
      </c>
      <c r="D49" s="332">
        <v>19</v>
      </c>
      <c r="E49" s="130">
        <v>446.29300000000001</v>
      </c>
      <c r="F49" s="130">
        <v>4795.3726799999995</v>
      </c>
      <c r="G49" s="326">
        <f t="shared" si="12"/>
        <v>5.9113550394595425E-3</v>
      </c>
      <c r="H49" s="326">
        <f t="shared" si="14"/>
        <v>2.378524551134967E-3</v>
      </c>
      <c r="I49" s="332">
        <v>445.23399999999998</v>
      </c>
      <c r="J49" s="130">
        <v>4754.1615299999994</v>
      </c>
      <c r="K49" s="326">
        <f t="shared" si="13"/>
        <v>6.3529260046084881E-3</v>
      </c>
    </row>
    <row r="50" spans="1:11" ht="11.1" customHeight="1">
      <c r="A50" s="434"/>
      <c r="B50" s="434"/>
      <c r="C50" s="337" t="s">
        <v>0</v>
      </c>
      <c r="D50" s="340">
        <v>221331</v>
      </c>
      <c r="E50" s="338">
        <v>75497.58</v>
      </c>
      <c r="F50" s="338">
        <v>811687.93861000007</v>
      </c>
      <c r="G50" s="339">
        <f>SUM(G45:G49)</f>
        <v>0.99999999999999989</v>
      </c>
      <c r="H50" s="339">
        <f t="shared" ref="H50" si="15">(E50-I50)/I50</f>
        <v>7.7254969896750306E-2</v>
      </c>
      <c r="I50" s="340">
        <v>70083.296999999991</v>
      </c>
      <c r="J50" s="338">
        <v>748332.49136999995</v>
      </c>
      <c r="K50" s="339">
        <f>SUM(K45:K49)</f>
        <v>1.0000000000000002</v>
      </c>
    </row>
    <row r="51" spans="1:11" ht="11.1" customHeight="1">
      <c r="A51" s="432" t="str">
        <f>'3.1'!F5</f>
        <v>Červen</v>
      </c>
      <c r="B51" s="432"/>
      <c r="C51" s="165" t="s">
        <v>4</v>
      </c>
      <c r="D51" s="331">
        <v>127</v>
      </c>
      <c r="E51" s="327">
        <v>79296.77</v>
      </c>
      <c r="F51" s="327">
        <v>863455.44128999987</v>
      </c>
      <c r="G51" s="328">
        <f>E51/$E$56</f>
        <v>0.94024212019219233</v>
      </c>
      <c r="H51" s="328">
        <f>(E51-I51)/I51</f>
        <v>-0.16434935413587512</v>
      </c>
      <c r="I51" s="331">
        <v>94892.25</v>
      </c>
      <c r="J51" s="327">
        <v>1013546.5337999999</v>
      </c>
      <c r="K51" s="328">
        <f>I51/$I$56</f>
        <v>0.94324220114051183</v>
      </c>
    </row>
    <row r="52" spans="1:11" ht="11.1" customHeight="1">
      <c r="A52" s="433"/>
      <c r="B52" s="433"/>
      <c r="C52" s="155" t="s">
        <v>5</v>
      </c>
      <c r="D52" s="332">
        <v>314</v>
      </c>
      <c r="E52" s="130">
        <v>1457.307</v>
      </c>
      <c r="F52" s="130">
        <v>15785.226049999997</v>
      </c>
      <c r="G52" s="326">
        <f t="shared" ref="G52:G55" si="16">E52/$E$56</f>
        <v>1.7279662506441602E-2</v>
      </c>
      <c r="H52" s="326">
        <f t="shared" ref="H52:H55" si="17">(E52-I52)/I52</f>
        <v>-9.0451376861388752E-2</v>
      </c>
      <c r="I52" s="332">
        <v>1602.2309999999998</v>
      </c>
      <c r="J52" s="130">
        <v>17120.553419999997</v>
      </c>
      <c r="K52" s="326">
        <f t="shared" ref="K52:K55" si="18">I52/$I$56</f>
        <v>1.592639962879543E-2</v>
      </c>
    </row>
    <row r="53" spans="1:11" ht="11.1" customHeight="1">
      <c r="A53" s="433"/>
      <c r="B53" s="433"/>
      <c r="C53" s="155" t="s">
        <v>6</v>
      </c>
      <c r="D53" s="332">
        <v>13037</v>
      </c>
      <c r="E53" s="130">
        <v>1234.4179999999999</v>
      </c>
      <c r="F53" s="130">
        <v>13358.76649</v>
      </c>
      <c r="G53" s="326">
        <f t="shared" si="16"/>
        <v>1.4636810522337866E-2</v>
      </c>
      <c r="H53" s="326">
        <f t="shared" si="17"/>
        <v>0.12451160888263746</v>
      </c>
      <c r="I53" s="332">
        <v>1097.7370000000001</v>
      </c>
      <c r="J53" s="130">
        <v>11713.82177</v>
      </c>
      <c r="K53" s="326">
        <f t="shared" si="18"/>
        <v>1.0911658898944666E-2</v>
      </c>
    </row>
    <row r="54" spans="1:11" ht="11.1" customHeight="1">
      <c r="A54" s="433"/>
      <c r="B54" s="433"/>
      <c r="C54" s="155" t="s">
        <v>7</v>
      </c>
      <c r="D54" s="332">
        <v>207526</v>
      </c>
      <c r="E54" s="130">
        <v>1916.7</v>
      </c>
      <c r="F54" s="130">
        <v>20761.099999999999</v>
      </c>
      <c r="G54" s="326">
        <f t="shared" si="16"/>
        <v>2.2726803018236114E-2</v>
      </c>
      <c r="H54" s="326">
        <f t="shared" si="17"/>
        <v>-0.25245709828393131</v>
      </c>
      <c r="I54" s="332">
        <v>2564</v>
      </c>
      <c r="J54" s="130">
        <v>27397.200000000001</v>
      </c>
      <c r="K54" s="326">
        <f t="shared" si="18"/>
        <v>2.5486517642107468E-2</v>
      </c>
    </row>
    <row r="55" spans="1:11" ht="11.1" customHeight="1">
      <c r="A55" s="433"/>
      <c r="B55" s="433"/>
      <c r="C55" s="155" t="s">
        <v>93</v>
      </c>
      <c r="D55" s="332">
        <v>19</v>
      </c>
      <c r="E55" s="130">
        <v>431.34800000000001</v>
      </c>
      <c r="F55" s="130">
        <v>4672.2505000000001</v>
      </c>
      <c r="G55" s="326">
        <f t="shared" si="16"/>
        <v>5.1146037607920445E-3</v>
      </c>
      <c r="H55" s="326">
        <f t="shared" si="17"/>
        <v>-3.2834669680173643E-2</v>
      </c>
      <c r="I55" s="332">
        <v>445.99200000000002</v>
      </c>
      <c r="J55" s="130">
        <v>4765.5849799999996</v>
      </c>
      <c r="K55" s="326">
        <f t="shared" si="18"/>
        <v>4.4332226896407149E-3</v>
      </c>
    </row>
    <row r="56" spans="1:11" ht="11.1" customHeight="1">
      <c r="A56" s="434"/>
      <c r="B56" s="434"/>
      <c r="C56" s="337" t="s">
        <v>0</v>
      </c>
      <c r="D56" s="340">
        <v>221023</v>
      </c>
      <c r="E56" s="338">
        <v>84336.543000000005</v>
      </c>
      <c r="F56" s="338">
        <v>918032.78432999982</v>
      </c>
      <c r="G56" s="339">
        <f>SUM(G51:G55)</f>
        <v>1</v>
      </c>
      <c r="H56" s="339">
        <f t="shared" ref="H56" si="19">(E56-I56)/I56</f>
        <v>-0.16168299881284903</v>
      </c>
      <c r="I56" s="340">
        <v>100602.20999999999</v>
      </c>
      <c r="J56" s="338">
        <v>1074543.6939699999</v>
      </c>
      <c r="K56" s="339">
        <f>SUM(K51:K55)</f>
        <v>1</v>
      </c>
    </row>
    <row r="57" spans="1:11" ht="11.1" customHeight="1">
      <c r="A57" s="501" t="str">
        <f>'3.1'!G5</f>
        <v>II. čtvrtletí</v>
      </c>
      <c r="B57" s="432"/>
      <c r="C57" s="165" t="s">
        <v>4</v>
      </c>
      <c r="D57" s="331">
        <f>D51</f>
        <v>127</v>
      </c>
      <c r="E57" s="327">
        <f>E39+E45+E51</f>
        <v>190315.899</v>
      </c>
      <c r="F57" s="327">
        <f>F39+F45+F51</f>
        <v>2058284.4884200003</v>
      </c>
      <c r="G57" s="328">
        <f>E57/$E$62</f>
        <v>0.84389987144616474</v>
      </c>
      <c r="H57" s="328">
        <f>(E57-I57)/I57</f>
        <v>-0.30118897224530233</v>
      </c>
      <c r="I57" s="331">
        <f>I39+I45+I51</f>
        <v>272342.43799999997</v>
      </c>
      <c r="J57" s="327">
        <f>J39+J45+J51</f>
        <v>2908068.9971399996</v>
      </c>
      <c r="K57" s="328">
        <f>I57/$I$62</f>
        <v>0.85300337359281742</v>
      </c>
    </row>
    <row r="58" spans="1:11" ht="11.1" customHeight="1">
      <c r="A58" s="433"/>
      <c r="B58" s="433"/>
      <c r="C58" s="155" t="s">
        <v>5</v>
      </c>
      <c r="D58" s="332">
        <f>D52</f>
        <v>314</v>
      </c>
      <c r="E58" s="130">
        <f t="shared" ref="E58:F59" si="20">E40+E46+E52</f>
        <v>6778.3709999999992</v>
      </c>
      <c r="F58" s="130">
        <f t="shared" si="20"/>
        <v>73067.547210000004</v>
      </c>
      <c r="G58" s="326">
        <f t="shared" ref="G58:G61" si="21">E58/$E$62</f>
        <v>3.0056692297233716E-2</v>
      </c>
      <c r="H58" s="326">
        <f t="shared" ref="H58:H61" si="22">(E58-I58)/I58</f>
        <v>-0.18673393041568617</v>
      </c>
      <c r="I58" s="332">
        <f t="shared" ref="I58:J58" si="23">I40+I46+I52</f>
        <v>8334.7520000000004</v>
      </c>
      <c r="J58" s="130">
        <f t="shared" si="23"/>
        <v>89003.449760000018</v>
      </c>
      <c r="K58" s="326">
        <f t="shared" ref="K58:K61" si="24">I58/$I$62</f>
        <v>2.6105265217826547E-2</v>
      </c>
    </row>
    <row r="59" spans="1:11" ht="11.1" customHeight="1">
      <c r="A59" s="433"/>
      <c r="B59" s="433"/>
      <c r="C59" s="155" t="s">
        <v>6</v>
      </c>
      <c r="D59" s="332">
        <f>D53</f>
        <v>13037</v>
      </c>
      <c r="E59" s="130">
        <f>E41+E47+E53</f>
        <v>9321.2240000000002</v>
      </c>
      <c r="F59" s="130">
        <f t="shared" si="20"/>
        <v>100435.04608</v>
      </c>
      <c r="G59" s="326">
        <f t="shared" si="21"/>
        <v>4.1332225928853716E-2</v>
      </c>
      <c r="H59" s="326">
        <f t="shared" si="22"/>
        <v>-0.18014169900005383</v>
      </c>
      <c r="I59" s="332">
        <f>I41+I47+I53</f>
        <v>11369.311000000002</v>
      </c>
      <c r="J59" s="130">
        <f t="shared" ref="J59" si="25">J41+J47+J53</f>
        <v>121345.96487999998</v>
      </c>
      <c r="K59" s="326">
        <f t="shared" si="24"/>
        <v>3.5609803266966167E-2</v>
      </c>
    </row>
    <row r="60" spans="1:11" ht="11.1" customHeight="1">
      <c r="A60" s="433"/>
      <c r="B60" s="433"/>
      <c r="C60" s="155" t="s">
        <v>7</v>
      </c>
      <c r="D60" s="332">
        <f>D54</f>
        <v>207526</v>
      </c>
      <c r="E60" s="130">
        <f t="shared" ref="E60:F61" si="26">E42+E48+E54</f>
        <v>17812.099999999999</v>
      </c>
      <c r="F60" s="130">
        <f t="shared" si="26"/>
        <v>191949.19999999998</v>
      </c>
      <c r="G60" s="326">
        <f t="shared" si="21"/>
        <v>7.8982517904015101E-2</v>
      </c>
      <c r="H60" s="326">
        <f t="shared" si="22"/>
        <v>-0.31296117010402735</v>
      </c>
      <c r="I60" s="332">
        <f t="shared" ref="I60:J60" si="27">I42+I48+I54</f>
        <v>25925.9</v>
      </c>
      <c r="J60" s="130">
        <f t="shared" si="27"/>
        <v>276825.8</v>
      </c>
      <c r="K60" s="326">
        <f t="shared" si="24"/>
        <v>8.1202475551863967E-2</v>
      </c>
    </row>
    <row r="61" spans="1:11" ht="11.1" customHeight="1">
      <c r="A61" s="433"/>
      <c r="B61" s="433"/>
      <c r="C61" s="155" t="s">
        <v>93</v>
      </c>
      <c r="D61" s="332">
        <f>D55</f>
        <v>19</v>
      </c>
      <c r="E61" s="130">
        <f>E43+E49+E55</f>
        <v>1291.932</v>
      </c>
      <c r="F61" s="130">
        <f t="shared" si="26"/>
        <v>13932.053739999999</v>
      </c>
      <c r="G61" s="326">
        <f t="shared" si="21"/>
        <v>5.7286924237327456E-3</v>
      </c>
      <c r="H61" s="326">
        <f t="shared" si="22"/>
        <v>-7.9978623225128304E-3</v>
      </c>
      <c r="I61" s="332">
        <f>I43+I49+I55</f>
        <v>1302.348</v>
      </c>
      <c r="J61" s="130">
        <f t="shared" ref="J61" si="28">J43+J49+J55</f>
        <v>13908.940070000001</v>
      </c>
      <c r="K61" s="326">
        <f t="shared" si="24"/>
        <v>4.0790823705259575E-3</v>
      </c>
    </row>
    <row r="62" spans="1:11" ht="11.1" customHeight="1">
      <c r="A62" s="434"/>
      <c r="B62" s="434"/>
      <c r="C62" s="337" t="s">
        <v>0</v>
      </c>
      <c r="D62" s="340">
        <f>SUM(D57:D61)</f>
        <v>221023</v>
      </c>
      <c r="E62" s="338">
        <f>SUM(E57:E61)</f>
        <v>225519.52600000001</v>
      </c>
      <c r="F62" s="338">
        <f>SUM(F57:F61)</f>
        <v>2437668.3354500006</v>
      </c>
      <c r="G62" s="339">
        <f>SUM(G57:G61)</f>
        <v>1</v>
      </c>
      <c r="H62" s="339">
        <f>(E62-I62)/I62</f>
        <v>-0.29365060435769053</v>
      </c>
      <c r="I62" s="340">
        <f>SUM(I57:I61)</f>
        <v>319274.74899999995</v>
      </c>
      <c r="J62" s="338">
        <f>SUM(J57:J61)</f>
        <v>3409153.1518499996</v>
      </c>
      <c r="K62" s="339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34" zoomScaleNormal="100" zoomScaleSheetLayoutView="100" workbookViewId="0">
      <selection activeCell="E1" sqref="E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5" t="s">
        <v>313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25"/>
      <c r="B3" s="525"/>
      <c r="C3" s="525"/>
      <c r="D3" s="319"/>
      <c r="E3" s="319"/>
      <c r="F3" s="320"/>
      <c r="G3" s="321"/>
      <c r="H3" s="321"/>
      <c r="I3" s="321"/>
      <c r="J3" s="76"/>
      <c r="K3" s="76"/>
    </row>
    <row r="4" spans="1:16" ht="12.95" customHeight="1">
      <c r="A4" s="497" t="s">
        <v>46</v>
      </c>
      <c r="B4" s="497"/>
      <c r="C4" s="497"/>
      <c r="D4" s="491">
        <f>'3.1'!A4</f>
        <v>2022</v>
      </c>
      <c r="E4" s="380"/>
      <c r="F4" s="369"/>
      <c r="G4" s="369"/>
      <c r="H4" s="369"/>
      <c r="I4" s="491">
        <f>D4-1</f>
        <v>2021</v>
      </c>
      <c r="J4" s="492"/>
      <c r="K4" s="492"/>
    </row>
    <row r="5" spans="1:16" ht="24.95" customHeight="1">
      <c r="A5" s="381"/>
      <c r="B5" s="381"/>
      <c r="C5" s="381"/>
      <c r="D5" s="493"/>
      <c r="E5" s="382"/>
      <c r="F5" s="383"/>
      <c r="G5" s="383"/>
      <c r="H5" s="384"/>
      <c r="I5" s="493"/>
      <c r="J5" s="494"/>
      <c r="K5" s="494"/>
    </row>
    <row r="6" spans="1:16" ht="24.95" customHeight="1">
      <c r="A6" s="323"/>
      <c r="B6" s="291"/>
      <c r="C6" s="324"/>
      <c r="D6" s="391" t="s">
        <v>160</v>
      </c>
      <c r="E6" s="489" t="s">
        <v>60</v>
      </c>
      <c r="F6" s="489"/>
      <c r="G6" s="490" t="s">
        <v>33</v>
      </c>
      <c r="H6" s="490" t="s">
        <v>274</v>
      </c>
      <c r="I6" s="488" t="s">
        <v>60</v>
      </c>
      <c r="J6" s="489"/>
      <c r="K6" s="490" t="s">
        <v>33</v>
      </c>
    </row>
    <row r="7" spans="1:16" ht="24.95" customHeight="1">
      <c r="A7" s="323"/>
      <c r="B7" s="325"/>
      <c r="D7" s="392"/>
      <c r="E7" s="489"/>
      <c r="F7" s="489"/>
      <c r="G7" s="490"/>
      <c r="H7" s="490"/>
      <c r="I7" s="488"/>
      <c r="J7" s="489"/>
      <c r="K7" s="490"/>
    </row>
    <row r="8" spans="1:16" ht="15" customHeight="1">
      <c r="A8" s="498" t="s">
        <v>159</v>
      </c>
      <c r="B8" s="498"/>
      <c r="C8" s="342" t="s">
        <v>185</v>
      </c>
      <c r="D8" s="370"/>
      <c r="E8" s="222" t="s">
        <v>265</v>
      </c>
      <c r="F8" s="222" t="s">
        <v>266</v>
      </c>
      <c r="G8" s="477"/>
      <c r="H8" s="477"/>
      <c r="I8" s="224" t="s">
        <v>265</v>
      </c>
      <c r="J8" s="222" t="s">
        <v>266</v>
      </c>
      <c r="K8" s="477"/>
    </row>
    <row r="9" spans="1:16" ht="11.1" customHeight="1">
      <c r="A9" s="432" t="str">
        <f>'3.1'!D5</f>
        <v>Duben</v>
      </c>
      <c r="B9" s="432"/>
      <c r="C9" s="165" t="s">
        <v>4</v>
      </c>
      <c r="D9" s="331">
        <v>96</v>
      </c>
      <c r="E9" s="327">
        <v>9547.5125799999987</v>
      </c>
      <c r="F9" s="327">
        <v>102762.84133999996</v>
      </c>
      <c r="G9" s="328">
        <f>E9/$E$14</f>
        <v>0.34140704828460328</v>
      </c>
      <c r="H9" s="328">
        <f>(E9-I9)/I9</f>
        <v>-8.6096451621352987E-2</v>
      </c>
      <c r="I9" s="331">
        <v>10446.958649999999</v>
      </c>
      <c r="J9" s="327">
        <v>111536.542831</v>
      </c>
      <c r="K9" s="328">
        <f>I9/$I$14</f>
        <v>0.32959422677955974</v>
      </c>
    </row>
    <row r="10" spans="1:16" ht="11.1" customHeight="1">
      <c r="A10" s="433"/>
      <c r="B10" s="433"/>
      <c r="C10" s="155" t="s">
        <v>5</v>
      </c>
      <c r="D10" s="332">
        <v>313</v>
      </c>
      <c r="E10" s="130">
        <v>3202.67</v>
      </c>
      <c r="F10" s="130">
        <v>34464.241669999981</v>
      </c>
      <c r="G10" s="326">
        <f>E10/$E$14</f>
        <v>0.11452345332543679</v>
      </c>
      <c r="H10" s="326">
        <f>(E10-I10)/I10</f>
        <v>-0.15253653573001957</v>
      </c>
      <c r="I10" s="332">
        <v>3779.1245699999999</v>
      </c>
      <c r="J10" s="130">
        <v>40347.563070000004</v>
      </c>
      <c r="K10" s="326">
        <f>I10/$I$14</f>
        <v>0.11922873271378233</v>
      </c>
      <c r="L10" s="94"/>
      <c r="N10" s="94"/>
      <c r="O10" s="94"/>
      <c r="P10" s="94"/>
    </row>
    <row r="11" spans="1:16" ht="11.1" customHeight="1">
      <c r="A11" s="433"/>
      <c r="B11" s="433"/>
      <c r="C11" s="155" t="s">
        <v>6</v>
      </c>
      <c r="D11" s="332">
        <v>10895</v>
      </c>
      <c r="E11" s="130">
        <v>5705.9630699999998</v>
      </c>
      <c r="F11" s="130">
        <v>61421.385979999999</v>
      </c>
      <c r="G11" s="326">
        <f>E11/$E$14</f>
        <v>0.20403806677672409</v>
      </c>
      <c r="H11" s="326">
        <f t="shared" ref="H11:H13" si="0">(E11-I11)/I11</f>
        <v>-7.7843736529478152E-2</v>
      </c>
      <c r="I11" s="332">
        <v>6187.6314200000006</v>
      </c>
      <c r="J11" s="130">
        <v>66062.130140000008</v>
      </c>
      <c r="K11" s="326">
        <f>I11/$I$14</f>
        <v>0.19521543654925921</v>
      </c>
      <c r="L11" s="94"/>
      <c r="N11" s="94"/>
      <c r="O11" s="94"/>
      <c r="P11" s="94"/>
    </row>
    <row r="12" spans="1:16" ht="11.1" customHeight="1">
      <c r="A12" s="433"/>
      <c r="B12" s="433"/>
      <c r="C12" s="155" t="s">
        <v>7</v>
      </c>
      <c r="D12" s="332">
        <v>108600</v>
      </c>
      <c r="E12" s="130">
        <v>9318.5661999999993</v>
      </c>
      <c r="F12" s="130">
        <v>100343.74932</v>
      </c>
      <c r="G12" s="326">
        <f>E12/$E$14</f>
        <v>0.33322021352986497</v>
      </c>
      <c r="H12" s="326">
        <f t="shared" si="0"/>
        <v>-0.16006602622819399</v>
      </c>
      <c r="I12" s="332">
        <v>11094.40324</v>
      </c>
      <c r="J12" s="130">
        <v>118447.90760000001</v>
      </c>
      <c r="K12" s="326">
        <f>I12/$I$14</f>
        <v>0.35002065002606692</v>
      </c>
      <c r="L12" s="94"/>
      <c r="N12" s="94"/>
      <c r="O12" s="94"/>
      <c r="P12" s="94"/>
    </row>
    <row r="13" spans="1:16" ht="11.1" customHeight="1">
      <c r="A13" s="433"/>
      <c r="B13" s="433"/>
      <c r="C13" s="155" t="s">
        <v>93</v>
      </c>
      <c r="D13" s="332">
        <v>14</v>
      </c>
      <c r="E13" s="130">
        <v>190.477</v>
      </c>
      <c r="F13" s="130">
        <v>2047.2429999999999</v>
      </c>
      <c r="G13" s="326">
        <f>E13/$E$14</f>
        <v>6.8112180833708198E-3</v>
      </c>
      <c r="H13" s="326">
        <f t="shared" si="0"/>
        <v>1.1523735177130894E-2</v>
      </c>
      <c r="I13" s="332">
        <v>188.30700000000002</v>
      </c>
      <c r="J13" s="130">
        <v>2010.5047</v>
      </c>
      <c r="K13" s="326">
        <f>I13/$I$14</f>
        <v>5.9409539313318299E-3</v>
      </c>
      <c r="L13" s="94"/>
      <c r="N13" s="94"/>
      <c r="O13" s="94"/>
      <c r="P13" s="94"/>
    </row>
    <row r="14" spans="1:16" ht="11.1" customHeight="1">
      <c r="A14" s="434"/>
      <c r="B14" s="434"/>
      <c r="C14" s="337" t="s">
        <v>0</v>
      </c>
      <c r="D14" s="340">
        <v>119918</v>
      </c>
      <c r="E14" s="338">
        <v>27965.188849999999</v>
      </c>
      <c r="F14" s="338">
        <v>301039.46130999993</v>
      </c>
      <c r="G14" s="339">
        <f>SUM(G9:G13)</f>
        <v>1</v>
      </c>
      <c r="H14" s="339">
        <f>(E14-I14)/I14</f>
        <v>-0.11771788282514972</v>
      </c>
      <c r="I14" s="340">
        <v>31696.424879999999</v>
      </c>
      <c r="J14" s="338">
        <v>338404.64834100002</v>
      </c>
      <c r="K14" s="339">
        <f>SUM(K9:K13)</f>
        <v>1</v>
      </c>
      <c r="L14" s="94"/>
    </row>
    <row r="15" spans="1:16" ht="11.1" customHeight="1">
      <c r="A15" s="432" t="str">
        <f>'3.1'!E5</f>
        <v>Květen</v>
      </c>
      <c r="B15" s="432"/>
      <c r="C15" s="165" t="s">
        <v>4</v>
      </c>
      <c r="D15" s="331">
        <v>97</v>
      </c>
      <c r="E15" s="327">
        <v>7419.0344400000004</v>
      </c>
      <c r="F15" s="327">
        <v>79667.03767000002</v>
      </c>
      <c r="G15" s="328">
        <f>E15/$E$20</f>
        <v>0.56386312365331848</v>
      </c>
      <c r="H15" s="328">
        <f>(E15-I15)/I15</f>
        <v>-0.1818325687818966</v>
      </c>
      <c r="I15" s="331">
        <v>9067.8682099999987</v>
      </c>
      <c r="J15" s="327">
        <v>96835.27065000002</v>
      </c>
      <c r="K15" s="328">
        <f>I15/$I$20</f>
        <v>0.42658999997811031</v>
      </c>
      <c r="L15" s="94"/>
      <c r="M15" s="94"/>
    </row>
    <row r="16" spans="1:16" ht="11.1" customHeight="1">
      <c r="A16" s="433"/>
      <c r="B16" s="433"/>
      <c r="C16" s="155" t="s">
        <v>5</v>
      </c>
      <c r="D16" s="332">
        <v>314</v>
      </c>
      <c r="E16" s="130">
        <v>1381.68397</v>
      </c>
      <c r="F16" s="130">
        <v>14832.06078</v>
      </c>
      <c r="G16" s="326">
        <f>E16/$E$20</f>
        <v>0.10501105575483997</v>
      </c>
      <c r="H16" s="326">
        <f>(E16-I16)/I16</f>
        <v>-0.46382373427433948</v>
      </c>
      <c r="I16" s="332">
        <v>2576.9211700000001</v>
      </c>
      <c r="J16" s="130">
        <v>27518.887150000002</v>
      </c>
      <c r="K16" s="326">
        <f>I16/$I$20</f>
        <v>0.12122902278637022</v>
      </c>
      <c r="L16" s="98"/>
      <c r="M16" s="94"/>
    </row>
    <row r="17" spans="1:20" ht="11.1" customHeight="1">
      <c r="A17" s="433"/>
      <c r="B17" s="433"/>
      <c r="C17" s="155" t="s">
        <v>6</v>
      </c>
      <c r="D17" s="332">
        <v>10896</v>
      </c>
      <c r="E17" s="130">
        <v>1728.5319999999999</v>
      </c>
      <c r="F17" s="130">
        <v>18563.764889999999</v>
      </c>
      <c r="G17" s="326">
        <f>E17/$E$20</f>
        <v>0.13137227771848944</v>
      </c>
      <c r="H17" s="326">
        <f t="shared" ref="H17:H20" si="1">(E17-I17)/I17</f>
        <v>-0.47782040247245067</v>
      </c>
      <c r="I17" s="332">
        <v>3310.2250800000002</v>
      </c>
      <c r="J17" s="130">
        <v>35350.141879999996</v>
      </c>
      <c r="K17" s="326">
        <f>I17/$I$20</f>
        <v>0.15572666960989506</v>
      </c>
      <c r="L17" s="94"/>
      <c r="M17" s="94"/>
      <c r="N17" s="94"/>
      <c r="O17" s="94"/>
    </row>
    <row r="18" spans="1:20" ht="11.1" customHeight="1">
      <c r="A18" s="433"/>
      <c r="B18" s="433"/>
      <c r="C18" s="155" t="s">
        <v>7</v>
      </c>
      <c r="D18" s="332">
        <v>108470</v>
      </c>
      <c r="E18" s="130">
        <v>2415.9291499999999</v>
      </c>
      <c r="F18" s="130">
        <v>25948.395090000002</v>
      </c>
      <c r="G18" s="326">
        <f>E18/$E$20</f>
        <v>0.18361599047168009</v>
      </c>
      <c r="H18" s="326">
        <f t="shared" si="1"/>
        <v>-0.6038898199618401</v>
      </c>
      <c r="I18" s="332">
        <v>6099.1342100000002</v>
      </c>
      <c r="J18" s="130">
        <v>65130.091529999998</v>
      </c>
      <c r="K18" s="326">
        <f>I18/$I$20</f>
        <v>0.28692848222486378</v>
      </c>
      <c r="L18" s="94"/>
      <c r="M18" s="94"/>
      <c r="N18" s="94"/>
      <c r="O18" s="94"/>
    </row>
    <row r="19" spans="1:20" ht="11.1" customHeight="1">
      <c r="A19" s="433"/>
      <c r="B19" s="433"/>
      <c r="C19" s="155" t="s">
        <v>93</v>
      </c>
      <c r="D19" s="332">
        <v>14</v>
      </c>
      <c r="E19" s="130">
        <v>212.32999999999998</v>
      </c>
      <c r="F19" s="130">
        <v>2278.4588600000002</v>
      </c>
      <c r="G19" s="326">
        <f>E19/$E$20</f>
        <v>1.6137552401671976E-2</v>
      </c>
      <c r="H19" s="326">
        <f t="shared" si="1"/>
        <v>4.861052808328431E-2</v>
      </c>
      <c r="I19" s="332">
        <v>202.48699999999999</v>
      </c>
      <c r="J19" s="130">
        <v>2162.4464600000001</v>
      </c>
      <c r="K19" s="326">
        <f>I19/$I$20</f>
        <v>9.5258254007606086E-3</v>
      </c>
      <c r="L19" s="94"/>
      <c r="M19" s="94"/>
      <c r="N19" s="94"/>
      <c r="O19" s="94"/>
    </row>
    <row r="20" spans="1:20" ht="11.1" customHeight="1">
      <c r="A20" s="434"/>
      <c r="B20" s="434"/>
      <c r="C20" s="337" t="s">
        <v>0</v>
      </c>
      <c r="D20" s="340">
        <v>119791</v>
      </c>
      <c r="E20" s="338">
        <v>13157.50956</v>
      </c>
      <c r="F20" s="338">
        <v>141289.71729000003</v>
      </c>
      <c r="G20" s="339">
        <f>SUM(G15:G19)</f>
        <v>1</v>
      </c>
      <c r="H20" s="339">
        <f t="shared" si="1"/>
        <v>-0.38101636758212354</v>
      </c>
      <c r="I20" s="340">
        <v>21256.63567</v>
      </c>
      <c r="J20" s="338">
        <v>226996.83767000001</v>
      </c>
      <c r="K20" s="339">
        <f>SUM(K15:K19)</f>
        <v>1</v>
      </c>
      <c r="L20" s="94"/>
      <c r="M20" s="94"/>
      <c r="N20" s="94"/>
      <c r="O20" s="94"/>
    </row>
    <row r="21" spans="1:20" ht="11.1" customHeight="1">
      <c r="A21" s="432" t="str">
        <f>'3.1'!F5</f>
        <v>Červen</v>
      </c>
      <c r="B21" s="432"/>
      <c r="C21" s="165" t="s">
        <v>4</v>
      </c>
      <c r="D21" s="331">
        <v>97</v>
      </c>
      <c r="E21" s="327">
        <v>6573.4107400000003</v>
      </c>
      <c r="F21" s="327">
        <v>71144.258690000002</v>
      </c>
      <c r="G21" s="328">
        <f>E21/$E$26</f>
        <v>0.63181965112672145</v>
      </c>
      <c r="H21" s="328">
        <f>(E21-I21)/I21</f>
        <v>-0.16485000728604723</v>
      </c>
      <c r="I21" s="331">
        <v>7870.9343199999994</v>
      </c>
      <c r="J21" s="327">
        <v>84098.906329999969</v>
      </c>
      <c r="K21" s="328">
        <f>I21/$I$26</f>
        <v>0.64164973081615384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33"/>
      <c r="B22" s="433"/>
      <c r="C22" s="155" t="s">
        <v>5</v>
      </c>
      <c r="D22" s="332">
        <v>314</v>
      </c>
      <c r="E22" s="130">
        <v>1184.48008</v>
      </c>
      <c r="F22" s="130">
        <v>12816.836160000003</v>
      </c>
      <c r="G22" s="326">
        <f>E22/$E$26</f>
        <v>0.11384923603787327</v>
      </c>
      <c r="H22" s="326">
        <f t="shared" ref="H22:H26" si="2">(E22-I22)/I22</f>
        <v>-0.14484907003678274</v>
      </c>
      <c r="I22" s="332">
        <v>1385.11231</v>
      </c>
      <c r="J22" s="130">
        <v>14799.196799999994</v>
      </c>
      <c r="K22" s="326">
        <f>I22/$I$26</f>
        <v>0.11291632031578701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33"/>
      <c r="B23" s="433"/>
      <c r="C23" s="155" t="s">
        <v>6</v>
      </c>
      <c r="D23" s="332">
        <v>10845</v>
      </c>
      <c r="E23" s="130">
        <v>1040.97317</v>
      </c>
      <c r="F23" s="130">
        <v>11270.358329999999</v>
      </c>
      <c r="G23" s="326">
        <f>E23/$E$26</f>
        <v>0.10005571401456001</v>
      </c>
      <c r="H23" s="326">
        <f t="shared" si="2"/>
        <v>0.11216439200572287</v>
      </c>
      <c r="I23" s="332">
        <v>935.98858000000007</v>
      </c>
      <c r="J23" s="130">
        <v>10001.18914</v>
      </c>
      <c r="K23" s="326">
        <f>I23/$I$26</f>
        <v>7.6303116756791106E-2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33"/>
      <c r="B24" s="433"/>
      <c r="C24" s="155" t="s">
        <v>7</v>
      </c>
      <c r="D24" s="332">
        <v>108358</v>
      </c>
      <c r="E24" s="130">
        <v>1392.4172599999999</v>
      </c>
      <c r="F24" s="130">
        <v>15076.266890000001</v>
      </c>
      <c r="G24" s="326">
        <f>E24/$E$26</f>
        <v>0.13383563301203744</v>
      </c>
      <c r="H24" s="326">
        <f t="shared" si="2"/>
        <v>-0.24978072090739417</v>
      </c>
      <c r="I24" s="332">
        <v>1856.0137</v>
      </c>
      <c r="J24" s="130">
        <v>19831.996279999999</v>
      </c>
      <c r="K24" s="326">
        <f>I24/$I$26</f>
        <v>0.15130486960995171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33"/>
      <c r="B25" s="433"/>
      <c r="C25" s="155" t="s">
        <v>93</v>
      </c>
      <c r="D25" s="332">
        <v>15</v>
      </c>
      <c r="E25" s="130">
        <v>212.654</v>
      </c>
      <c r="F25" s="130">
        <v>2299.34665</v>
      </c>
      <c r="G25" s="326">
        <f>E25/$E$26</f>
        <v>2.0439765808807776E-2</v>
      </c>
      <c r="H25" s="326">
        <f t="shared" si="2"/>
        <v>-2.7493986262153242E-2</v>
      </c>
      <c r="I25" s="332">
        <v>218.666</v>
      </c>
      <c r="J25" s="130">
        <v>2336.2254800000001</v>
      </c>
      <c r="K25" s="326">
        <f>I25/$I$26</f>
        <v>1.7825962501316503E-2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4"/>
      <c r="B26" s="434"/>
      <c r="C26" s="337" t="s">
        <v>0</v>
      </c>
      <c r="D26" s="340">
        <v>119629</v>
      </c>
      <c r="E26" s="338">
        <v>10403.93525</v>
      </c>
      <c r="F26" s="338">
        <v>112607.06672000002</v>
      </c>
      <c r="G26" s="339">
        <f>SUM(G21:G25)</f>
        <v>1</v>
      </c>
      <c r="H26" s="339">
        <f t="shared" si="2"/>
        <v>-0.15185644026677694</v>
      </c>
      <c r="I26" s="340">
        <v>12266.714909999997</v>
      </c>
      <c r="J26" s="338">
        <v>131067.51402999996</v>
      </c>
      <c r="K26" s="339">
        <f>SUM(K21:K25)</f>
        <v>1.0000000000000002</v>
      </c>
    </row>
    <row r="27" spans="1:20" ht="11.1" customHeight="1">
      <c r="A27" s="501" t="str">
        <f>'3.1'!G5</f>
        <v>II. čtvrtletí</v>
      </c>
      <c r="B27" s="432"/>
      <c r="C27" s="165" t="s">
        <v>4</v>
      </c>
      <c r="D27" s="331">
        <f>D21</f>
        <v>97</v>
      </c>
      <c r="E27" s="327">
        <f>E9+E15+E21</f>
        <v>23539.957759999998</v>
      </c>
      <c r="F27" s="327">
        <f>F9+F15+F21</f>
        <v>253574.13769999996</v>
      </c>
      <c r="G27" s="328">
        <f>E27/$E$32</f>
        <v>0.45685029445799036</v>
      </c>
      <c r="H27" s="328">
        <f>(E27-I27)/I27</f>
        <v>-0.14043076599998308</v>
      </c>
      <c r="I27" s="331">
        <f>I9+I15+I21</f>
        <v>27385.761179999998</v>
      </c>
      <c r="J27" s="327">
        <f>J9+J15+J21</f>
        <v>292470.71981099999</v>
      </c>
      <c r="K27" s="328">
        <f>I27/$I$32</f>
        <v>0.41989965446593702</v>
      </c>
    </row>
    <row r="28" spans="1:20" ht="11.1" customHeight="1">
      <c r="A28" s="433"/>
      <c r="B28" s="433"/>
      <c r="C28" s="155" t="s">
        <v>5</v>
      </c>
      <c r="D28" s="332">
        <f>D22</f>
        <v>314</v>
      </c>
      <c r="E28" s="130">
        <f t="shared" ref="E28:F31" si="3">E10+E16+E22</f>
        <v>5768.8340500000004</v>
      </c>
      <c r="F28" s="130">
        <f t="shared" si="3"/>
        <v>62113.13860999998</v>
      </c>
      <c r="G28" s="326">
        <f>E28/$E$32</f>
        <v>0.11195829496772136</v>
      </c>
      <c r="H28" s="326">
        <f t="shared" ref="H28:H31" si="4">(E28-I28)/I28</f>
        <v>-0.25478410171460064</v>
      </c>
      <c r="I28" s="332">
        <f t="shared" ref="I28:J28" si="5">I10+I16+I22</f>
        <v>7741.15805</v>
      </c>
      <c r="J28" s="130">
        <f t="shared" si="5"/>
        <v>82665.647019999989</v>
      </c>
      <c r="K28" s="326">
        <f>I28/$I$32</f>
        <v>0.11869341768506604</v>
      </c>
    </row>
    <row r="29" spans="1:20" ht="11.1" customHeight="1">
      <c r="A29" s="433"/>
      <c r="B29" s="433"/>
      <c r="C29" s="155" t="s">
        <v>6</v>
      </c>
      <c r="D29" s="332">
        <f>D23</f>
        <v>10845</v>
      </c>
      <c r="E29" s="130">
        <f t="shared" si="3"/>
        <v>8475.4682400000002</v>
      </c>
      <c r="F29" s="130">
        <f t="shared" si="3"/>
        <v>91255.5092</v>
      </c>
      <c r="G29" s="326">
        <f>E29/$E$32</f>
        <v>0.16448713292480208</v>
      </c>
      <c r="H29" s="326">
        <f t="shared" si="4"/>
        <v>-0.18769464420685078</v>
      </c>
      <c r="I29" s="332">
        <f t="shared" ref="I29:J29" si="6">I11+I17+I23</f>
        <v>10433.845080000001</v>
      </c>
      <c r="J29" s="130">
        <f t="shared" si="6"/>
        <v>111413.46116000001</v>
      </c>
      <c r="K29" s="326">
        <f>I29/$I$32</f>
        <v>0.15997977617079029</v>
      </c>
    </row>
    <row r="30" spans="1:20" ht="11.1" customHeight="1">
      <c r="A30" s="433"/>
      <c r="B30" s="433"/>
      <c r="C30" s="155" t="s">
        <v>7</v>
      </c>
      <c r="D30" s="332">
        <f>D24</f>
        <v>108358</v>
      </c>
      <c r="E30" s="130">
        <f t="shared" si="3"/>
        <v>13126.912609999999</v>
      </c>
      <c r="F30" s="130">
        <f t="shared" si="3"/>
        <v>141368.41130000001</v>
      </c>
      <c r="G30" s="326">
        <f>E30/$E$32</f>
        <v>0.25475975583070914</v>
      </c>
      <c r="H30" s="326">
        <f t="shared" si="4"/>
        <v>-0.3109069863832461</v>
      </c>
      <c r="I30" s="332">
        <f t="shared" ref="I30:J30" si="7">I12+I18+I24</f>
        <v>19049.551149999999</v>
      </c>
      <c r="J30" s="130">
        <f t="shared" si="7"/>
        <v>203409.99541</v>
      </c>
      <c r="K30" s="326">
        <f>I30/$I$32</f>
        <v>0.292082439959998</v>
      </c>
    </row>
    <row r="31" spans="1:20" ht="11.1" customHeight="1">
      <c r="A31" s="433"/>
      <c r="B31" s="433"/>
      <c r="C31" s="155" t="s">
        <v>93</v>
      </c>
      <c r="D31" s="332">
        <f>D25</f>
        <v>15</v>
      </c>
      <c r="E31" s="130">
        <f>E13+E19+E25</f>
        <v>615.46100000000001</v>
      </c>
      <c r="F31" s="130">
        <f t="shared" si="3"/>
        <v>6625.0485100000005</v>
      </c>
      <c r="G31" s="326">
        <f>E31/$E$32</f>
        <v>1.1944521818777013E-2</v>
      </c>
      <c r="H31" s="326">
        <f t="shared" si="4"/>
        <v>9.8464214222426013E-3</v>
      </c>
      <c r="I31" s="332">
        <f>I13+I19+I25</f>
        <v>609.46</v>
      </c>
      <c r="J31" s="130">
        <f t="shared" ref="J31" si="8">J13+J19+J25</f>
        <v>6509.1766400000006</v>
      </c>
      <c r="K31" s="326">
        <f>I31/$I$32</f>
        <v>9.3447117182086665E-3</v>
      </c>
    </row>
    <row r="32" spans="1:20" ht="11.1" customHeight="1">
      <c r="A32" s="434"/>
      <c r="B32" s="434"/>
      <c r="C32" s="337" t="s">
        <v>0</v>
      </c>
      <c r="D32" s="340">
        <f>SUM(D27:D31)</f>
        <v>119629</v>
      </c>
      <c r="E32" s="338">
        <f>SUM(E27:E31)</f>
        <v>51526.63366</v>
      </c>
      <c r="F32" s="338">
        <f>SUM(F27:F31)</f>
        <v>554936.24531999999</v>
      </c>
      <c r="G32" s="339">
        <f>SUM(G27:G31)</f>
        <v>1</v>
      </c>
      <c r="H32" s="339">
        <f>(E32-I32)/I32</f>
        <v>-0.20995383230655482</v>
      </c>
      <c r="I32" s="340">
        <f>SUM(I27:I31)</f>
        <v>65219.775459999997</v>
      </c>
      <c r="J32" s="338">
        <f>SUM(J27:J31)</f>
        <v>696469.00004099996</v>
      </c>
      <c r="K32" s="339">
        <f>SUM(K27:K31)</f>
        <v>1</v>
      </c>
    </row>
    <row r="33" spans="1:11" ht="9.9499999999999993" customHeight="1">
      <c r="A33" s="385"/>
      <c r="B33" s="386"/>
      <c r="C33" s="387"/>
      <c r="D33" s="388"/>
      <c r="E33" s="388"/>
      <c r="F33" s="388"/>
      <c r="G33" s="389"/>
      <c r="H33" s="390"/>
      <c r="I33" s="388"/>
      <c r="J33" s="388"/>
      <c r="K33" s="389"/>
    </row>
    <row r="34" spans="1:11" ht="12.95" customHeight="1">
      <c r="A34" s="526" t="s">
        <v>47</v>
      </c>
      <c r="B34" s="526"/>
      <c r="C34" s="526"/>
      <c r="D34" s="491">
        <f>D4</f>
        <v>2022</v>
      </c>
      <c r="E34" s="380"/>
      <c r="F34" s="369"/>
      <c r="G34" s="369"/>
      <c r="H34" s="369"/>
      <c r="I34" s="491">
        <f>D34-1</f>
        <v>2021</v>
      </c>
      <c r="J34" s="492"/>
      <c r="K34" s="492"/>
    </row>
    <row r="35" spans="1:11" ht="24.95" customHeight="1">
      <c r="A35" s="323"/>
      <c r="B35" s="291"/>
      <c r="C35" s="151"/>
      <c r="D35" s="493"/>
      <c r="E35" s="382"/>
      <c r="F35" s="383"/>
      <c r="G35" s="383"/>
      <c r="H35" s="384"/>
      <c r="I35" s="493"/>
      <c r="J35" s="494"/>
      <c r="K35" s="494"/>
    </row>
    <row r="36" spans="1:11" ht="24.95" customHeight="1">
      <c r="A36" s="131"/>
      <c r="B36" s="132"/>
      <c r="C36" s="379"/>
      <c r="D36" s="391" t="s">
        <v>160</v>
      </c>
      <c r="E36" s="489" t="s">
        <v>60</v>
      </c>
      <c r="F36" s="489"/>
      <c r="G36" s="490" t="s">
        <v>33</v>
      </c>
      <c r="H36" s="490" t="s">
        <v>274</v>
      </c>
      <c r="I36" s="488" t="s">
        <v>60</v>
      </c>
      <c r="J36" s="489"/>
      <c r="K36" s="490" t="s">
        <v>33</v>
      </c>
    </row>
    <row r="37" spans="1:11" ht="24.95" customHeight="1">
      <c r="A37" s="131"/>
      <c r="B37" s="325"/>
      <c r="C37" s="325"/>
      <c r="D37" s="392"/>
      <c r="E37" s="489"/>
      <c r="F37" s="489"/>
      <c r="G37" s="490"/>
      <c r="H37" s="490"/>
      <c r="I37" s="488"/>
      <c r="J37" s="489"/>
      <c r="K37" s="490"/>
    </row>
    <row r="38" spans="1:11" ht="15" customHeight="1">
      <c r="A38" s="527" t="s">
        <v>159</v>
      </c>
      <c r="B38" s="527"/>
      <c r="C38" s="393" t="s">
        <v>185</v>
      </c>
      <c r="D38" s="370"/>
      <c r="E38" s="222" t="s">
        <v>265</v>
      </c>
      <c r="F38" s="222" t="s">
        <v>266</v>
      </c>
      <c r="G38" s="477"/>
      <c r="H38" s="477"/>
      <c r="I38" s="224" t="s">
        <v>265</v>
      </c>
      <c r="J38" s="222" t="s">
        <v>266</v>
      </c>
      <c r="K38" s="477"/>
    </row>
    <row r="39" spans="1:11" ht="11.1" customHeight="1">
      <c r="A39" s="432" t="str">
        <f>'3.1'!D5</f>
        <v>Duben</v>
      </c>
      <c r="B39" s="432"/>
      <c r="C39" s="165" t="s">
        <v>4</v>
      </c>
      <c r="D39" s="331">
        <v>71</v>
      </c>
      <c r="E39" s="327">
        <v>12003.524000000001</v>
      </c>
      <c r="F39" s="327">
        <v>129350.56689</v>
      </c>
      <c r="G39" s="328">
        <f>E39/$E$44</f>
        <v>0.34339148295847899</v>
      </c>
      <c r="H39" s="328">
        <f>(E39-I39)/I39</f>
        <v>-0.25166657917892271</v>
      </c>
      <c r="I39" s="331">
        <v>16040.342000000001</v>
      </c>
      <c r="J39" s="327">
        <v>171248.88678999996</v>
      </c>
      <c r="K39" s="328">
        <f>I39/$I$44</f>
        <v>0.37995973081232426</v>
      </c>
    </row>
    <row r="40" spans="1:11" ht="11.1" customHeight="1">
      <c r="A40" s="433"/>
      <c r="B40" s="433"/>
      <c r="C40" s="155" t="s">
        <v>5</v>
      </c>
      <c r="D40" s="332">
        <v>313</v>
      </c>
      <c r="E40" s="130">
        <v>3070.9390000000003</v>
      </c>
      <c r="F40" s="130">
        <v>33092.453640000022</v>
      </c>
      <c r="G40" s="326">
        <f t="shared" ref="G40" si="9">E40/$E$44</f>
        <v>8.7852058885792922E-2</v>
      </c>
      <c r="H40" s="326">
        <f>(E40-I40)/I40</f>
        <v>-3.9527166501945196E-2</v>
      </c>
      <c r="I40" s="332">
        <v>3197.3199999999997</v>
      </c>
      <c r="J40" s="130">
        <v>34134.690250000021</v>
      </c>
      <c r="K40" s="326">
        <f t="shared" ref="K40:K43" si="10">I40/$I$44</f>
        <v>7.5737340670221406E-2</v>
      </c>
    </row>
    <row r="41" spans="1:11" ht="11.1" customHeight="1">
      <c r="A41" s="433"/>
      <c r="B41" s="433"/>
      <c r="C41" s="155" t="s">
        <v>6</v>
      </c>
      <c r="D41" s="332">
        <v>10906</v>
      </c>
      <c r="E41" s="130">
        <v>6425.2060000000001</v>
      </c>
      <c r="F41" s="130">
        <v>69238.414089999991</v>
      </c>
      <c r="G41" s="326">
        <f>E41/$E$44</f>
        <v>0.18380943934912089</v>
      </c>
      <c r="H41" s="326">
        <f t="shared" ref="H41:H43" si="11">(E41-I41)/I41</f>
        <v>-7.1432648942124727E-2</v>
      </c>
      <c r="I41" s="332">
        <v>6919.4830000000002</v>
      </c>
      <c r="J41" s="130">
        <v>73872.941250000003</v>
      </c>
      <c r="K41" s="326">
        <f t="shared" si="10"/>
        <v>0.16390703502708695</v>
      </c>
    </row>
    <row r="42" spans="1:11" ht="11.1" customHeight="1">
      <c r="A42" s="433"/>
      <c r="B42" s="433"/>
      <c r="C42" s="155" t="s">
        <v>7</v>
      </c>
      <c r="D42" s="332">
        <v>144729</v>
      </c>
      <c r="E42" s="130">
        <v>13252.5</v>
      </c>
      <c r="F42" s="130">
        <v>142809.9</v>
      </c>
      <c r="G42" s="326">
        <f>E42/$E$44</f>
        <v>0.37912163360586792</v>
      </c>
      <c r="H42" s="326">
        <f t="shared" si="11"/>
        <v>-0.1636057255377158</v>
      </c>
      <c r="I42" s="332">
        <v>15844.8</v>
      </c>
      <c r="J42" s="130">
        <v>169161.9</v>
      </c>
      <c r="K42" s="326">
        <f t="shared" si="10"/>
        <v>0.37532777934380174</v>
      </c>
    </row>
    <row r="43" spans="1:11" ht="11.1" customHeight="1">
      <c r="A43" s="433"/>
      <c r="B43" s="433"/>
      <c r="C43" s="155" t="s">
        <v>93</v>
      </c>
      <c r="D43" s="332">
        <v>11</v>
      </c>
      <c r="E43" s="130">
        <v>203.631</v>
      </c>
      <c r="F43" s="130">
        <v>2194.3429999999998</v>
      </c>
      <c r="G43" s="326">
        <f>E43/$E$44</f>
        <v>5.8253852007392184E-3</v>
      </c>
      <c r="H43" s="326">
        <f t="shared" si="11"/>
        <v>-4.8253137341964486E-2</v>
      </c>
      <c r="I43" s="332">
        <v>213.95500000000001</v>
      </c>
      <c r="J43" s="130">
        <v>2284.2165800000002</v>
      </c>
      <c r="K43" s="326">
        <f t="shared" si="10"/>
        <v>5.0681141465656306E-3</v>
      </c>
    </row>
    <row r="44" spans="1:11" ht="11.1" customHeight="1">
      <c r="A44" s="434"/>
      <c r="B44" s="434"/>
      <c r="C44" s="337" t="s">
        <v>0</v>
      </c>
      <c r="D44" s="340">
        <v>156030</v>
      </c>
      <c r="E44" s="338">
        <v>34955.800000000003</v>
      </c>
      <c r="F44" s="338">
        <v>376685.67761999997</v>
      </c>
      <c r="G44" s="339">
        <f>SUM(G39:G43)</f>
        <v>0.99999999999999989</v>
      </c>
      <c r="H44" s="339">
        <f>(E44-I44)/I44</f>
        <v>-0.17197548790858416</v>
      </c>
      <c r="I44" s="340">
        <v>42215.9</v>
      </c>
      <c r="J44" s="338">
        <v>450702.63486999995</v>
      </c>
      <c r="K44" s="339">
        <f>SUM(K39:K43)</f>
        <v>1</v>
      </c>
    </row>
    <row r="45" spans="1:11" ht="11.1" customHeight="1">
      <c r="A45" s="432" t="str">
        <f>'3.1'!E5</f>
        <v>Květen</v>
      </c>
      <c r="B45" s="432"/>
      <c r="C45" s="165" t="s">
        <v>4</v>
      </c>
      <c r="D45" s="331">
        <v>71</v>
      </c>
      <c r="E45" s="327">
        <v>11020.942999999999</v>
      </c>
      <c r="F45" s="327">
        <v>118418.43475000001</v>
      </c>
      <c r="G45" s="328">
        <f>E45/$E$50</f>
        <v>0.60191498541764521</v>
      </c>
      <c r="H45" s="328">
        <f>(E45-I45)/I45</f>
        <v>-0.22833589610788993</v>
      </c>
      <c r="I45" s="331">
        <v>14282.047</v>
      </c>
      <c r="J45" s="327">
        <v>152501.88167</v>
      </c>
      <c r="K45" s="328">
        <f>I45/$I$50</f>
        <v>0.49531450390680548</v>
      </c>
    </row>
    <row r="46" spans="1:11" ht="11.1" customHeight="1">
      <c r="A46" s="433"/>
      <c r="B46" s="433"/>
      <c r="C46" s="155" t="s">
        <v>5</v>
      </c>
      <c r="D46" s="332">
        <v>312</v>
      </c>
      <c r="E46" s="130">
        <v>1653.6699999999998</v>
      </c>
      <c r="F46" s="130">
        <v>17768.314910000023</v>
      </c>
      <c r="G46" s="326">
        <f t="shared" ref="G46:G49" si="12">E46/$E$50</f>
        <v>9.0316114867448033E-2</v>
      </c>
      <c r="H46" s="326">
        <f>(E46-I46)/I46</f>
        <v>-0.17155159673464079</v>
      </c>
      <c r="I46" s="332">
        <v>1996.105</v>
      </c>
      <c r="J46" s="130">
        <v>21314.039580000011</v>
      </c>
      <c r="K46" s="326">
        <f t="shared" ref="K46:K49" si="13">I46/$I$50</f>
        <v>6.9226754247545458E-2</v>
      </c>
    </row>
    <row r="47" spans="1:11" ht="11.1" customHeight="1">
      <c r="A47" s="433"/>
      <c r="B47" s="433"/>
      <c r="C47" s="155" t="s">
        <v>6</v>
      </c>
      <c r="D47" s="332">
        <v>10901</v>
      </c>
      <c r="E47" s="130">
        <v>1982.634</v>
      </c>
      <c r="F47" s="130">
        <v>21303.045400000003</v>
      </c>
      <c r="G47" s="326">
        <f t="shared" si="12"/>
        <v>0.10828266829785142</v>
      </c>
      <c r="H47" s="326">
        <f t="shared" ref="H47:H49" si="14">(E47-I47)/I47</f>
        <v>-0.45787546388505163</v>
      </c>
      <c r="I47" s="332">
        <v>3657.1559999999999</v>
      </c>
      <c r="J47" s="130">
        <v>39051.190069999997</v>
      </c>
      <c r="K47" s="326">
        <f t="shared" si="13"/>
        <v>0.12683352812449061</v>
      </c>
    </row>
    <row r="48" spans="1:11" ht="11.1" customHeight="1">
      <c r="A48" s="433"/>
      <c r="B48" s="433"/>
      <c r="C48" s="155" t="s">
        <v>7</v>
      </c>
      <c r="D48" s="332">
        <v>144538</v>
      </c>
      <c r="E48" s="130">
        <v>3428.5</v>
      </c>
      <c r="F48" s="130">
        <v>36838.6</v>
      </c>
      <c r="G48" s="326">
        <f t="shared" si="12"/>
        <v>0.1872494511136113</v>
      </c>
      <c r="H48" s="326">
        <f t="shared" si="14"/>
        <v>-0.60462434411578159</v>
      </c>
      <c r="I48" s="332">
        <v>8671.5</v>
      </c>
      <c r="J48" s="130">
        <v>92593.7</v>
      </c>
      <c r="K48" s="326">
        <f t="shared" si="13"/>
        <v>0.3007355822752763</v>
      </c>
    </row>
    <row r="49" spans="1:11" ht="11.1" customHeight="1">
      <c r="A49" s="433"/>
      <c r="B49" s="433"/>
      <c r="C49" s="155" t="s">
        <v>93</v>
      </c>
      <c r="D49" s="332">
        <v>11</v>
      </c>
      <c r="E49" s="130">
        <v>224.053</v>
      </c>
      <c r="F49" s="130">
        <v>2407.4229999999998</v>
      </c>
      <c r="G49" s="326">
        <f t="shared" si="12"/>
        <v>1.2236780303444057E-2</v>
      </c>
      <c r="H49" s="326">
        <f t="shared" si="14"/>
        <v>-1.5117015103827796E-2</v>
      </c>
      <c r="I49" s="332">
        <v>227.49199999999999</v>
      </c>
      <c r="J49" s="130">
        <v>2429.13546</v>
      </c>
      <c r="K49" s="326">
        <f t="shared" si="13"/>
        <v>7.8896314458821604E-3</v>
      </c>
    </row>
    <row r="50" spans="1:11" ht="11.1" customHeight="1">
      <c r="A50" s="434"/>
      <c r="B50" s="434"/>
      <c r="C50" s="337" t="s">
        <v>0</v>
      </c>
      <c r="D50" s="340">
        <v>155833</v>
      </c>
      <c r="E50" s="338">
        <v>18309.8</v>
      </c>
      <c r="F50" s="338">
        <v>196735.81806000005</v>
      </c>
      <c r="G50" s="339">
        <f>SUM(G45:G49)</f>
        <v>1</v>
      </c>
      <c r="H50" s="339">
        <f t="shared" ref="H50" si="15">(E50-I50)/I50</f>
        <v>-0.36499932372209487</v>
      </c>
      <c r="I50" s="340">
        <v>28834.3</v>
      </c>
      <c r="J50" s="338">
        <v>307889.94678000006</v>
      </c>
      <c r="K50" s="339">
        <f>SUM(K45:K49)</f>
        <v>1</v>
      </c>
    </row>
    <row r="51" spans="1:11" ht="11.1" customHeight="1">
      <c r="A51" s="432" t="str">
        <f>'3.1'!F5</f>
        <v>Červen</v>
      </c>
      <c r="B51" s="432"/>
      <c r="C51" s="165" t="s">
        <v>4</v>
      </c>
      <c r="D51" s="331">
        <v>71</v>
      </c>
      <c r="E51" s="327">
        <v>8859.3580000000002</v>
      </c>
      <c r="F51" s="327">
        <v>95962.726419999992</v>
      </c>
      <c r="G51" s="328">
        <f>E51/$E$56</f>
        <v>0.64969881417707409</v>
      </c>
      <c r="H51" s="328">
        <f>(E51-I51)/I51</f>
        <v>-0.30913778280322451</v>
      </c>
      <c r="I51" s="331">
        <v>12823.625</v>
      </c>
      <c r="J51" s="327">
        <v>137025.36926000001</v>
      </c>
      <c r="K51" s="328">
        <f>I51/$I$56</f>
        <v>0.70885178572415675</v>
      </c>
    </row>
    <row r="52" spans="1:11" ht="11.1" customHeight="1">
      <c r="A52" s="433"/>
      <c r="B52" s="433"/>
      <c r="C52" s="155" t="s">
        <v>5</v>
      </c>
      <c r="D52" s="332">
        <v>311</v>
      </c>
      <c r="E52" s="130">
        <v>1295.9929999999999</v>
      </c>
      <c r="F52" s="130">
        <v>14037.39279</v>
      </c>
      <c r="G52" s="326">
        <f t="shared" ref="G52:G55" si="16">E52/$E$56</f>
        <v>9.5041324132266555E-2</v>
      </c>
      <c r="H52" s="326">
        <f t="shared" ref="H52:H55" si="17">(E52-I52)/I52</f>
        <v>1.3699883768042839E-2</v>
      </c>
      <c r="I52" s="332">
        <v>1278.4780000000001</v>
      </c>
      <c r="J52" s="130">
        <v>13661.39397999999</v>
      </c>
      <c r="K52" s="326">
        <f t="shared" ref="K52:K55" si="18">I52/$I$56</f>
        <v>7.0670454985158129E-2</v>
      </c>
    </row>
    <row r="53" spans="1:11" ht="11.1" customHeight="1">
      <c r="A53" s="433"/>
      <c r="B53" s="433"/>
      <c r="C53" s="155" t="s">
        <v>6</v>
      </c>
      <c r="D53" s="332">
        <v>10877</v>
      </c>
      <c r="E53" s="130">
        <v>1227.9059999999999</v>
      </c>
      <c r="F53" s="130">
        <v>13299.835930000001</v>
      </c>
      <c r="G53" s="326">
        <f t="shared" si="16"/>
        <v>9.0048180931498009E-2</v>
      </c>
      <c r="H53" s="326">
        <f t="shared" si="17"/>
        <v>0.15702437286928206</v>
      </c>
      <c r="I53" s="332">
        <v>1061.2619999999999</v>
      </c>
      <c r="J53" s="130">
        <v>11340.11587</v>
      </c>
      <c r="K53" s="326">
        <f t="shared" si="18"/>
        <v>5.8663401637305365E-2</v>
      </c>
    </row>
    <row r="54" spans="1:11" ht="10.5" customHeight="1">
      <c r="A54" s="433"/>
      <c r="B54" s="433"/>
      <c r="C54" s="155" t="s">
        <v>7</v>
      </c>
      <c r="D54" s="332">
        <v>144345</v>
      </c>
      <c r="E54" s="130">
        <v>2011.4</v>
      </c>
      <c r="F54" s="130">
        <v>21787.1</v>
      </c>
      <c r="G54" s="326">
        <f t="shared" si="16"/>
        <v>0.14750551844002319</v>
      </c>
      <c r="H54" s="326">
        <f t="shared" si="17"/>
        <v>-0.25246218456163816</v>
      </c>
      <c r="I54" s="332">
        <v>2690.7</v>
      </c>
      <c r="J54" s="130">
        <v>28751.200000000001</v>
      </c>
      <c r="K54" s="326">
        <f t="shared" si="18"/>
        <v>0.14873387983881223</v>
      </c>
    </row>
    <row r="55" spans="1:11" ht="11.1" customHeight="1">
      <c r="A55" s="433"/>
      <c r="B55" s="433"/>
      <c r="C55" s="155" t="s">
        <v>93</v>
      </c>
      <c r="D55" s="332">
        <v>11</v>
      </c>
      <c r="E55" s="130">
        <v>241.44300000000001</v>
      </c>
      <c r="F55" s="130">
        <v>2615.2412300000005</v>
      </c>
      <c r="G55" s="326">
        <f t="shared" si="16"/>
        <v>1.7706162319138172E-2</v>
      </c>
      <c r="H55" s="326">
        <f t="shared" si="17"/>
        <v>2.0318211591691938E-2</v>
      </c>
      <c r="I55" s="332">
        <v>236.63499999999999</v>
      </c>
      <c r="J55" s="130">
        <v>2528.5346900000004</v>
      </c>
      <c r="K55" s="326">
        <f t="shared" si="18"/>
        <v>1.3080477814567708E-2</v>
      </c>
    </row>
    <row r="56" spans="1:11" ht="11.1" customHeight="1">
      <c r="A56" s="434"/>
      <c r="B56" s="434"/>
      <c r="C56" s="337" t="s">
        <v>0</v>
      </c>
      <c r="D56" s="340">
        <v>155615</v>
      </c>
      <c r="E56" s="338">
        <v>13636.1</v>
      </c>
      <c r="F56" s="338">
        <v>147702.29637</v>
      </c>
      <c r="G56" s="339">
        <f>SUM(G51:G55)</f>
        <v>1</v>
      </c>
      <c r="H56" s="339">
        <f>(E56-I56)/I56</f>
        <v>-0.24623701680974189</v>
      </c>
      <c r="I56" s="340">
        <v>18090.699999999997</v>
      </c>
      <c r="J56" s="338">
        <v>193306.61380000002</v>
      </c>
      <c r="K56" s="339">
        <f>SUM(K51:K55)</f>
        <v>1.0000000000000002</v>
      </c>
    </row>
    <row r="57" spans="1:11" ht="11.1" customHeight="1">
      <c r="A57" s="501" t="str">
        <f>'3.1'!G5</f>
        <v>II. čtvrtletí</v>
      </c>
      <c r="B57" s="432"/>
      <c r="C57" s="165" t="s">
        <v>4</v>
      </c>
      <c r="D57" s="331">
        <f>D51</f>
        <v>71</v>
      </c>
      <c r="E57" s="327">
        <f>E39+E45+E51</f>
        <v>31883.825000000001</v>
      </c>
      <c r="F57" s="327">
        <f>F39+F45+F51</f>
        <v>343731.72805999999</v>
      </c>
      <c r="G57" s="328">
        <f>E57/$E$62</f>
        <v>0.47657720207408782</v>
      </c>
      <c r="H57" s="328">
        <f>(E57-I57)/I57</f>
        <v>-0.26102501612315804</v>
      </c>
      <c r="I57" s="331">
        <f>I39+I45+I51</f>
        <v>43146.014000000003</v>
      </c>
      <c r="J57" s="327">
        <f>J39+J45+J51</f>
        <v>460776.13771999994</v>
      </c>
      <c r="K57" s="328">
        <f>I57/$I$62</f>
        <v>0.48402039916581507</v>
      </c>
    </row>
    <row r="58" spans="1:11" ht="11.1" customHeight="1">
      <c r="A58" s="433"/>
      <c r="B58" s="433"/>
      <c r="C58" s="155" t="s">
        <v>5</v>
      </c>
      <c r="D58" s="332">
        <f>D52</f>
        <v>311</v>
      </c>
      <c r="E58" s="130">
        <f t="shared" ref="E58:F59" si="19">E40+E46+E52</f>
        <v>6020.6020000000008</v>
      </c>
      <c r="F58" s="130">
        <f t="shared" si="19"/>
        <v>64898.161340000042</v>
      </c>
      <c r="G58" s="326">
        <f t="shared" ref="G58:G61" si="20">E58/$E$62</f>
        <v>8.9991764035891486E-2</v>
      </c>
      <c r="H58" s="326">
        <f t="shared" ref="H58:H61" si="21">(E58-I58)/I58</f>
        <v>-6.9732349202390492E-2</v>
      </c>
      <c r="I58" s="332">
        <f t="shared" ref="I58:J58" si="22">I40+I46+I52</f>
        <v>6471.9029999999993</v>
      </c>
      <c r="J58" s="130">
        <f t="shared" si="22"/>
        <v>69110.123810000019</v>
      </c>
      <c r="K58" s="326">
        <f t="shared" ref="K58:K61" si="23">I58/$I$62</f>
        <v>7.2603069971247769E-2</v>
      </c>
    </row>
    <row r="59" spans="1:11" ht="11.1" customHeight="1">
      <c r="A59" s="433"/>
      <c r="B59" s="433"/>
      <c r="C59" s="155" t="s">
        <v>6</v>
      </c>
      <c r="D59" s="332">
        <f>D53</f>
        <v>10877</v>
      </c>
      <c r="E59" s="130">
        <f>E41+E47+E53</f>
        <v>9635.7459999999992</v>
      </c>
      <c r="F59" s="130">
        <f t="shared" si="19"/>
        <v>103841.29541999999</v>
      </c>
      <c r="G59" s="326">
        <f t="shared" si="20"/>
        <v>0.14402841781300027</v>
      </c>
      <c r="H59" s="326">
        <f t="shared" si="21"/>
        <v>-0.17203746620632027</v>
      </c>
      <c r="I59" s="332">
        <f>I41+I47+I53</f>
        <v>11637.901</v>
      </c>
      <c r="J59" s="130">
        <f t="shared" ref="J59" si="24">J41+J47+J53</f>
        <v>124264.24718999999</v>
      </c>
      <c r="K59" s="326">
        <f t="shared" si="23"/>
        <v>0.13055624298161675</v>
      </c>
    </row>
    <row r="60" spans="1:11" ht="11.1" customHeight="1">
      <c r="A60" s="433"/>
      <c r="B60" s="433"/>
      <c r="C60" s="155" t="s">
        <v>7</v>
      </c>
      <c r="D60" s="332">
        <f>D54</f>
        <v>144345</v>
      </c>
      <c r="E60" s="130">
        <f t="shared" ref="E60:F61" si="25">E42+E48+E54</f>
        <v>18692.400000000001</v>
      </c>
      <c r="F60" s="130">
        <f t="shared" si="25"/>
        <v>201435.6</v>
      </c>
      <c r="G60" s="326">
        <f t="shared" si="20"/>
        <v>0.27940097187365942</v>
      </c>
      <c r="H60" s="326">
        <f t="shared" si="21"/>
        <v>-0.31295622450104749</v>
      </c>
      <c r="I60" s="332">
        <f t="shared" ref="I60:J60" si="26">I42+I48+I54</f>
        <v>27207</v>
      </c>
      <c r="J60" s="130">
        <f t="shared" si="26"/>
        <v>290506.8</v>
      </c>
      <c r="K60" s="326">
        <f t="shared" si="23"/>
        <v>0.30521343176925519</v>
      </c>
    </row>
    <row r="61" spans="1:11" ht="11.1" customHeight="1">
      <c r="A61" s="433"/>
      <c r="B61" s="433"/>
      <c r="C61" s="155" t="s">
        <v>93</v>
      </c>
      <c r="D61" s="332">
        <f>D55</f>
        <v>11</v>
      </c>
      <c r="E61" s="130">
        <f>E43+E49+E55</f>
        <v>669.12699999999995</v>
      </c>
      <c r="F61" s="130">
        <f t="shared" si="25"/>
        <v>7217.0072300000002</v>
      </c>
      <c r="G61" s="326">
        <f t="shared" si="20"/>
        <v>1.0001644203361051E-2</v>
      </c>
      <c r="H61" s="326">
        <f t="shared" si="21"/>
        <v>-1.3206367371497904E-2</v>
      </c>
      <c r="I61" s="332">
        <f>I43+I49+I55</f>
        <v>678.08199999999999</v>
      </c>
      <c r="J61" s="130">
        <f t="shared" ref="J61" si="27">J43+J49+J55</f>
        <v>7241.8867300000002</v>
      </c>
      <c r="K61" s="326">
        <f t="shared" si="23"/>
        <v>7.606856112065281E-3</v>
      </c>
    </row>
    <row r="62" spans="1:11" ht="11.1" customHeight="1">
      <c r="A62" s="434"/>
      <c r="B62" s="434"/>
      <c r="C62" s="337" t="s">
        <v>0</v>
      </c>
      <c r="D62" s="340">
        <f>SUM(D57:D61)</f>
        <v>155615</v>
      </c>
      <c r="E62" s="338">
        <f>SUM(E57:E61)</f>
        <v>66901.7</v>
      </c>
      <c r="F62" s="338">
        <f>SUM(F57:F61)</f>
        <v>721123.79205000005</v>
      </c>
      <c r="G62" s="339">
        <f>SUM(G57:G61)</f>
        <v>1</v>
      </c>
      <c r="H62" s="339">
        <f>(E62-I62)/I62</f>
        <v>-0.24948368257444112</v>
      </c>
      <c r="I62" s="340">
        <f>SUM(I57:I61)</f>
        <v>89140.9</v>
      </c>
      <c r="J62" s="338">
        <f>SUM(J57:J61)</f>
        <v>951899.19545000012</v>
      </c>
      <c r="K62" s="339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5" t="str">
        <f>"6.8 Spotřeba zemního plynu a teplota ovzduší podle krajů: "&amp;LOWER(A3)</f>
        <v>6.8 Spotřeba zemního plynu a teplota ovzduší podle krajů: duben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319"/>
      <c r="D2" s="320"/>
      <c r="E2" s="321"/>
      <c r="F2" s="321"/>
      <c r="G2" s="321"/>
      <c r="H2" s="321"/>
      <c r="I2" s="76"/>
      <c r="J2" s="76"/>
      <c r="K2" s="76"/>
    </row>
    <row r="3" spans="1:11" ht="20.100000000000001" customHeight="1">
      <c r="A3" s="473" t="str">
        <f>'3.1'!D5</f>
        <v>Duben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</row>
    <row r="4" spans="1:11" ht="20.100000000000001" customHeight="1">
      <c r="A4" s="129"/>
      <c r="B4" s="271">
        <f>'3.1'!A4</f>
        <v>2022</v>
      </c>
      <c r="C4" s="528" t="s">
        <v>60</v>
      </c>
      <c r="D4" s="529"/>
      <c r="E4" s="529"/>
      <c r="F4" s="530"/>
      <c r="G4" s="531" t="s">
        <v>187</v>
      </c>
      <c r="H4" s="531"/>
      <c r="I4" s="531"/>
      <c r="J4" s="531"/>
      <c r="K4" s="531"/>
    </row>
    <row r="5" spans="1:11" ht="49.5" customHeight="1">
      <c r="A5" s="291"/>
      <c r="B5" s="490" t="s">
        <v>186</v>
      </c>
      <c r="C5" s="372"/>
      <c r="D5" s="373"/>
      <c r="E5" s="490" t="s">
        <v>283</v>
      </c>
      <c r="F5" s="510" t="s">
        <v>286</v>
      </c>
      <c r="G5" s="396" t="s">
        <v>62</v>
      </c>
      <c r="H5" s="396" t="s">
        <v>174</v>
      </c>
      <c r="I5" s="396" t="s">
        <v>175</v>
      </c>
      <c r="J5" s="396" t="s">
        <v>288</v>
      </c>
      <c r="K5" s="396" t="s">
        <v>289</v>
      </c>
    </row>
    <row r="6" spans="1:11" ht="15" customHeight="1">
      <c r="A6" s="222" t="s">
        <v>188</v>
      </c>
      <c r="B6" s="477"/>
      <c r="C6" s="224" t="s">
        <v>265</v>
      </c>
      <c r="D6" s="222" t="s">
        <v>266</v>
      </c>
      <c r="E6" s="477"/>
      <c r="F6" s="511"/>
      <c r="G6" s="222" t="s">
        <v>234</v>
      </c>
      <c r="H6" s="222" t="s">
        <v>234</v>
      </c>
      <c r="I6" s="222" t="s">
        <v>234</v>
      </c>
      <c r="J6" s="222" t="s">
        <v>234</v>
      </c>
      <c r="K6" s="222" t="s">
        <v>234</v>
      </c>
    </row>
    <row r="7" spans="1:11" ht="14.1" customHeight="1">
      <c r="A7" s="155" t="s">
        <v>8</v>
      </c>
      <c r="B7" s="130">
        <f>'6.1'!D14</f>
        <v>104943</v>
      </c>
      <c r="C7" s="332">
        <f>'6.1'!E14</f>
        <v>24568.994149999999</v>
      </c>
      <c r="D7" s="130">
        <f>'6.1'!F14</f>
        <v>262503.67981999996</v>
      </c>
      <c r="E7" s="326">
        <f>D7/$D$21</f>
        <v>3.6640114521340764E-2</v>
      </c>
      <c r="F7" s="351">
        <f>'6.1'!H14</f>
        <v>-0.15532506130811105</v>
      </c>
      <c r="G7" s="345">
        <v>6.01</v>
      </c>
      <c r="H7" s="346">
        <v>13.1</v>
      </c>
      <c r="I7" s="346">
        <v>-1.3</v>
      </c>
      <c r="J7" s="346">
        <v>7.0999999999999961</v>
      </c>
      <c r="K7" s="345">
        <v>-1.0899999999999963</v>
      </c>
    </row>
    <row r="8" spans="1:11" ht="14.1" customHeight="1">
      <c r="A8" s="155" t="s">
        <v>9</v>
      </c>
      <c r="B8" s="130">
        <f>'6.1'!D44</f>
        <v>381342</v>
      </c>
      <c r="C8" s="332">
        <f>'6.1'!E44</f>
        <v>89320.999999999985</v>
      </c>
      <c r="D8" s="130">
        <f>'6.1'!F44</f>
        <v>962530.33163999999</v>
      </c>
      <c r="E8" s="326">
        <f t="shared" ref="E8:E20" si="0">D8/$D$21</f>
        <v>0.13434943695165191</v>
      </c>
      <c r="F8" s="351">
        <f>'6.1'!H44</f>
        <v>-0.10251798561151093</v>
      </c>
      <c r="G8" s="345">
        <v>8.34</v>
      </c>
      <c r="H8" s="346">
        <v>13.7</v>
      </c>
      <c r="I8" s="346">
        <v>0.9</v>
      </c>
      <c r="J8" s="346">
        <v>8.9000000000000021</v>
      </c>
      <c r="K8" s="345">
        <v>-0.56000000000000227</v>
      </c>
    </row>
    <row r="9" spans="1:11" ht="14.1" customHeight="1">
      <c r="A9" s="155" t="s">
        <v>10</v>
      </c>
      <c r="B9" s="130">
        <f>'6.2'!D14</f>
        <v>83857</v>
      </c>
      <c r="C9" s="332">
        <f>'6.2'!E14</f>
        <v>17419.399999999998</v>
      </c>
      <c r="D9" s="130">
        <f>'6.2'!F14</f>
        <v>187712.58388000005</v>
      </c>
      <c r="E9" s="326">
        <f t="shared" si="0"/>
        <v>2.620081583304331E-2</v>
      </c>
      <c r="F9" s="351">
        <f>'6.2'!H14</f>
        <v>-0.71698873439891353</v>
      </c>
      <c r="G9" s="345">
        <v>5.3533333333333335</v>
      </c>
      <c r="H9" s="346">
        <v>11.8</v>
      </c>
      <c r="I9" s="346">
        <v>-2.5</v>
      </c>
      <c r="J9" s="346">
        <v>6.5</v>
      </c>
      <c r="K9" s="345">
        <v>-1.1466666666666665</v>
      </c>
    </row>
    <row r="10" spans="1:11" ht="14.1" customHeight="1">
      <c r="A10" s="155" t="s">
        <v>92</v>
      </c>
      <c r="B10" s="130">
        <f>'6.2'!D44</f>
        <v>117614</v>
      </c>
      <c r="C10" s="332">
        <f>'6.2'!E44</f>
        <v>28343.1</v>
      </c>
      <c r="D10" s="130">
        <f>'6.2'!F44</f>
        <v>305426.90525000001</v>
      </c>
      <c r="E10" s="326">
        <f t="shared" si="0"/>
        <v>4.2631313945512436E-2</v>
      </c>
      <c r="F10" s="351">
        <f>'6.2'!H44</f>
        <v>-0.12710423711587862</v>
      </c>
      <c r="G10" s="345">
        <v>6.083333333333333</v>
      </c>
      <c r="H10" s="346">
        <v>14</v>
      </c>
      <c r="I10" s="346">
        <v>-1.4</v>
      </c>
      <c r="J10" s="346">
        <v>7</v>
      </c>
      <c r="K10" s="345">
        <v>-0.91666666666666696</v>
      </c>
    </row>
    <row r="11" spans="1:11" ht="14.1" customHeight="1">
      <c r="A11" s="155" t="s">
        <v>11</v>
      </c>
      <c r="B11" s="130">
        <f>'6.3'!D14</f>
        <v>92893</v>
      </c>
      <c r="C11" s="332">
        <f>'6.3'!E14</f>
        <v>27124.399999999998</v>
      </c>
      <c r="D11" s="130">
        <f>'6.3'!F14</f>
        <v>292293.55342999997</v>
      </c>
      <c r="E11" s="326">
        <f t="shared" si="0"/>
        <v>4.079816815851308E-2</v>
      </c>
      <c r="F11" s="351">
        <f>'6.3'!H14</f>
        <v>-0.15299246185649429</v>
      </c>
      <c r="G11" s="345">
        <v>6.116666666666668</v>
      </c>
      <c r="H11" s="346">
        <v>13.9</v>
      </c>
      <c r="I11" s="346">
        <v>-1.3</v>
      </c>
      <c r="J11" s="346">
        <v>6.9000000000000039</v>
      </c>
      <c r="K11" s="345">
        <v>-0.78333333333333588</v>
      </c>
    </row>
    <row r="12" spans="1:11" ht="14.1" customHeight="1">
      <c r="A12" s="155" t="s">
        <v>12</v>
      </c>
      <c r="B12" s="130">
        <f>'6.3'!D44</f>
        <v>376518</v>
      </c>
      <c r="C12" s="332">
        <f>'6.3'!E44</f>
        <v>74293.203999999983</v>
      </c>
      <c r="D12" s="130">
        <f>'6.3'!F44</f>
        <v>800354.80649999972</v>
      </c>
      <c r="E12" s="326">
        <f t="shared" si="0"/>
        <v>0.11171306927191983</v>
      </c>
      <c r="F12" s="351">
        <f>'6.3'!H44</f>
        <v>-0.11810352930216542</v>
      </c>
      <c r="G12" s="345">
        <v>6.8533333333333335</v>
      </c>
      <c r="H12" s="346">
        <v>13.5</v>
      </c>
      <c r="I12" s="346">
        <v>-1</v>
      </c>
      <c r="J12" s="346">
        <v>7.3000000000000034</v>
      </c>
      <c r="K12" s="345">
        <v>-0.44666666666666988</v>
      </c>
    </row>
    <row r="13" spans="1:11" ht="14.1" customHeight="1">
      <c r="A13" s="155" t="s">
        <v>13</v>
      </c>
      <c r="B13" s="130">
        <f>'6.4'!D14</f>
        <v>186393</v>
      </c>
      <c r="C13" s="332">
        <f>'6.4'!E14</f>
        <v>42480.1</v>
      </c>
      <c r="D13" s="130">
        <f>'6.4'!F14</f>
        <v>457769.34912000003</v>
      </c>
      <c r="E13" s="326">
        <f t="shared" si="0"/>
        <v>6.3895185726986992E-2</v>
      </c>
      <c r="F13" s="351">
        <f>'6.4'!H14</f>
        <v>-5.6515645856607719E-2</v>
      </c>
      <c r="G13" s="345">
        <v>6.4099999999999993</v>
      </c>
      <c r="H13" s="346">
        <v>12.7</v>
      </c>
      <c r="I13" s="346">
        <v>-1</v>
      </c>
      <c r="J13" s="346">
        <v>6.9000000000000039</v>
      </c>
      <c r="K13" s="345">
        <v>-0.49000000000000465</v>
      </c>
    </row>
    <row r="14" spans="1:11" ht="14.1" customHeight="1">
      <c r="A14" s="155" t="s">
        <v>14</v>
      </c>
      <c r="B14" s="130">
        <f>'6.4'!D44</f>
        <v>136306</v>
      </c>
      <c r="C14" s="332">
        <f>'6.4'!E44</f>
        <v>31564.7</v>
      </c>
      <c r="D14" s="130">
        <f>'6.4'!F44</f>
        <v>340143.81011000002</v>
      </c>
      <c r="E14" s="326">
        <f t="shared" si="0"/>
        <v>4.74770798058963E-2</v>
      </c>
      <c r="F14" s="351">
        <f>'6.4'!H44</f>
        <v>-0.1005004075072525</v>
      </c>
      <c r="G14" s="345">
        <v>6.5666666666666664</v>
      </c>
      <c r="H14" s="346">
        <v>13</v>
      </c>
      <c r="I14" s="346">
        <v>-0.6</v>
      </c>
      <c r="J14" s="346">
        <v>7.9000000000000039</v>
      </c>
      <c r="K14" s="345">
        <v>-1.3333333333333375</v>
      </c>
    </row>
    <row r="15" spans="1:11" ht="14.1" customHeight="1">
      <c r="A15" s="155" t="s">
        <v>15</v>
      </c>
      <c r="B15" s="130">
        <f>'6.5'!D14</f>
        <v>159622</v>
      </c>
      <c r="C15" s="332">
        <f>'6.5'!E14</f>
        <v>33066.1</v>
      </c>
      <c r="D15" s="130">
        <f>'6.5'!F14</f>
        <v>356323.92481999996</v>
      </c>
      <c r="E15" s="326">
        <f t="shared" si="0"/>
        <v>4.973549102645268E-2</v>
      </c>
      <c r="F15" s="351">
        <f>'6.5'!H14</f>
        <v>-9.502905170738643E-2</v>
      </c>
      <c r="G15" s="345">
        <v>6.7966666666666669</v>
      </c>
      <c r="H15" s="346">
        <v>13.5</v>
      </c>
      <c r="I15" s="346">
        <v>-0.8</v>
      </c>
      <c r="J15" s="346">
        <v>7.1999999999999966</v>
      </c>
      <c r="K15" s="345">
        <v>-0.40333333333332977</v>
      </c>
    </row>
    <row r="16" spans="1:11" ht="14.1" customHeight="1">
      <c r="A16" s="155" t="s">
        <v>1</v>
      </c>
      <c r="B16" s="130">
        <f>'6.5'!D44</f>
        <v>412658</v>
      </c>
      <c r="C16" s="332">
        <f>'6.5'!E44</f>
        <v>73032.609774202283</v>
      </c>
      <c r="D16" s="130">
        <f>'6.5'!F44</f>
        <v>792720.77000390785</v>
      </c>
      <c r="E16" s="326">
        <f t="shared" si="0"/>
        <v>0.11064751479409803</v>
      </c>
      <c r="F16" s="351">
        <f>'6.5'!H44</f>
        <v>-0.11654594377449058</v>
      </c>
      <c r="G16" s="345">
        <v>8.4066666666666681</v>
      </c>
      <c r="H16" s="346">
        <v>14.9</v>
      </c>
      <c r="I16" s="346">
        <v>0.8</v>
      </c>
      <c r="J16" s="346">
        <v>8.6999999999999957</v>
      </c>
      <c r="K16" s="345">
        <v>-0.29333333333332767</v>
      </c>
    </row>
    <row r="17" spans="1:16" ht="14.1" customHeight="1">
      <c r="A17" s="155" t="s">
        <v>16</v>
      </c>
      <c r="B17" s="130">
        <f>'6.6'!D14</f>
        <v>260317</v>
      </c>
      <c r="C17" s="332">
        <f>'6.6'!E14</f>
        <v>94732.47</v>
      </c>
      <c r="D17" s="130">
        <f>'6.6'!F14</f>
        <v>1020926.8829399999</v>
      </c>
      <c r="E17" s="326">
        <f t="shared" si="0"/>
        <v>0.14250039441156456</v>
      </c>
      <c r="F17" s="351">
        <f>'6.6'!H14</f>
        <v>-0.10754038806727156</v>
      </c>
      <c r="G17" s="345">
        <v>7.133333333333332</v>
      </c>
      <c r="H17" s="346">
        <v>14</v>
      </c>
      <c r="I17" s="346">
        <v>-0.4</v>
      </c>
      <c r="J17" s="346">
        <v>8.5</v>
      </c>
      <c r="K17" s="345">
        <v>-1.366666666666668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'6.6'!D44</f>
        <v>221612</v>
      </c>
      <c r="C18" s="332">
        <f>'6.6'!E44</f>
        <v>65685.403000000006</v>
      </c>
      <c r="D18" s="130">
        <f>'6.6'!F44</f>
        <v>707947.61251000012</v>
      </c>
      <c r="E18" s="326">
        <f t="shared" si="0"/>
        <v>9.8814925624139335E-2</v>
      </c>
      <c r="F18" s="351">
        <f>'6.6'!H44</f>
        <v>-0.55793971275524779</v>
      </c>
      <c r="G18" s="345">
        <v>7.0333333333333323</v>
      </c>
      <c r="H18" s="346">
        <v>13.3</v>
      </c>
      <c r="I18" s="346">
        <v>0</v>
      </c>
      <c r="J18" s="346">
        <v>8.5</v>
      </c>
      <c r="K18" s="345">
        <v>-1.4666666666666677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'6.7'!D14</f>
        <v>119918</v>
      </c>
      <c r="C19" s="332">
        <f>'6.7'!E14</f>
        <v>27965.188849999999</v>
      </c>
      <c r="D19" s="130">
        <f>'6.7'!F14</f>
        <v>301039.46130999993</v>
      </c>
      <c r="E19" s="326">
        <f t="shared" si="0"/>
        <v>4.2018917012533068E-2</v>
      </c>
      <c r="F19" s="351">
        <f>'6.7'!H14</f>
        <v>-0.11771788282514972</v>
      </c>
      <c r="G19" s="345">
        <v>6.2433333333333332</v>
      </c>
      <c r="H19" s="346">
        <v>13.6</v>
      </c>
      <c r="I19" s="346">
        <v>-1.6</v>
      </c>
      <c r="J19" s="346">
        <v>6.9000000000000039</v>
      </c>
      <c r="K19" s="345">
        <v>-0.65666666666667073</v>
      </c>
      <c r="L19" s="94"/>
      <c r="N19" s="94"/>
      <c r="O19" s="94"/>
      <c r="P19" s="94"/>
    </row>
    <row r="20" spans="1:16" ht="14.1" customHeight="1">
      <c r="A20" s="205" t="s">
        <v>19</v>
      </c>
      <c r="B20" s="329">
        <f>'6.7'!D44</f>
        <v>156030</v>
      </c>
      <c r="C20" s="333">
        <f>'6.7'!E44</f>
        <v>34955.800000000003</v>
      </c>
      <c r="D20" s="329">
        <f>'6.7'!F44</f>
        <v>376685.67761999997</v>
      </c>
      <c r="E20" s="330">
        <f t="shared" si="0"/>
        <v>5.2577572916347737E-2</v>
      </c>
      <c r="F20" s="352">
        <f>'6.7'!H44</f>
        <v>-0.17197548790858416</v>
      </c>
      <c r="G20" s="347">
        <v>5.953333333333334</v>
      </c>
      <c r="H20" s="348">
        <v>11.5</v>
      </c>
      <c r="I20" s="348">
        <v>-2.6</v>
      </c>
      <c r="J20" s="348">
        <v>8.5</v>
      </c>
      <c r="K20" s="347">
        <v>-2.546666666666666</v>
      </c>
      <c r="L20" s="94"/>
    </row>
    <row r="21" spans="1:16" ht="14.1" customHeight="1">
      <c r="A21" s="155" t="s">
        <v>0</v>
      </c>
      <c r="B21" s="157">
        <f>SUM(B7:B20)</f>
        <v>2810023</v>
      </c>
      <c r="C21" s="332">
        <f>SUM(C7:C20)</f>
        <v>664552.46977420233</v>
      </c>
      <c r="D21" s="130">
        <f>SUM(D7:D20)</f>
        <v>7164379.3489539074</v>
      </c>
      <c r="E21" s="394">
        <f>SUM(E7:E20)</f>
        <v>1</v>
      </c>
      <c r="F21" s="351"/>
      <c r="G21" s="275">
        <v>6.6166666666666663</v>
      </c>
      <c r="H21" s="275">
        <v>13.3</v>
      </c>
      <c r="I21" s="275">
        <v>-1</v>
      </c>
      <c r="J21" s="275">
        <v>8.6366666666666667</v>
      </c>
      <c r="K21" s="275">
        <v>-2.0200000000000005</v>
      </c>
    </row>
    <row r="22" spans="1:16" ht="14.1" customHeight="1">
      <c r="A22" s="205" t="s">
        <v>94</v>
      </c>
      <c r="B22" s="395"/>
      <c r="C22" s="333">
        <f>'5.1'!E13</f>
        <v>6809.6798347968088</v>
      </c>
      <c r="D22" s="329">
        <f>'5.1'!F13</f>
        <v>73604.56656899993</v>
      </c>
      <c r="E22" s="395"/>
      <c r="F22" s="352">
        <f>'5.1'!H13</f>
        <v>-0.5563010530767164</v>
      </c>
      <c r="G22" s="281">
        <v>6.6166666666666663</v>
      </c>
      <c r="H22" s="281">
        <v>13.3</v>
      </c>
      <c r="I22" s="281">
        <v>-1</v>
      </c>
      <c r="J22" s="281">
        <v>8.6366666666666667</v>
      </c>
      <c r="K22" s="281">
        <v>-2.0200000000000005</v>
      </c>
    </row>
    <row r="23" spans="1:16" ht="14.1" customHeight="1">
      <c r="A23" s="205" t="s">
        <v>55</v>
      </c>
      <c r="B23" s="162">
        <f>B21+B22</f>
        <v>2810023</v>
      </c>
      <c r="C23" s="333">
        <f>C21+C22</f>
        <v>671362.14960899914</v>
      </c>
      <c r="D23" s="329">
        <f>D21+D22</f>
        <v>7237983.9155229069</v>
      </c>
      <c r="E23" s="395"/>
      <c r="F23" s="352">
        <f>'5.1'!H14</f>
        <v>-0.2390047159009476</v>
      </c>
      <c r="G23" s="281">
        <v>6.6166666666666663</v>
      </c>
      <c r="H23" s="281">
        <v>13.3</v>
      </c>
      <c r="I23" s="281">
        <v>-1</v>
      </c>
      <c r="J23" s="281">
        <v>8.6366666666666667</v>
      </c>
      <c r="K23" s="281">
        <v>-2.0200000000000005</v>
      </c>
    </row>
    <row r="24" spans="1:16" ht="15" customHeight="1">
      <c r="A24" s="102"/>
      <c r="B24" s="95"/>
      <c r="C24" s="513" t="s">
        <v>248</v>
      </c>
      <c r="D24" s="513"/>
      <c r="E24" s="513"/>
      <c r="F24" s="513"/>
      <c r="G24" s="516" t="s">
        <v>246</v>
      </c>
      <c r="H24" s="516"/>
      <c r="I24" s="516"/>
      <c r="J24" s="516"/>
      <c r="K24" s="516"/>
    </row>
    <row r="25" spans="1:16" ht="15" customHeight="1">
      <c r="A25" s="95"/>
      <c r="B25" s="95"/>
      <c r="C25" s="513"/>
      <c r="D25" s="513"/>
      <c r="E25" s="513"/>
      <c r="F25" s="513"/>
      <c r="G25" s="516" t="s">
        <v>247</v>
      </c>
      <c r="H25" s="516"/>
      <c r="I25" s="516"/>
      <c r="J25" s="516"/>
      <c r="K25" s="516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78" t="s">
        <v>261</v>
      </c>
      <c r="B29" s="478"/>
      <c r="C29" s="478"/>
      <c r="D29" s="478"/>
      <c r="E29" s="478"/>
      <c r="F29" s="478" t="s">
        <v>61</v>
      </c>
      <c r="G29" s="478"/>
      <c r="H29" s="478"/>
      <c r="I29" s="478"/>
      <c r="J29" s="478"/>
      <c r="K29" s="478"/>
    </row>
    <row r="30" spans="1:16" ht="15" customHeight="1">
      <c r="A30" s="121"/>
      <c r="B30" s="514"/>
      <c r="C30" s="514"/>
      <c r="D30" s="121"/>
      <c r="E30" s="121"/>
      <c r="F30" s="121"/>
      <c r="G30" s="121"/>
      <c r="H30" s="514"/>
      <c r="I30" s="514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B30:C30"/>
    <mergeCell ref="H30:I30"/>
    <mergeCell ref="F29:K29"/>
    <mergeCell ref="A29:E29"/>
    <mergeCell ref="B5:B6"/>
    <mergeCell ref="G25:K25"/>
    <mergeCell ref="G24:K24"/>
    <mergeCell ref="A1:K1"/>
    <mergeCell ref="A3:K3"/>
    <mergeCell ref="C24:F25"/>
    <mergeCell ref="C4:F4"/>
    <mergeCell ref="G4:K4"/>
    <mergeCell ref="A2:B2"/>
    <mergeCell ref="F5:F6"/>
    <mergeCell ref="E5:E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5" t="str">
        <f>"6.9 Spotřeba zemního plynu a teplota ovzduší podle krajů: "&amp;LOWER(A3)</f>
        <v>6.9 Spotřeba zemního plynu a teplota ovzduší podle krajů: květen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319"/>
      <c r="D2" s="320"/>
      <c r="E2" s="321"/>
      <c r="F2" s="321"/>
      <c r="G2" s="321"/>
      <c r="H2" s="321"/>
      <c r="I2" s="76"/>
      <c r="J2" s="76"/>
      <c r="K2" s="76"/>
    </row>
    <row r="3" spans="1:11" ht="20.100000000000001" customHeight="1">
      <c r="A3" s="473" t="str">
        <f>'3.1'!E5</f>
        <v>Květen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</row>
    <row r="4" spans="1:11" ht="20.100000000000001" customHeight="1">
      <c r="A4" s="129"/>
      <c r="B4" s="271">
        <f>'3.1'!A4</f>
        <v>2022</v>
      </c>
      <c r="C4" s="528" t="s">
        <v>60</v>
      </c>
      <c r="D4" s="529"/>
      <c r="E4" s="529"/>
      <c r="F4" s="530"/>
      <c r="G4" s="531" t="s">
        <v>187</v>
      </c>
      <c r="H4" s="531"/>
      <c r="I4" s="531"/>
      <c r="J4" s="531"/>
      <c r="K4" s="531"/>
    </row>
    <row r="5" spans="1:11" ht="49.5" customHeight="1">
      <c r="A5" s="291"/>
      <c r="B5" s="490" t="s">
        <v>186</v>
      </c>
      <c r="C5" s="372"/>
      <c r="D5" s="373"/>
      <c r="E5" s="490" t="s">
        <v>283</v>
      </c>
      <c r="F5" s="510" t="s">
        <v>286</v>
      </c>
      <c r="G5" s="396" t="s">
        <v>62</v>
      </c>
      <c r="H5" s="396" t="s">
        <v>174</v>
      </c>
      <c r="I5" s="396" t="s">
        <v>175</v>
      </c>
      <c r="J5" s="396" t="s">
        <v>288</v>
      </c>
      <c r="K5" s="396" t="s">
        <v>289</v>
      </c>
    </row>
    <row r="6" spans="1:11" ht="15" customHeight="1">
      <c r="A6" s="222" t="s">
        <v>188</v>
      </c>
      <c r="B6" s="477"/>
      <c r="C6" s="224" t="s">
        <v>265</v>
      </c>
      <c r="D6" s="222" t="s">
        <v>266</v>
      </c>
      <c r="E6" s="477"/>
      <c r="F6" s="511"/>
      <c r="G6" s="222" t="s">
        <v>234</v>
      </c>
      <c r="H6" s="222" t="s">
        <v>234</v>
      </c>
      <c r="I6" s="222" t="s">
        <v>234</v>
      </c>
      <c r="J6" s="222" t="s">
        <v>234</v>
      </c>
      <c r="K6" s="222" t="s">
        <v>234</v>
      </c>
    </row>
    <row r="7" spans="1:11" ht="14.1" customHeight="1">
      <c r="A7" s="155" t="s">
        <v>8</v>
      </c>
      <c r="B7" s="130">
        <f>'6.1'!D20</f>
        <v>104755</v>
      </c>
      <c r="C7" s="332">
        <f>'6.1'!E20</f>
        <v>12882.110449999998</v>
      </c>
      <c r="D7" s="130">
        <f>'6.1'!F20</f>
        <v>137797.62778000001</v>
      </c>
      <c r="E7" s="326">
        <f>D7/$D$21</f>
        <v>3.3367239632711154E-2</v>
      </c>
      <c r="F7" s="351">
        <f>'6.1'!H20</f>
        <v>-0.37903098594978152</v>
      </c>
      <c r="G7" s="345">
        <v>13.912903225806454</v>
      </c>
      <c r="H7" s="346">
        <v>20.5</v>
      </c>
      <c r="I7" s="346">
        <v>8.6</v>
      </c>
      <c r="J7" s="346">
        <v>12.5</v>
      </c>
      <c r="K7" s="345">
        <v>1.4129032258064544</v>
      </c>
    </row>
    <row r="8" spans="1:11" ht="14.1" customHeight="1">
      <c r="A8" s="155" t="s">
        <v>9</v>
      </c>
      <c r="B8" s="130">
        <f>'6.1'!D50</f>
        <v>380875</v>
      </c>
      <c r="C8" s="332">
        <f>'6.1'!E50</f>
        <v>37348.800000000003</v>
      </c>
      <c r="D8" s="130">
        <f>'6.1'!F50</f>
        <v>401307.95427999989</v>
      </c>
      <c r="E8" s="326">
        <f t="shared" ref="E8:E20" si="0">D8/$D$21</f>
        <v>9.7175393311940264E-2</v>
      </c>
      <c r="F8" s="351">
        <f>'6.1'!H50</f>
        <v>-0.37026758164865359</v>
      </c>
      <c r="G8" s="345">
        <v>15.86451612903226</v>
      </c>
      <c r="H8" s="346">
        <v>21.4</v>
      </c>
      <c r="I8" s="346">
        <v>12</v>
      </c>
      <c r="J8" s="346">
        <v>14.199999999999992</v>
      </c>
      <c r="K8" s="345">
        <v>1.6645161290322683</v>
      </c>
    </row>
    <row r="9" spans="1:11" ht="14.1" customHeight="1">
      <c r="A9" s="155" t="s">
        <v>10</v>
      </c>
      <c r="B9" s="130">
        <f>'6.2'!D20</f>
        <v>83752</v>
      </c>
      <c r="C9" s="332">
        <f>'6.2'!E20</f>
        <v>10126.599999999999</v>
      </c>
      <c r="D9" s="130">
        <f>'6.2'!F20</f>
        <v>108809.83555999999</v>
      </c>
      <c r="E9" s="326">
        <f t="shared" si="0"/>
        <v>2.6347941659220445E-2</v>
      </c>
      <c r="F9" s="351">
        <f>'6.2'!H20</f>
        <v>-0.82577622707276332</v>
      </c>
      <c r="G9" s="345">
        <v>13.435483870967742</v>
      </c>
      <c r="H9" s="346">
        <v>18.600000000000001</v>
      </c>
      <c r="I9" s="346">
        <v>8.6</v>
      </c>
      <c r="J9" s="346">
        <v>11.800000000000006</v>
      </c>
      <c r="K9" s="345">
        <v>1.635483870967736</v>
      </c>
    </row>
    <row r="10" spans="1:11" ht="14.1" customHeight="1">
      <c r="A10" s="155" t="s">
        <v>92</v>
      </c>
      <c r="B10" s="130">
        <f>'6.2'!D50</f>
        <v>117468</v>
      </c>
      <c r="C10" s="332">
        <f>'6.2'!E50</f>
        <v>14396.500000000002</v>
      </c>
      <c r="D10" s="130">
        <f>'6.2'!F50</f>
        <v>154689.27576000002</v>
      </c>
      <c r="E10" s="326">
        <f t="shared" si="0"/>
        <v>3.7457496301279626E-2</v>
      </c>
      <c r="F10" s="351">
        <f>'6.2'!H50</f>
        <v>-0.34400047389261762</v>
      </c>
      <c r="G10" s="345">
        <v>13.829032258064514</v>
      </c>
      <c r="H10" s="346">
        <v>20.7</v>
      </c>
      <c r="I10" s="346">
        <v>9.4</v>
      </c>
      <c r="J10" s="346">
        <v>12.600000000000005</v>
      </c>
      <c r="K10" s="345">
        <v>1.2290322580645086</v>
      </c>
    </row>
    <row r="11" spans="1:11" ht="14.1" customHeight="1">
      <c r="A11" s="155" t="s">
        <v>11</v>
      </c>
      <c r="B11" s="130">
        <f>'6.3'!D20</f>
        <v>92778</v>
      </c>
      <c r="C11" s="332">
        <f>'6.3'!E20</f>
        <v>13043.699999999999</v>
      </c>
      <c r="D11" s="130">
        <f>'6.3'!F20</f>
        <v>140153.09307999999</v>
      </c>
      <c r="E11" s="326">
        <f t="shared" si="0"/>
        <v>3.3937607761523325E-2</v>
      </c>
      <c r="F11" s="351">
        <f>'6.3'!H20</f>
        <v>-0.41816211008069382</v>
      </c>
      <c r="G11" s="345">
        <v>14.012903225806452</v>
      </c>
      <c r="H11" s="346">
        <v>19.8</v>
      </c>
      <c r="I11" s="346">
        <v>9</v>
      </c>
      <c r="J11" s="346">
        <v>12.399999999999995</v>
      </c>
      <c r="K11" s="345">
        <v>1.6129032258064573</v>
      </c>
    </row>
    <row r="12" spans="1:11" ht="14.1" customHeight="1">
      <c r="A12" s="155" t="s">
        <v>12</v>
      </c>
      <c r="B12" s="130">
        <f>'6.3'!D50</f>
        <v>376038</v>
      </c>
      <c r="C12" s="332">
        <f>'6.3'!E50</f>
        <v>45950.067999999999</v>
      </c>
      <c r="D12" s="130">
        <f>'6.3'!F50</f>
        <v>493535.63181999989</v>
      </c>
      <c r="E12" s="326">
        <f t="shared" si="0"/>
        <v>0.11950802027238962</v>
      </c>
      <c r="F12" s="351">
        <f>'6.3'!H50</f>
        <v>-0.26875660017804109</v>
      </c>
      <c r="G12" s="345">
        <v>14.480645161290322</v>
      </c>
      <c r="H12" s="346">
        <v>21.2</v>
      </c>
      <c r="I12" s="346">
        <v>10.8</v>
      </c>
      <c r="J12" s="346">
        <v>12.699999999999994</v>
      </c>
      <c r="K12" s="345">
        <v>1.7806451612903285</v>
      </c>
    </row>
    <row r="13" spans="1:11" ht="14.1" customHeight="1">
      <c r="A13" s="155" t="s">
        <v>13</v>
      </c>
      <c r="B13" s="130">
        <f>'6.4'!D20</f>
        <v>186158</v>
      </c>
      <c r="C13" s="332">
        <f>'6.4'!E20</f>
        <v>22170.600000000002</v>
      </c>
      <c r="D13" s="130">
        <f>'6.4'!F20</f>
        <v>238220.08252999996</v>
      </c>
      <c r="E13" s="326">
        <f t="shared" si="0"/>
        <v>5.768420478031204E-2</v>
      </c>
      <c r="F13" s="351">
        <f>'6.4'!H20</f>
        <v>-0.30055461962179858</v>
      </c>
      <c r="G13" s="345">
        <v>14.08064516129032</v>
      </c>
      <c r="H13" s="346">
        <v>20.2</v>
      </c>
      <c r="I13" s="346">
        <v>9.9</v>
      </c>
      <c r="J13" s="346">
        <v>12.199999999999994</v>
      </c>
      <c r="K13" s="345">
        <v>1.8806451612903263</v>
      </c>
    </row>
    <row r="14" spans="1:11" ht="14.1" customHeight="1">
      <c r="A14" s="155" t="s">
        <v>14</v>
      </c>
      <c r="B14" s="130">
        <f>'6.4'!D50</f>
        <v>136136</v>
      </c>
      <c r="C14" s="332">
        <f>'6.4'!E50</f>
        <v>16579.099999999999</v>
      </c>
      <c r="D14" s="130">
        <f>'6.4'!F50</f>
        <v>178140.92499999999</v>
      </c>
      <c r="E14" s="326">
        <f t="shared" si="0"/>
        <v>4.3136235569728357E-2</v>
      </c>
      <c r="F14" s="351">
        <f>'6.4'!H50</f>
        <v>-0.3413202914557692</v>
      </c>
      <c r="G14" s="345">
        <v>14.251612903225809</v>
      </c>
      <c r="H14" s="346">
        <v>21.1</v>
      </c>
      <c r="I14" s="346">
        <v>9.4</v>
      </c>
      <c r="J14" s="346">
        <v>13.300000000000008</v>
      </c>
      <c r="K14" s="345">
        <v>0.95161290322580072</v>
      </c>
    </row>
    <row r="15" spans="1:11" ht="14.1" customHeight="1">
      <c r="A15" s="155" t="s">
        <v>15</v>
      </c>
      <c r="B15" s="130">
        <f>'6.5'!D20</f>
        <v>159422</v>
      </c>
      <c r="C15" s="332">
        <f>'6.5'!E20</f>
        <v>17985.599999999999</v>
      </c>
      <c r="D15" s="130">
        <f>'6.5'!F20</f>
        <v>193253.03031999993</v>
      </c>
      <c r="E15" s="326">
        <f t="shared" si="0"/>
        <v>4.6795581871192003E-2</v>
      </c>
      <c r="F15" s="351">
        <f>'6.5'!H20</f>
        <v>-0.30372303153950075</v>
      </c>
      <c r="G15" s="345">
        <v>14.74193548387097</v>
      </c>
      <c r="H15" s="346">
        <v>19.600000000000001</v>
      </c>
      <c r="I15" s="346">
        <v>9.6</v>
      </c>
      <c r="J15" s="346">
        <v>12.699999999999994</v>
      </c>
      <c r="K15" s="345">
        <v>2.0419354838709758</v>
      </c>
    </row>
    <row r="16" spans="1:11" ht="14.1" customHeight="1">
      <c r="A16" s="155" t="s">
        <v>1</v>
      </c>
      <c r="B16" s="130">
        <f>'6.5'!D50</f>
        <v>412232</v>
      </c>
      <c r="C16" s="332">
        <f>'6.5'!E50</f>
        <v>26625.16474560499</v>
      </c>
      <c r="D16" s="130">
        <f>'6.5'!F50</f>
        <v>287271.33019497723</v>
      </c>
      <c r="E16" s="326">
        <f t="shared" si="0"/>
        <v>6.9561802105382334E-2</v>
      </c>
      <c r="F16" s="351">
        <f>'6.5'!H50</f>
        <v>-0.4814751109371101</v>
      </c>
      <c r="G16" s="345">
        <v>16.79032258064516</v>
      </c>
      <c r="H16" s="346">
        <v>21.9</v>
      </c>
      <c r="I16" s="346">
        <v>10.4</v>
      </c>
      <c r="J16" s="346">
        <v>14</v>
      </c>
      <c r="K16" s="345">
        <v>2.7903225806451601</v>
      </c>
    </row>
    <row r="17" spans="1:16" ht="14.1" customHeight="1">
      <c r="A17" s="155" t="s">
        <v>16</v>
      </c>
      <c r="B17" s="130">
        <f>'6.6'!D20</f>
        <v>259993</v>
      </c>
      <c r="C17" s="332">
        <f>'6.6'!E20</f>
        <v>60198.828999999983</v>
      </c>
      <c r="D17" s="130">
        <f>'6.6'!F20</f>
        <v>646835.859176</v>
      </c>
      <c r="E17" s="326">
        <f t="shared" si="0"/>
        <v>0.15662916309861741</v>
      </c>
      <c r="F17" s="351">
        <f>'6.6'!H20</f>
        <v>-0.20965334787179365</v>
      </c>
      <c r="G17" s="345">
        <v>15.174193548387095</v>
      </c>
      <c r="H17" s="346">
        <v>20.6</v>
      </c>
      <c r="I17" s="346">
        <v>9.4</v>
      </c>
      <c r="J17" s="346">
        <v>13.800000000000008</v>
      </c>
      <c r="K17" s="345">
        <v>1.3741935483870868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'6.6'!D50</f>
        <v>221331</v>
      </c>
      <c r="C18" s="332">
        <f>'6.6'!E50</f>
        <v>75497.58</v>
      </c>
      <c r="D18" s="130">
        <f>'6.6'!F50</f>
        <v>811687.93861000007</v>
      </c>
      <c r="E18" s="326">
        <f t="shared" si="0"/>
        <v>0.19654754868365129</v>
      </c>
      <c r="F18" s="351">
        <f>'6.6'!H50</f>
        <v>7.7254969896750306E-2</v>
      </c>
      <c r="G18" s="345">
        <v>14.95161290322581</v>
      </c>
      <c r="H18" s="346">
        <v>20.7</v>
      </c>
      <c r="I18" s="346">
        <v>10</v>
      </c>
      <c r="J18" s="346">
        <v>13.899999999999993</v>
      </c>
      <c r="K18" s="345">
        <v>1.0516129032258164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'6.7'!D20</f>
        <v>119791</v>
      </c>
      <c r="C19" s="332">
        <f>'6.7'!E20</f>
        <v>13157.50956</v>
      </c>
      <c r="D19" s="130">
        <f>'6.7'!F20</f>
        <v>141289.71729000003</v>
      </c>
      <c r="E19" s="326">
        <f t="shared" si="0"/>
        <v>3.4212837553199878E-2</v>
      </c>
      <c r="F19" s="351">
        <f>'6.7'!H20</f>
        <v>-0.38101636758212354</v>
      </c>
      <c r="G19" s="345">
        <v>14.093548387096778</v>
      </c>
      <c r="H19" s="346">
        <v>21.8</v>
      </c>
      <c r="I19" s="346">
        <v>8.5</v>
      </c>
      <c r="J19" s="346">
        <v>12.399999999999995</v>
      </c>
      <c r="K19" s="345">
        <v>1.6935483870967829</v>
      </c>
      <c r="L19" s="94"/>
      <c r="N19" s="94"/>
      <c r="O19" s="94"/>
      <c r="P19" s="94"/>
    </row>
    <row r="20" spans="1:16" ht="14.1" customHeight="1">
      <c r="A20" s="205" t="s">
        <v>19</v>
      </c>
      <c r="B20" s="329">
        <f>'6.7'!D50</f>
        <v>155833</v>
      </c>
      <c r="C20" s="333">
        <f>'6.7'!E50</f>
        <v>18309.8</v>
      </c>
      <c r="D20" s="329">
        <f>'6.7'!F50</f>
        <v>196735.81806000005</v>
      </c>
      <c r="E20" s="330">
        <f t="shared" si="0"/>
        <v>4.7638927398852234E-2</v>
      </c>
      <c r="F20" s="352">
        <f>'6.7'!H50</f>
        <v>-0.36499932372209487</v>
      </c>
      <c r="G20" s="347">
        <v>13.945161290322579</v>
      </c>
      <c r="H20" s="348">
        <v>19.3</v>
      </c>
      <c r="I20" s="348">
        <v>9.9</v>
      </c>
      <c r="J20" s="348">
        <v>13.800000000000008</v>
      </c>
      <c r="K20" s="347">
        <v>0.14516129032257119</v>
      </c>
      <c r="L20" s="94"/>
    </row>
    <row r="21" spans="1:16" ht="14.1" customHeight="1">
      <c r="A21" s="155" t="s">
        <v>0</v>
      </c>
      <c r="B21" s="157">
        <f>SUM(B7:B20)</f>
        <v>2806562</v>
      </c>
      <c r="C21" s="332">
        <f>SUM(C7:C20)</f>
        <v>384271.96175560495</v>
      </c>
      <c r="D21" s="130">
        <f>SUM(D7:D20)</f>
        <v>4129728.1194609771</v>
      </c>
      <c r="E21" s="394">
        <f>SUM(E7:E20)</f>
        <v>1</v>
      </c>
      <c r="F21" s="351"/>
      <c r="G21" s="275">
        <v>14.500000000000002</v>
      </c>
      <c r="H21" s="275">
        <v>20.6</v>
      </c>
      <c r="I21" s="275">
        <v>9.6999999999999993</v>
      </c>
      <c r="J21" s="275">
        <v>13.522580645161288</v>
      </c>
      <c r="K21" s="275">
        <v>0.97741935483871423</v>
      </c>
    </row>
    <row r="22" spans="1:16" ht="14.1" customHeight="1">
      <c r="A22" s="205" t="s">
        <v>94</v>
      </c>
      <c r="B22" s="395"/>
      <c r="C22" s="333">
        <f>'5.1'!E20</f>
        <v>4624.2103988143199</v>
      </c>
      <c r="D22" s="329">
        <f>'5.1'!F20</f>
        <v>49929.173227999949</v>
      </c>
      <c r="E22" s="395"/>
      <c r="F22" s="352">
        <f>'5.1'!H20</f>
        <v>-0.37102370995763712</v>
      </c>
      <c r="G22" s="281">
        <v>14.500000000000002</v>
      </c>
      <c r="H22" s="281">
        <v>20.6</v>
      </c>
      <c r="I22" s="281">
        <v>9.6999999999999993</v>
      </c>
      <c r="J22" s="281">
        <v>13.522580645161288</v>
      </c>
      <c r="K22" s="281">
        <v>0.97741935483871423</v>
      </c>
    </row>
    <row r="23" spans="1:16" ht="14.1" customHeight="1">
      <c r="A23" s="205" t="s">
        <v>55</v>
      </c>
      <c r="B23" s="162">
        <f>B21+B22</f>
        <v>2806562</v>
      </c>
      <c r="C23" s="333">
        <f t="shared" ref="C23:D23" si="1">C21+C22</f>
        <v>388896.17215441924</v>
      </c>
      <c r="D23" s="329">
        <f t="shared" si="1"/>
        <v>4179657.292688977</v>
      </c>
      <c r="E23" s="395"/>
      <c r="F23" s="352">
        <f>'5.1'!H21</f>
        <v>-0.33307804827258036</v>
      </c>
      <c r="G23" s="281">
        <v>14.500000000000002</v>
      </c>
      <c r="H23" s="281">
        <v>20.6</v>
      </c>
      <c r="I23" s="281">
        <v>9.6999999999999993</v>
      </c>
      <c r="J23" s="281">
        <v>13.522580645161288</v>
      </c>
      <c r="K23" s="281">
        <v>0.97741935483871423</v>
      </c>
    </row>
    <row r="24" spans="1:16" ht="15" customHeight="1">
      <c r="A24" s="102"/>
      <c r="B24" s="95"/>
      <c r="C24" s="513" t="s">
        <v>248</v>
      </c>
      <c r="D24" s="513"/>
      <c r="E24" s="513"/>
      <c r="F24" s="513"/>
      <c r="G24" s="516" t="s">
        <v>246</v>
      </c>
      <c r="H24" s="516"/>
      <c r="I24" s="516"/>
      <c r="J24" s="516"/>
      <c r="K24" s="516"/>
    </row>
    <row r="25" spans="1:16" ht="15" customHeight="1">
      <c r="A25" s="95"/>
      <c r="B25" s="95"/>
      <c r="C25" s="513"/>
      <c r="D25" s="513"/>
      <c r="E25" s="513"/>
      <c r="F25" s="513"/>
      <c r="G25" s="516" t="s">
        <v>247</v>
      </c>
      <c r="H25" s="516"/>
      <c r="I25" s="516"/>
      <c r="J25" s="516"/>
      <c r="K25" s="516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78" t="s">
        <v>261</v>
      </c>
      <c r="B29" s="478"/>
      <c r="C29" s="478"/>
      <c r="D29" s="478"/>
      <c r="E29" s="478"/>
      <c r="F29" s="478" t="s">
        <v>61</v>
      </c>
      <c r="G29" s="478"/>
      <c r="H29" s="478"/>
      <c r="I29" s="478"/>
      <c r="J29" s="478"/>
      <c r="K29" s="478"/>
    </row>
    <row r="30" spans="1:16" ht="15" customHeight="1">
      <c r="A30" s="121"/>
      <c r="B30" s="514"/>
      <c r="C30" s="514"/>
      <c r="D30" s="121"/>
      <c r="E30" s="121"/>
      <c r="F30" s="121"/>
      <c r="G30" s="121"/>
      <c r="H30" s="514"/>
      <c r="I30" s="514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F16" sqref="F16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45" t="s">
        <v>250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19" t="s">
        <v>318</v>
      </c>
      <c r="B3" s="419"/>
    </row>
    <row r="4" spans="1:4" ht="11.25" customHeight="1">
      <c r="A4" s="419"/>
      <c r="B4" s="419"/>
    </row>
    <row r="5" spans="1:4" ht="11.25" customHeight="1">
      <c r="A5" s="419"/>
      <c r="B5" s="419"/>
      <c r="C5" s="7"/>
      <c r="D5" s="7"/>
    </row>
    <row r="6" spans="1:4" ht="11.25" customHeight="1">
      <c r="A6" s="419"/>
      <c r="B6" s="419"/>
      <c r="C6" s="7"/>
      <c r="D6" s="7"/>
    </row>
    <row r="7" spans="1:4" ht="11.25" customHeight="1">
      <c r="A7" s="419"/>
      <c r="B7" s="419"/>
      <c r="C7" s="8"/>
      <c r="D7" s="7"/>
    </row>
    <row r="8" spans="1:4" ht="11.25" customHeight="1">
      <c r="A8" s="419"/>
      <c r="B8" s="419"/>
      <c r="C8" s="7"/>
      <c r="D8" s="7"/>
    </row>
    <row r="9" spans="1:4" ht="11.25" customHeight="1">
      <c r="A9" s="419"/>
      <c r="B9" s="419"/>
      <c r="C9" s="7"/>
      <c r="D9" s="7"/>
    </row>
    <row r="10" spans="1:4" ht="11.25" customHeight="1">
      <c r="A10" s="419"/>
      <c r="B10" s="419"/>
      <c r="C10" s="7"/>
      <c r="D10" s="7"/>
    </row>
    <row r="11" spans="1:4" ht="11.25" customHeight="1">
      <c r="A11" s="419"/>
      <c r="B11" s="419"/>
      <c r="C11" s="7"/>
      <c r="D11" s="7"/>
    </row>
    <row r="12" spans="1:4" ht="11.25" customHeight="1">
      <c r="A12" s="419"/>
      <c r="B12" s="419"/>
      <c r="C12" s="7"/>
      <c r="D12" s="7"/>
    </row>
    <row r="13" spans="1:4" ht="11.25" customHeight="1">
      <c r="A13" s="419"/>
      <c r="B13" s="419"/>
      <c r="C13" s="7"/>
      <c r="D13" s="7"/>
    </row>
    <row r="14" spans="1:4" ht="11.25" customHeight="1">
      <c r="A14" s="419"/>
      <c r="B14" s="419"/>
      <c r="C14" s="7"/>
      <c r="D14" s="7"/>
    </row>
    <row r="15" spans="1:4" ht="11.25" customHeight="1">
      <c r="A15" s="419"/>
      <c r="B15" s="419"/>
      <c r="C15" s="7"/>
      <c r="D15" s="7"/>
    </row>
    <row r="16" spans="1:4" ht="11.25" customHeight="1">
      <c r="A16" s="419"/>
      <c r="B16" s="419"/>
      <c r="C16" s="7"/>
      <c r="D16" s="7"/>
    </row>
    <row r="17" spans="1:6" ht="11.25" customHeight="1">
      <c r="A17" s="419"/>
      <c r="B17" s="419"/>
      <c r="C17" s="7"/>
      <c r="D17" s="7"/>
    </row>
    <row r="18" spans="1:6" ht="11.25" customHeight="1">
      <c r="A18" s="419"/>
      <c r="B18" s="419"/>
      <c r="C18" s="7"/>
      <c r="D18" s="7"/>
      <c r="F18" s="2"/>
    </row>
    <row r="19" spans="1:6" ht="11.25" customHeight="1">
      <c r="A19" s="419"/>
      <c r="B19" s="419"/>
      <c r="C19" s="7"/>
      <c r="D19" s="7"/>
      <c r="F19" s="2"/>
    </row>
    <row r="20" spans="1:6" ht="11.25" customHeight="1">
      <c r="A20" s="419"/>
      <c r="B20" s="419"/>
      <c r="C20" s="7"/>
      <c r="D20" s="7"/>
      <c r="F20" s="2"/>
    </row>
    <row r="21" spans="1:6" ht="11.25" customHeight="1">
      <c r="A21" s="419"/>
      <c r="B21" s="419"/>
      <c r="C21" s="7"/>
      <c r="D21" s="7"/>
      <c r="F21" s="2"/>
    </row>
    <row r="22" spans="1:6" ht="11.25" customHeight="1">
      <c r="A22" s="419"/>
      <c r="B22" s="419"/>
      <c r="C22" s="7"/>
      <c r="D22" s="7"/>
      <c r="F22" s="2"/>
    </row>
    <row r="23" spans="1:6" ht="11.25" customHeight="1">
      <c r="A23" s="419"/>
      <c r="B23" s="419"/>
      <c r="C23" s="7"/>
      <c r="D23" s="7"/>
      <c r="F23" s="2"/>
    </row>
    <row r="24" spans="1:6" ht="11.25" customHeight="1">
      <c r="A24" s="419"/>
      <c r="B24" s="419"/>
      <c r="C24" s="7"/>
      <c r="D24" s="7"/>
      <c r="F24" s="2"/>
    </row>
    <row r="25" spans="1:6" ht="11.25" customHeight="1">
      <c r="A25" s="419"/>
      <c r="B25" s="419"/>
      <c r="C25" s="7"/>
      <c r="D25" s="7"/>
      <c r="F25" s="2"/>
    </row>
    <row r="26" spans="1:6" ht="11.25" customHeight="1">
      <c r="A26" s="419"/>
      <c r="B26" s="419"/>
      <c r="C26" s="7"/>
      <c r="D26" s="7"/>
      <c r="F26" s="2"/>
    </row>
    <row r="27" spans="1:6" ht="11.25" customHeight="1">
      <c r="A27" s="419"/>
      <c r="B27" s="419"/>
      <c r="C27" s="7"/>
      <c r="D27" s="7"/>
      <c r="F27" s="2"/>
    </row>
    <row r="28" spans="1:6" ht="11.25" customHeight="1">
      <c r="A28" s="419"/>
      <c r="B28" s="419"/>
      <c r="C28" s="9"/>
      <c r="D28" s="9"/>
      <c r="F28" s="2"/>
    </row>
    <row r="29" spans="1:6" ht="11.25" customHeight="1">
      <c r="A29" s="419"/>
      <c r="B29" s="419"/>
      <c r="C29" s="7"/>
      <c r="D29" s="7"/>
      <c r="F29" s="2"/>
    </row>
    <row r="30" spans="1:6" ht="11.25" customHeight="1">
      <c r="A30" s="419"/>
      <c r="B30" s="419"/>
      <c r="C30" s="7"/>
      <c r="D30" s="7"/>
    </row>
    <row r="31" spans="1:6" ht="11.25" customHeight="1">
      <c r="A31" s="419"/>
      <c r="B31" s="419"/>
      <c r="C31" s="7"/>
      <c r="D31" s="7"/>
    </row>
    <row r="32" spans="1:6" ht="11.25" customHeight="1">
      <c r="A32" s="419"/>
      <c r="B32" s="419"/>
      <c r="C32" s="7"/>
      <c r="D32" s="7"/>
    </row>
    <row r="33" spans="1:4" ht="11.25" customHeight="1">
      <c r="A33" s="419"/>
      <c r="B33" s="419"/>
      <c r="C33" s="7"/>
      <c r="D33" s="7"/>
    </row>
    <row r="34" spans="1:4" ht="11.25" customHeight="1">
      <c r="A34" s="419"/>
      <c r="B34" s="419"/>
      <c r="C34" s="7"/>
      <c r="D34" s="7"/>
    </row>
    <row r="35" spans="1:4" ht="11.25" customHeight="1">
      <c r="A35" s="419"/>
      <c r="B35" s="419"/>
      <c r="C35" s="7"/>
      <c r="D35" s="7"/>
    </row>
    <row r="36" spans="1:4" ht="11.25" customHeight="1">
      <c r="A36" s="419"/>
      <c r="B36" s="419"/>
      <c r="C36" s="7"/>
      <c r="D36" s="7"/>
    </row>
    <row r="37" spans="1:4" ht="11.25" customHeight="1">
      <c r="A37" s="419"/>
      <c r="B37" s="419"/>
      <c r="C37" s="10"/>
      <c r="D37" s="10"/>
    </row>
    <row r="38" spans="1:4" ht="11.25" customHeight="1">
      <c r="A38" s="419"/>
      <c r="B38" s="419"/>
    </row>
    <row r="39" spans="1:4" ht="11.25" customHeight="1">
      <c r="A39" s="419"/>
      <c r="B39" s="419"/>
    </row>
    <row r="40" spans="1:4" ht="11.25" customHeight="1">
      <c r="A40" s="419"/>
      <c r="B40" s="419"/>
    </row>
    <row r="41" spans="1:4" ht="11.25" customHeight="1">
      <c r="A41" s="419"/>
      <c r="B41" s="419"/>
    </row>
    <row r="42" spans="1:4" ht="11.25" customHeight="1">
      <c r="A42" s="419"/>
      <c r="B42" s="419"/>
    </row>
    <row r="43" spans="1:4" ht="11.25" customHeight="1">
      <c r="A43" s="419"/>
      <c r="B43" s="419"/>
    </row>
    <row r="44" spans="1:4" ht="11.25" customHeight="1">
      <c r="A44" s="419"/>
      <c r="B44" s="419"/>
    </row>
    <row r="45" spans="1:4" ht="11.25" customHeight="1">
      <c r="A45" s="419"/>
      <c r="B45" s="419"/>
    </row>
    <row r="46" spans="1:4" ht="11.25" customHeight="1">
      <c r="A46" s="419"/>
      <c r="B46" s="419"/>
    </row>
    <row r="47" spans="1:4" ht="11.25" customHeight="1">
      <c r="A47" s="419"/>
      <c r="B47" s="419"/>
    </row>
    <row r="48" spans="1:4" ht="11.25" customHeight="1">
      <c r="A48" s="419"/>
      <c r="B48" s="419"/>
    </row>
    <row r="49" spans="1:2" ht="11.25" customHeight="1">
      <c r="A49" s="419"/>
      <c r="B49" s="419"/>
    </row>
    <row r="50" spans="1:2" ht="11.25" customHeight="1">
      <c r="A50" s="419"/>
      <c r="B50" s="419"/>
    </row>
    <row r="51" spans="1:2" ht="11.25" customHeight="1">
      <c r="A51" s="419"/>
      <c r="B51" s="419"/>
    </row>
    <row r="52" spans="1:2" ht="11.25" customHeight="1">
      <c r="A52" s="419"/>
      <c r="B52" s="419"/>
    </row>
    <row r="53" spans="1:2" ht="11.25" customHeight="1">
      <c r="A53" s="419"/>
      <c r="B53" s="419"/>
    </row>
    <row r="54" spans="1:2" ht="11.25" customHeight="1">
      <c r="A54" s="419"/>
      <c r="B54" s="419"/>
    </row>
    <row r="55" spans="1:2" ht="11.25" customHeight="1">
      <c r="A55" s="419"/>
      <c r="B55" s="419"/>
    </row>
    <row r="56" spans="1:2" ht="11.25" customHeight="1">
      <c r="A56" s="419"/>
      <c r="B56" s="419"/>
    </row>
    <row r="57" spans="1:2" ht="11.25" customHeight="1">
      <c r="A57" s="419"/>
      <c r="B57" s="419"/>
    </row>
    <row r="58" spans="1:2" ht="11.25" customHeight="1">
      <c r="A58" s="419"/>
      <c r="B58" s="419"/>
    </row>
    <row r="59" spans="1:2" ht="11.25" customHeight="1">
      <c r="A59" s="419"/>
      <c r="B59" s="419"/>
    </row>
    <row r="60" spans="1:2" ht="11.25" customHeight="1">
      <c r="A60" s="419"/>
      <c r="B60" s="419"/>
    </row>
    <row r="61" spans="1:2" ht="11.25" customHeight="1">
      <c r="A61" s="419"/>
      <c r="B61" s="419"/>
    </row>
    <row r="62" spans="1:2" ht="11.25" customHeight="1">
      <c r="A62" s="419"/>
      <c r="B62" s="419"/>
    </row>
    <row r="63" spans="1:2" ht="11.25" customHeight="1">
      <c r="A63" s="419"/>
      <c r="B63" s="419"/>
    </row>
    <row r="64" spans="1:2" ht="11.25" customHeight="1">
      <c r="A64" s="419"/>
      <c r="B64" s="419"/>
    </row>
    <row r="65" spans="1:2" ht="11.25" customHeight="1">
      <c r="A65" s="419"/>
      <c r="B65" s="419"/>
    </row>
    <row r="66" spans="1:2" ht="11.25" customHeight="1">
      <c r="A66" s="419"/>
      <c r="B66" s="419"/>
    </row>
    <row r="67" spans="1:2" ht="11.25" customHeight="1">
      <c r="A67" s="419"/>
      <c r="B67" s="419"/>
    </row>
    <row r="68" spans="1:2" ht="11.25" customHeight="1">
      <c r="A68" s="419"/>
      <c r="B68" s="419"/>
    </row>
    <row r="69" spans="1:2" ht="11.25" customHeight="1">
      <c r="A69" s="419"/>
      <c r="B69" s="419"/>
    </row>
    <row r="70" spans="1:2" ht="11.25" customHeight="1">
      <c r="A70" s="419"/>
      <c r="B70" s="419"/>
    </row>
    <row r="71" spans="1:2" ht="11.25" customHeight="1">
      <c r="A71" s="419"/>
      <c r="B71" s="419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5" t="str">
        <f>"6.10 Spotřeba zemního plynu a teplota ovzduší podle krajů: "&amp;LOWER(A3)</f>
        <v>6.10 Spotřeba zemního plynu a teplota ovzduší podle krajů: červen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319"/>
      <c r="D2" s="320"/>
      <c r="E2" s="321"/>
      <c r="F2" s="321"/>
      <c r="G2" s="321"/>
      <c r="H2" s="321"/>
      <c r="I2" s="76"/>
      <c r="J2" s="76"/>
      <c r="K2" s="76"/>
    </row>
    <row r="3" spans="1:11" ht="20.100000000000001" customHeight="1">
      <c r="A3" s="473" t="str">
        <f>'3.1'!F5</f>
        <v>Červen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</row>
    <row r="4" spans="1:11" ht="20.100000000000001" customHeight="1">
      <c r="A4" s="129"/>
      <c r="B4" s="271">
        <f>'3.1'!A4</f>
        <v>2022</v>
      </c>
      <c r="C4" s="528" t="s">
        <v>60</v>
      </c>
      <c r="D4" s="529"/>
      <c r="E4" s="529"/>
      <c r="F4" s="530"/>
      <c r="G4" s="531" t="s">
        <v>187</v>
      </c>
      <c r="H4" s="531"/>
      <c r="I4" s="531"/>
      <c r="J4" s="531"/>
      <c r="K4" s="531"/>
    </row>
    <row r="5" spans="1:11" ht="49.5" customHeight="1">
      <c r="A5" s="291"/>
      <c r="B5" s="490" t="s">
        <v>186</v>
      </c>
      <c r="C5" s="372"/>
      <c r="D5" s="373"/>
      <c r="E5" s="490" t="s">
        <v>283</v>
      </c>
      <c r="F5" s="510" t="s">
        <v>286</v>
      </c>
      <c r="G5" s="396" t="s">
        <v>62</v>
      </c>
      <c r="H5" s="396" t="s">
        <v>174</v>
      </c>
      <c r="I5" s="396" t="s">
        <v>175</v>
      </c>
      <c r="J5" s="396" t="s">
        <v>288</v>
      </c>
      <c r="K5" s="396" t="s">
        <v>289</v>
      </c>
    </row>
    <row r="6" spans="1:11" ht="15" customHeight="1">
      <c r="A6" s="222" t="s">
        <v>188</v>
      </c>
      <c r="B6" s="477"/>
      <c r="C6" s="224" t="s">
        <v>265</v>
      </c>
      <c r="D6" s="222" t="s">
        <v>266</v>
      </c>
      <c r="E6" s="477"/>
      <c r="F6" s="511"/>
      <c r="G6" s="222" t="s">
        <v>234</v>
      </c>
      <c r="H6" s="222" t="s">
        <v>234</v>
      </c>
      <c r="I6" s="222" t="s">
        <v>234</v>
      </c>
      <c r="J6" s="222" t="s">
        <v>234</v>
      </c>
      <c r="K6" s="222" t="s">
        <v>234</v>
      </c>
    </row>
    <row r="7" spans="1:11" ht="14.1" customHeight="1">
      <c r="A7" s="155" t="s">
        <v>8</v>
      </c>
      <c r="B7" s="130">
        <f>'6.1'!D26</f>
        <v>104566</v>
      </c>
      <c r="C7" s="332">
        <f>'6.1'!E26</f>
        <v>10097.37275</v>
      </c>
      <c r="D7" s="130">
        <f>'6.1'!F26</f>
        <v>108733.27883000001</v>
      </c>
      <c r="E7" s="326">
        <f>D7/$D$21</f>
        <v>2.99440407934779E-2</v>
      </c>
      <c r="F7" s="351">
        <f>'6.1'!H26</f>
        <v>-6.0174038136389038E-2</v>
      </c>
      <c r="G7" s="345">
        <v>18.276666666666664</v>
      </c>
      <c r="H7" s="346">
        <v>25</v>
      </c>
      <c r="I7" s="346">
        <v>14.7</v>
      </c>
      <c r="J7" s="346">
        <v>15.399999999999993</v>
      </c>
      <c r="K7" s="345">
        <v>2.8766666666666705</v>
      </c>
    </row>
    <row r="8" spans="1:11" ht="14.1" customHeight="1">
      <c r="A8" s="155" t="s">
        <v>9</v>
      </c>
      <c r="B8" s="130">
        <f>'6.1'!D56</f>
        <v>380355</v>
      </c>
      <c r="C8" s="332">
        <f>'6.1'!E56</f>
        <v>29148.199999999997</v>
      </c>
      <c r="D8" s="130">
        <f>'6.1'!F56</f>
        <v>315725.60135000001</v>
      </c>
      <c r="E8" s="326">
        <f t="shared" ref="E8:E20" si="0">D8/$D$21</f>
        <v>8.6947624389685119E-2</v>
      </c>
      <c r="F8" s="351">
        <f>'6.1'!H56</f>
        <v>-6.6770827663709398E-2</v>
      </c>
      <c r="G8" s="345">
        <v>20.443333333333332</v>
      </c>
      <c r="H8" s="346">
        <v>26.1</v>
      </c>
      <c r="I8" s="346">
        <v>15.8</v>
      </c>
      <c r="J8" s="346">
        <v>17</v>
      </c>
      <c r="K8" s="345">
        <v>3.4433333333333316</v>
      </c>
    </row>
    <row r="9" spans="1:11" ht="14.1" customHeight="1">
      <c r="A9" s="155" t="s">
        <v>10</v>
      </c>
      <c r="B9" s="130">
        <f>'6.2'!D26</f>
        <v>83636</v>
      </c>
      <c r="C9" s="332">
        <f>'6.2'!E26</f>
        <v>9111.7999999999993</v>
      </c>
      <c r="D9" s="130">
        <f>'6.2'!F26</f>
        <v>98696.658800000019</v>
      </c>
      <c r="E9" s="326">
        <f t="shared" si="0"/>
        <v>2.7180057560002212E-2</v>
      </c>
      <c r="F9" s="351">
        <f>'6.2'!H26</f>
        <v>-0.81523830766579131</v>
      </c>
      <c r="G9" s="345">
        <v>18.006666666666668</v>
      </c>
      <c r="H9" s="346">
        <v>26</v>
      </c>
      <c r="I9" s="346">
        <v>13.5</v>
      </c>
      <c r="J9" s="346">
        <v>14.600000000000007</v>
      </c>
      <c r="K9" s="345">
        <v>3.406666666666661</v>
      </c>
    </row>
    <row r="10" spans="1:11" ht="14.1" customHeight="1">
      <c r="A10" s="155" t="s">
        <v>92</v>
      </c>
      <c r="B10" s="130">
        <f>'6.2'!D56</f>
        <v>117304</v>
      </c>
      <c r="C10" s="332">
        <f>'6.2'!E56</f>
        <v>11677.7</v>
      </c>
      <c r="D10" s="130">
        <f>'6.2'!F56</f>
        <v>126489.16445000001</v>
      </c>
      <c r="E10" s="326">
        <f t="shared" si="0"/>
        <v>3.4833831380597709E-2</v>
      </c>
      <c r="F10" s="351">
        <f>'6.2'!H56</f>
        <v>-5.7619212860220953E-2</v>
      </c>
      <c r="G10" s="345">
        <v>18.493333333333336</v>
      </c>
      <c r="H10" s="346">
        <v>25.1</v>
      </c>
      <c r="I10" s="346">
        <v>13.5</v>
      </c>
      <c r="J10" s="346">
        <v>15.199999999999992</v>
      </c>
      <c r="K10" s="345">
        <v>3.2933333333333437</v>
      </c>
    </row>
    <row r="11" spans="1:11" ht="14.1" customHeight="1">
      <c r="A11" s="155" t="s">
        <v>11</v>
      </c>
      <c r="B11" s="130">
        <f>'6.3'!D26</f>
        <v>92646</v>
      </c>
      <c r="C11" s="332">
        <f>'6.3'!E26</f>
        <v>11479.300000000001</v>
      </c>
      <c r="D11" s="130">
        <f>'6.3'!F26</f>
        <v>124340.99212000001</v>
      </c>
      <c r="E11" s="326">
        <f t="shared" si="0"/>
        <v>3.424224653580047E-2</v>
      </c>
      <c r="F11" s="351">
        <f>'6.3'!H26</f>
        <v>2.8755663994432654E-4</v>
      </c>
      <c r="G11" s="345">
        <v>18.493333333333336</v>
      </c>
      <c r="H11" s="346">
        <v>26.6</v>
      </c>
      <c r="I11" s="346">
        <v>13.2</v>
      </c>
      <c r="J11" s="346">
        <v>15.100000000000007</v>
      </c>
      <c r="K11" s="345">
        <v>3.3933333333333291</v>
      </c>
    </row>
    <row r="12" spans="1:11" ht="14.1" customHeight="1">
      <c r="A12" s="155" t="s">
        <v>12</v>
      </c>
      <c r="B12" s="130">
        <f>'6.3'!D56</f>
        <v>375517</v>
      </c>
      <c r="C12" s="332">
        <f>'6.3'!E56</f>
        <v>38949.074000000001</v>
      </c>
      <c r="D12" s="130">
        <f>'6.3'!F56</f>
        <v>421676.90782000002</v>
      </c>
      <c r="E12" s="326">
        <f t="shared" si="0"/>
        <v>0.11612553824640054</v>
      </c>
      <c r="F12" s="351">
        <f>'6.3'!H56</f>
        <v>-0.1110210267812025</v>
      </c>
      <c r="G12" s="345">
        <v>18.869999999999997</v>
      </c>
      <c r="H12" s="346">
        <v>24.8</v>
      </c>
      <c r="I12" s="346">
        <v>14.3</v>
      </c>
      <c r="J12" s="346">
        <v>15.5</v>
      </c>
      <c r="K12" s="345">
        <v>3.3699999999999974</v>
      </c>
    </row>
    <row r="13" spans="1:11" ht="14.1" customHeight="1">
      <c r="A13" s="155" t="s">
        <v>13</v>
      </c>
      <c r="B13" s="130">
        <f>'6.4'!D26</f>
        <v>185901</v>
      </c>
      <c r="C13" s="332">
        <f>'6.4'!E26</f>
        <v>17983.400000000001</v>
      </c>
      <c r="D13" s="130">
        <f>'6.4'!F26</f>
        <v>194792.10178000003</v>
      </c>
      <c r="E13" s="326">
        <f t="shared" si="0"/>
        <v>5.3643766698758893E-2</v>
      </c>
      <c r="F13" s="351">
        <f>'6.4'!H26</f>
        <v>-3.8135683874970391E-2</v>
      </c>
      <c r="G13" s="345">
        <v>18.353333333333328</v>
      </c>
      <c r="H13" s="346">
        <v>24.1</v>
      </c>
      <c r="I13" s="346">
        <v>13.7</v>
      </c>
      <c r="J13" s="346">
        <v>14.899999999999993</v>
      </c>
      <c r="K13" s="345">
        <v>3.4533333333333349</v>
      </c>
    </row>
    <row r="14" spans="1:11" ht="14.1" customHeight="1">
      <c r="A14" s="155" t="s">
        <v>14</v>
      </c>
      <c r="B14" s="130">
        <f>'6.4'!D56</f>
        <v>135944</v>
      </c>
      <c r="C14" s="332">
        <f>'6.4'!E56</f>
        <v>13727.599999999999</v>
      </c>
      <c r="D14" s="130">
        <f>'6.4'!F56</f>
        <v>148693.34339999998</v>
      </c>
      <c r="E14" s="326">
        <f t="shared" si="0"/>
        <v>4.0948636777977471E-2</v>
      </c>
      <c r="F14" s="351">
        <f>'6.4'!H56</f>
        <v>-0.12348114803818279</v>
      </c>
      <c r="G14" s="345">
        <v>18.82</v>
      </c>
      <c r="H14" s="346">
        <v>24.8</v>
      </c>
      <c r="I14" s="346">
        <v>13.9</v>
      </c>
      <c r="J14" s="346">
        <v>16.199999999999992</v>
      </c>
      <c r="K14" s="345">
        <v>2.6200000000000081</v>
      </c>
    </row>
    <row r="15" spans="1:11" ht="14.1" customHeight="1">
      <c r="A15" s="155" t="s">
        <v>15</v>
      </c>
      <c r="B15" s="130">
        <f>'6.5'!D26</f>
        <v>159201</v>
      </c>
      <c r="C15" s="332">
        <f>'6.5'!E26</f>
        <v>15001.500000000002</v>
      </c>
      <c r="D15" s="130">
        <f>'6.5'!F26</f>
        <v>162491.58803000001</v>
      </c>
      <c r="E15" s="326">
        <f t="shared" si="0"/>
        <v>4.4748533226654334E-2</v>
      </c>
      <c r="F15" s="351">
        <f>'6.5'!H26</f>
        <v>-2.9324412638226487E-2</v>
      </c>
      <c r="G15" s="345">
        <v>19.223333333333333</v>
      </c>
      <c r="H15" s="346">
        <v>26.7</v>
      </c>
      <c r="I15" s="346">
        <v>14.9</v>
      </c>
      <c r="J15" s="346">
        <v>15.600000000000007</v>
      </c>
      <c r="K15" s="345">
        <v>3.623333333333326</v>
      </c>
    </row>
    <row r="16" spans="1:11" ht="14.1" customHeight="1">
      <c r="A16" s="155" t="s">
        <v>1</v>
      </c>
      <c r="B16" s="130">
        <f>'6.5'!D56</f>
        <v>411246</v>
      </c>
      <c r="C16" s="332">
        <f>'6.5'!E56</f>
        <v>18446.038878160678</v>
      </c>
      <c r="D16" s="130">
        <f>'6.5'!F56</f>
        <v>202033.17146301572</v>
      </c>
      <c r="E16" s="326">
        <f t="shared" si="0"/>
        <v>5.5637883755742322E-2</v>
      </c>
      <c r="F16" s="351">
        <f>'6.5'!H56</f>
        <v>-7.9625439612721532E-2</v>
      </c>
      <c r="G16" s="345">
        <v>21.169999999999995</v>
      </c>
      <c r="H16" s="346">
        <v>29.6</v>
      </c>
      <c r="I16" s="346">
        <v>16.399999999999999</v>
      </c>
      <c r="J16" s="346">
        <v>16.800000000000008</v>
      </c>
      <c r="K16" s="345">
        <v>4.3699999999999868</v>
      </c>
    </row>
    <row r="17" spans="1:16" ht="14.1" customHeight="1">
      <c r="A17" s="155" t="s">
        <v>16</v>
      </c>
      <c r="B17" s="130">
        <f>'6.6'!D26</f>
        <v>259633</v>
      </c>
      <c r="C17" s="332">
        <f>'6.6'!E26</f>
        <v>50696.456000000006</v>
      </c>
      <c r="D17" s="130">
        <f>'6.6'!F26</f>
        <v>549201.00433100003</v>
      </c>
      <c r="E17" s="326">
        <f t="shared" si="0"/>
        <v>0.15124437940676874</v>
      </c>
      <c r="F17" s="351">
        <f>'6.6'!H26</f>
        <v>-4.5139253291147159E-2</v>
      </c>
      <c r="G17" s="345">
        <v>19.533333333333335</v>
      </c>
      <c r="H17" s="346">
        <v>27</v>
      </c>
      <c r="I17" s="346">
        <v>15.1</v>
      </c>
      <c r="J17" s="346">
        <v>16.600000000000009</v>
      </c>
      <c r="K17" s="345">
        <v>2.9333333333333265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'6.6'!D56</f>
        <v>221023</v>
      </c>
      <c r="C18" s="332">
        <f>'6.6'!E56</f>
        <v>84336.543000000005</v>
      </c>
      <c r="D18" s="130">
        <f>'6.6'!F56</f>
        <v>918032.78432999982</v>
      </c>
      <c r="E18" s="326">
        <f t="shared" si="0"/>
        <v>0.25281690609832969</v>
      </c>
      <c r="F18" s="351">
        <f>'6.6'!H56</f>
        <v>-0.16168299881284903</v>
      </c>
      <c r="G18" s="345">
        <v>19.353333333333339</v>
      </c>
      <c r="H18" s="346">
        <v>28.2</v>
      </c>
      <c r="I18" s="346">
        <v>14.6</v>
      </c>
      <c r="J18" s="346">
        <v>16.699999999999992</v>
      </c>
      <c r="K18" s="345">
        <v>2.6533333333333466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'6.7'!D26</f>
        <v>119629</v>
      </c>
      <c r="C19" s="332">
        <f>'6.7'!E26</f>
        <v>10403.93525</v>
      </c>
      <c r="D19" s="130">
        <f>'6.7'!F26</f>
        <v>112607.06672000002</v>
      </c>
      <c r="E19" s="326">
        <f t="shared" si="0"/>
        <v>3.1010842639716686E-2</v>
      </c>
      <c r="F19" s="351">
        <f>'6.7'!H26</f>
        <v>-0.15185644026677694</v>
      </c>
      <c r="G19" s="345">
        <v>18.566666666666666</v>
      </c>
      <c r="H19" s="346">
        <v>24.7</v>
      </c>
      <c r="I19" s="346">
        <v>14.1</v>
      </c>
      <c r="J19" s="346">
        <v>15.199999999999992</v>
      </c>
      <c r="K19" s="345">
        <v>3.3666666666666742</v>
      </c>
      <c r="L19" s="94"/>
      <c r="N19" s="94"/>
      <c r="O19" s="94"/>
      <c r="P19" s="94"/>
    </row>
    <row r="20" spans="1:16" ht="14.1" customHeight="1">
      <c r="A20" s="205" t="s">
        <v>19</v>
      </c>
      <c r="B20" s="329">
        <f>'6.7'!D56</f>
        <v>155615</v>
      </c>
      <c r="C20" s="333">
        <f>'6.7'!E56</f>
        <v>13636.1</v>
      </c>
      <c r="D20" s="329">
        <f>'6.7'!F56</f>
        <v>147702.29637</v>
      </c>
      <c r="E20" s="330">
        <f t="shared" si="0"/>
        <v>4.0675712490087911E-2</v>
      </c>
      <c r="F20" s="352">
        <f>'6.7'!H56</f>
        <v>-0.24623701680974189</v>
      </c>
      <c r="G20" s="347">
        <v>18.563333333333336</v>
      </c>
      <c r="H20" s="348">
        <v>25.5</v>
      </c>
      <c r="I20" s="348">
        <v>13.1</v>
      </c>
      <c r="J20" s="348">
        <v>16.5</v>
      </c>
      <c r="K20" s="347">
        <v>2.0633333333333361</v>
      </c>
      <c r="L20" s="94"/>
    </row>
    <row r="21" spans="1:16" ht="14.1" customHeight="1">
      <c r="A21" s="155" t="s">
        <v>0</v>
      </c>
      <c r="B21" s="157">
        <f>SUM(B7:B20)</f>
        <v>2802216</v>
      </c>
      <c r="C21" s="332">
        <f>SUM(C7:C20)</f>
        <v>334695.01987816067</v>
      </c>
      <c r="D21" s="130">
        <f>SUM(D7:D20)</f>
        <v>3631215.9597940156</v>
      </c>
      <c r="E21" s="394">
        <f>SUM(E7:E20)</f>
        <v>0.99999999999999989</v>
      </c>
      <c r="F21" s="351"/>
      <c r="G21" s="275">
        <v>18.956666666666667</v>
      </c>
      <c r="H21" s="275">
        <v>25</v>
      </c>
      <c r="I21" s="275">
        <v>14.7</v>
      </c>
      <c r="J21" s="275">
        <v>16.59</v>
      </c>
      <c r="K21" s="275">
        <v>2.3666666666666671</v>
      </c>
    </row>
    <row r="22" spans="1:16" ht="14.1" customHeight="1">
      <c r="A22" s="205" t="s">
        <v>94</v>
      </c>
      <c r="B22" s="395"/>
      <c r="C22" s="333">
        <f>'5.1'!E27</f>
        <v>1659.4749988929134</v>
      </c>
      <c r="D22" s="329">
        <f>'5.1'!F27</f>
        <v>18307.459182999959</v>
      </c>
      <c r="E22" s="395"/>
      <c r="F22" s="352">
        <f>'5.1'!H27</f>
        <v>-0.30197739562985382</v>
      </c>
      <c r="G22" s="281">
        <v>18.956666666666667</v>
      </c>
      <c r="H22" s="281">
        <v>25</v>
      </c>
      <c r="I22" s="281">
        <v>14.7</v>
      </c>
      <c r="J22" s="281">
        <v>16.59</v>
      </c>
      <c r="K22" s="281">
        <v>2.3666666666666671</v>
      </c>
    </row>
    <row r="23" spans="1:16" ht="14.1" customHeight="1">
      <c r="A23" s="205" t="s">
        <v>55</v>
      </c>
      <c r="B23" s="162">
        <f>B21+B22</f>
        <v>2802216</v>
      </c>
      <c r="C23" s="333">
        <f t="shared" ref="C23:D23" si="1">C21+C22</f>
        <v>336354.4948770536</v>
      </c>
      <c r="D23" s="329">
        <f t="shared" si="1"/>
        <v>3649523.4189770157</v>
      </c>
      <c r="E23" s="395"/>
      <c r="F23" s="352">
        <f>'5.1'!H28</f>
        <v>-0.19001388455883242</v>
      </c>
      <c r="G23" s="281">
        <v>18.956666666666667</v>
      </c>
      <c r="H23" s="281">
        <v>25</v>
      </c>
      <c r="I23" s="281">
        <v>14.7</v>
      </c>
      <c r="J23" s="281">
        <v>16.59</v>
      </c>
      <c r="K23" s="281">
        <v>2.3666666666666671</v>
      </c>
    </row>
    <row r="24" spans="1:16" ht="15" customHeight="1">
      <c r="A24" s="102"/>
      <c r="B24" s="95"/>
      <c r="C24" s="513" t="s">
        <v>248</v>
      </c>
      <c r="D24" s="513"/>
      <c r="E24" s="513"/>
      <c r="F24" s="513"/>
      <c r="G24" s="516" t="s">
        <v>246</v>
      </c>
      <c r="H24" s="516"/>
      <c r="I24" s="516"/>
      <c r="J24" s="516"/>
      <c r="K24" s="516"/>
    </row>
    <row r="25" spans="1:16" ht="15" customHeight="1">
      <c r="A25" s="95"/>
      <c r="B25" s="95"/>
      <c r="C25" s="513"/>
      <c r="D25" s="513"/>
      <c r="E25" s="513"/>
      <c r="F25" s="513"/>
      <c r="G25" s="516" t="s">
        <v>247</v>
      </c>
      <c r="H25" s="516"/>
      <c r="I25" s="516"/>
      <c r="J25" s="516"/>
      <c r="K25" s="516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78" t="s">
        <v>261</v>
      </c>
      <c r="B29" s="478"/>
      <c r="C29" s="478"/>
      <c r="D29" s="478"/>
      <c r="E29" s="478"/>
      <c r="F29" s="478" t="s">
        <v>61</v>
      </c>
      <c r="G29" s="478"/>
      <c r="H29" s="478"/>
      <c r="I29" s="478"/>
      <c r="J29" s="478"/>
      <c r="K29" s="478"/>
    </row>
    <row r="30" spans="1:16" ht="15" customHeight="1">
      <c r="A30" s="121"/>
      <c r="B30" s="514"/>
      <c r="C30" s="514"/>
      <c r="D30" s="121"/>
      <c r="E30" s="121"/>
      <c r="F30" s="121"/>
      <c r="G30" s="121"/>
      <c r="H30" s="514"/>
      <c r="I30" s="514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zoomScaleNormal="100" zoomScaleSheetLayoutView="100" workbookViewId="0">
      <selection activeCell="E1" sqref="E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5" t="str">
        <f>"6.11 Spotřeba zemního plynu a teplota ovzduší podle krajů: "&amp;(A3)</f>
        <v>6.11 Spotřeba zemního plynu a teplota ovzduší podle krajů: II. čtvrtletí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6" customHeight="1">
      <c r="A2" s="509"/>
      <c r="B2" s="509"/>
      <c r="C2" s="319"/>
      <c r="D2" s="320"/>
      <c r="E2" s="321"/>
      <c r="F2" s="321"/>
      <c r="G2" s="321"/>
      <c r="H2" s="321"/>
      <c r="I2" s="76"/>
      <c r="J2" s="76"/>
      <c r="K2" s="76"/>
    </row>
    <row r="3" spans="1:11" ht="20.100000000000001" customHeight="1">
      <c r="A3" s="532" t="str">
        <f>'3.1'!G5</f>
        <v>II. čtvrtletí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</row>
    <row r="4" spans="1:11" ht="20.100000000000001" customHeight="1">
      <c r="A4" s="129"/>
      <c r="B4" s="271">
        <f>'3.1'!A4</f>
        <v>2022</v>
      </c>
      <c r="C4" s="528" t="s">
        <v>60</v>
      </c>
      <c r="D4" s="529"/>
      <c r="E4" s="529"/>
      <c r="F4" s="530"/>
      <c r="G4" s="531" t="s">
        <v>187</v>
      </c>
      <c r="H4" s="531"/>
      <c r="I4" s="531"/>
      <c r="J4" s="531"/>
      <c r="K4" s="531"/>
    </row>
    <row r="5" spans="1:11" ht="49.5" customHeight="1">
      <c r="A5" s="291"/>
      <c r="B5" s="490" t="s">
        <v>186</v>
      </c>
      <c r="C5" s="372"/>
      <c r="D5" s="373"/>
      <c r="E5" s="490" t="s">
        <v>283</v>
      </c>
      <c r="F5" s="510" t="s">
        <v>286</v>
      </c>
      <c r="G5" s="396" t="s">
        <v>62</v>
      </c>
      <c r="H5" s="396" t="s">
        <v>174</v>
      </c>
      <c r="I5" s="396" t="s">
        <v>175</v>
      </c>
      <c r="J5" s="396" t="s">
        <v>288</v>
      </c>
      <c r="K5" s="396" t="s">
        <v>289</v>
      </c>
    </row>
    <row r="6" spans="1:11" ht="15" customHeight="1">
      <c r="A6" s="222" t="s">
        <v>188</v>
      </c>
      <c r="B6" s="477"/>
      <c r="C6" s="224" t="s">
        <v>265</v>
      </c>
      <c r="D6" s="222" t="s">
        <v>266</v>
      </c>
      <c r="E6" s="477"/>
      <c r="F6" s="511"/>
      <c r="G6" s="222" t="s">
        <v>234</v>
      </c>
      <c r="H6" s="222" t="s">
        <v>234</v>
      </c>
      <c r="I6" s="222" t="s">
        <v>234</v>
      </c>
      <c r="J6" s="222" t="s">
        <v>234</v>
      </c>
      <c r="K6" s="222" t="s">
        <v>234</v>
      </c>
    </row>
    <row r="7" spans="1:11" ht="14.1" customHeight="1">
      <c r="A7" s="155" t="s">
        <v>8</v>
      </c>
      <c r="B7" s="130">
        <f>'6.1'!D32</f>
        <v>104566</v>
      </c>
      <c r="C7" s="332">
        <f>'6.1'!E32</f>
        <v>47548.477350000001</v>
      </c>
      <c r="D7" s="130">
        <f>'6.1'!F32</f>
        <v>509034.58642999997</v>
      </c>
      <c r="E7" s="326">
        <f>D7/$D$21</f>
        <v>3.4105430872467604E-2</v>
      </c>
      <c r="F7" s="351">
        <f>'6.1'!H32</f>
        <v>-0.21506042509607265</v>
      </c>
      <c r="G7" s="345">
        <f>AVERAGE('6.8'!G7,'6.9'!G7,'6.10'!G7)</f>
        <v>12.733189964157708</v>
      </c>
      <c r="H7" s="346">
        <f>MAX('6.8'!H7,'6.9'!H7,'6.10'!H7)</f>
        <v>25</v>
      </c>
      <c r="I7" s="346">
        <f>MIN('6.8'!I7,'6.9'!I7,'6.10'!I7)</f>
        <v>-1.3</v>
      </c>
      <c r="J7" s="346">
        <f>AVERAGE('6.8'!J7,'6.9'!J7,'6.10'!J7)</f>
        <v>11.666666666666663</v>
      </c>
      <c r="K7" s="345">
        <f>G7-J7</f>
        <v>1.0665232974910452</v>
      </c>
    </row>
    <row r="8" spans="1:11" ht="14.1" customHeight="1">
      <c r="A8" s="155" t="s">
        <v>9</v>
      </c>
      <c r="B8" s="130">
        <f>'6.1'!D62</f>
        <v>380355</v>
      </c>
      <c r="C8" s="332">
        <f>'6.1'!E62</f>
        <v>155817.99999999997</v>
      </c>
      <c r="D8" s="130">
        <f>'6.1'!F62</f>
        <v>1679563.8872699998</v>
      </c>
      <c r="E8" s="326">
        <f t="shared" ref="E8:E20" si="0">D8/$D$21</f>
        <v>0.11253115521072189</v>
      </c>
      <c r="F8" s="351">
        <f>'6.1'!H62</f>
        <v>-0.18019305854208043</v>
      </c>
      <c r="G8" s="345">
        <f>AVERAGE('6.8'!G8,'6.9'!G8,'6.10'!G8)</f>
        <v>14.882616487455197</v>
      </c>
      <c r="H8" s="346">
        <f>MAX('6.8'!H8,'6.9'!H8,'6.10'!H8)</f>
        <v>26.1</v>
      </c>
      <c r="I8" s="346">
        <f>MIN('6.8'!I8,'6.9'!I8,'6.10'!I8)</f>
        <v>0.9</v>
      </c>
      <c r="J8" s="346">
        <f>AVERAGE('6.8'!J8,'6.9'!J8,'6.10'!J8)</f>
        <v>13.366666666666665</v>
      </c>
      <c r="K8" s="345">
        <f t="shared" ref="K8:K23" si="1">G8-J8</f>
        <v>1.5159498207885314</v>
      </c>
    </row>
    <row r="9" spans="1:11" ht="14.1" customHeight="1">
      <c r="A9" s="155" t="s">
        <v>10</v>
      </c>
      <c r="B9" s="130">
        <f>'6.2'!D32</f>
        <v>83636</v>
      </c>
      <c r="C9" s="332">
        <f>'6.2'!E32</f>
        <v>36657.800000000003</v>
      </c>
      <c r="D9" s="130">
        <f>'6.2'!F32</f>
        <v>395219.07824</v>
      </c>
      <c r="E9" s="326">
        <f t="shared" si="0"/>
        <v>2.6479766427911028E-2</v>
      </c>
      <c r="F9" s="351">
        <f>'6.2'!H32</f>
        <v>-0.78307813206399413</v>
      </c>
      <c r="G9" s="345">
        <f>AVERAGE('6.8'!G9,'6.9'!G9,'6.10'!G9)</f>
        <v>12.265161290322581</v>
      </c>
      <c r="H9" s="346">
        <f>MAX('6.8'!H9,'6.9'!H9,'6.10'!H9)</f>
        <v>26</v>
      </c>
      <c r="I9" s="346">
        <f>MIN('6.8'!I9,'6.9'!I9,'6.10'!I9)</f>
        <v>-2.5</v>
      </c>
      <c r="J9" s="346">
        <f>AVERAGE('6.8'!J9,'6.9'!J9,'6.10'!J9)</f>
        <v>10.96666666666667</v>
      </c>
      <c r="K9" s="345">
        <f t="shared" si="1"/>
        <v>1.2984946236559107</v>
      </c>
    </row>
    <row r="10" spans="1:11" ht="14.1" customHeight="1">
      <c r="A10" s="155" t="s">
        <v>92</v>
      </c>
      <c r="B10" s="130">
        <f>'6.2'!D62</f>
        <v>117304</v>
      </c>
      <c r="C10" s="332">
        <f>'6.2'!E62</f>
        <v>54417.3</v>
      </c>
      <c r="D10" s="130">
        <f>'6.2'!F62</f>
        <v>586605.3454600001</v>
      </c>
      <c r="E10" s="326">
        <f t="shared" si="0"/>
        <v>3.9302689035958467E-2</v>
      </c>
      <c r="F10" s="351">
        <f>'6.2'!H62</f>
        <v>-0.18546487086837146</v>
      </c>
      <c r="G10" s="345">
        <f>AVERAGE('6.8'!G10,'6.9'!G10,'6.10'!G10)</f>
        <v>12.801899641577061</v>
      </c>
      <c r="H10" s="346">
        <f>MAX('6.8'!H10,'6.9'!H10,'6.10'!H10)</f>
        <v>25.1</v>
      </c>
      <c r="I10" s="346">
        <f>MIN('6.8'!I10,'6.9'!I10,'6.10'!I10)</f>
        <v>-1.4</v>
      </c>
      <c r="J10" s="346">
        <f>AVERAGE('6.8'!J10,'6.9'!J10,'6.10'!J10)</f>
        <v>11.6</v>
      </c>
      <c r="K10" s="345">
        <f t="shared" si="1"/>
        <v>1.2018996415770609</v>
      </c>
    </row>
    <row r="11" spans="1:11" ht="14.1" customHeight="1">
      <c r="A11" s="155" t="s">
        <v>11</v>
      </c>
      <c r="B11" s="130">
        <f>'6.3'!D32</f>
        <v>92646</v>
      </c>
      <c r="C11" s="332">
        <f>'6.3'!E32</f>
        <v>51647.399999999994</v>
      </c>
      <c r="D11" s="130">
        <f>'6.3'!F32</f>
        <v>556787.63862999994</v>
      </c>
      <c r="E11" s="326">
        <f t="shared" si="0"/>
        <v>3.7304896025078409E-2</v>
      </c>
      <c r="F11" s="351">
        <f>'6.3'!H32</f>
        <v>-0.21648899616037545</v>
      </c>
      <c r="G11" s="345">
        <f>AVERAGE('6.8'!G11,'6.9'!G11,'6.10'!G11)</f>
        <v>12.874301075268818</v>
      </c>
      <c r="H11" s="346">
        <f>MAX('6.8'!H11,'6.9'!H11,'6.10'!H11)</f>
        <v>26.6</v>
      </c>
      <c r="I11" s="346">
        <f>MIN('6.8'!I11,'6.9'!I11,'6.10'!I11)</f>
        <v>-1.3</v>
      </c>
      <c r="J11" s="346">
        <f>AVERAGE('6.8'!J11,'6.9'!J11,'6.10'!J11)</f>
        <v>11.466666666666669</v>
      </c>
      <c r="K11" s="345">
        <f t="shared" si="1"/>
        <v>1.4076344086021493</v>
      </c>
    </row>
    <row r="12" spans="1:11" ht="14.1" customHeight="1">
      <c r="A12" s="155" t="s">
        <v>12</v>
      </c>
      <c r="B12" s="130">
        <f>'6.3'!D62</f>
        <v>375517</v>
      </c>
      <c r="C12" s="332">
        <f>'6.3'!E62</f>
        <v>159192.34599999999</v>
      </c>
      <c r="D12" s="130">
        <f>'6.3'!F62</f>
        <v>1715567.3461399998</v>
      </c>
      <c r="E12" s="326">
        <f t="shared" si="0"/>
        <v>0.11494339498851816</v>
      </c>
      <c r="F12" s="351">
        <f>'6.3'!H62</f>
        <v>-0.16606976410127661</v>
      </c>
      <c r="G12" s="345">
        <f>AVERAGE('6.8'!G12,'6.9'!G12,'6.10'!G12)</f>
        <v>13.401326164874552</v>
      </c>
      <c r="H12" s="346">
        <f>MAX('6.8'!H12,'6.9'!H12,'6.10'!H12)</f>
        <v>24.8</v>
      </c>
      <c r="I12" s="346">
        <f>MIN('6.8'!I12,'6.9'!I12,'6.10'!I12)</f>
        <v>-1</v>
      </c>
      <c r="J12" s="346">
        <f>AVERAGE('6.8'!J12,'6.9'!J12,'6.10'!J12)</f>
        <v>11.833333333333334</v>
      </c>
      <c r="K12" s="345">
        <f t="shared" si="1"/>
        <v>1.5679928315412184</v>
      </c>
    </row>
    <row r="13" spans="1:11" ht="14.1" customHeight="1">
      <c r="A13" s="155" t="s">
        <v>13</v>
      </c>
      <c r="B13" s="130">
        <f>'6.4'!D32</f>
        <v>185901</v>
      </c>
      <c r="C13" s="332">
        <f>'6.4'!E32</f>
        <v>82634.099999999991</v>
      </c>
      <c r="D13" s="130">
        <f>'6.4'!F32</f>
        <v>890781.53343000007</v>
      </c>
      <c r="E13" s="326">
        <f t="shared" si="0"/>
        <v>5.9682561501241606E-2</v>
      </c>
      <c r="F13" s="351">
        <f>'6.4'!H32</f>
        <v>-0.13398240383154233</v>
      </c>
      <c r="G13" s="345">
        <f>AVERAGE('6.8'!G13,'6.9'!G13,'6.10'!G13)</f>
        <v>12.947992831541216</v>
      </c>
      <c r="H13" s="346">
        <f>MAX('6.8'!H13,'6.9'!H13,'6.10'!H13)</f>
        <v>24.1</v>
      </c>
      <c r="I13" s="346">
        <f>MIN('6.8'!I13,'6.9'!I13,'6.10'!I13)</f>
        <v>-1</v>
      </c>
      <c r="J13" s="346">
        <f>AVERAGE('6.8'!J13,'6.9'!J13,'6.10'!J13)</f>
        <v>11.33333333333333</v>
      </c>
      <c r="K13" s="345">
        <f t="shared" si="1"/>
        <v>1.6146594982078852</v>
      </c>
    </row>
    <row r="14" spans="1:11" ht="14.1" customHeight="1">
      <c r="A14" s="155" t="s">
        <v>14</v>
      </c>
      <c r="B14" s="130">
        <f>'6.4'!D62</f>
        <v>135944</v>
      </c>
      <c r="C14" s="332">
        <f>'6.4'!E62</f>
        <v>61871.399999999994</v>
      </c>
      <c r="D14" s="130">
        <f>'6.4'!F62</f>
        <v>666978.0785099999</v>
      </c>
      <c r="E14" s="326">
        <f t="shared" si="0"/>
        <v>4.468768008399801E-2</v>
      </c>
      <c r="F14" s="351">
        <f>'6.4'!H62</f>
        <v>-0.18507805924679049</v>
      </c>
      <c r="G14" s="345">
        <f>AVERAGE('6.8'!G14,'6.9'!G14,'6.10'!G14)</f>
        <v>13.212759856630825</v>
      </c>
      <c r="H14" s="346">
        <f>MAX('6.8'!H14,'6.9'!H14,'6.10'!H14)</f>
        <v>24.8</v>
      </c>
      <c r="I14" s="346">
        <f>MIN('6.8'!I14,'6.9'!I14,'6.10'!I14)</f>
        <v>-0.6</v>
      </c>
      <c r="J14" s="346">
        <f>AVERAGE('6.8'!J14,'6.9'!J14,'6.10'!J14)</f>
        <v>12.466666666666669</v>
      </c>
      <c r="K14" s="345">
        <f t="shared" si="1"/>
        <v>0.74609318996415652</v>
      </c>
    </row>
    <row r="15" spans="1:11" ht="14.1" customHeight="1">
      <c r="A15" s="155" t="s">
        <v>15</v>
      </c>
      <c r="B15" s="130">
        <f>'6.5'!D32</f>
        <v>159201</v>
      </c>
      <c r="C15" s="332">
        <f>'6.5'!E32</f>
        <v>66053.2</v>
      </c>
      <c r="D15" s="130">
        <f>'6.5'!F32</f>
        <v>712068.54316999996</v>
      </c>
      <c r="E15" s="326">
        <f t="shared" si="0"/>
        <v>4.7708751277321632E-2</v>
      </c>
      <c r="F15" s="351">
        <f>'6.5'!H32</f>
        <v>-0.15125006264126403</v>
      </c>
      <c r="G15" s="345">
        <f>AVERAGE('6.8'!G15,'6.9'!G15,'6.10'!G15)</f>
        <v>13.58731182795699</v>
      </c>
      <c r="H15" s="346">
        <f>MAX('6.8'!H15,'6.9'!H15,'6.10'!H15)</f>
        <v>26.7</v>
      </c>
      <c r="I15" s="346">
        <f>MIN('6.8'!I15,'6.9'!I15,'6.10'!I15)</f>
        <v>-0.8</v>
      </c>
      <c r="J15" s="346">
        <f>AVERAGE('6.8'!J15,'6.9'!J15,'6.10'!J15)</f>
        <v>11.833333333333334</v>
      </c>
      <c r="K15" s="345">
        <f t="shared" si="1"/>
        <v>1.7539784946236558</v>
      </c>
    </row>
    <row r="16" spans="1:11" ht="14.1" customHeight="1">
      <c r="A16" s="155" t="s">
        <v>1</v>
      </c>
      <c r="B16" s="130">
        <f>'6.5'!D62</f>
        <v>411246</v>
      </c>
      <c r="C16" s="332">
        <f>'6.5'!E62</f>
        <v>118103.81339796797</v>
      </c>
      <c r="D16" s="130">
        <f>'6.5'!F62</f>
        <v>1282025.2716619009</v>
      </c>
      <c r="E16" s="326">
        <f t="shared" si="0"/>
        <v>8.5895979261586361E-2</v>
      </c>
      <c r="F16" s="351">
        <f>'6.5'!H62</f>
        <v>-0.23337543333511243</v>
      </c>
      <c r="G16" s="345">
        <f>AVERAGE('6.8'!G16,'6.9'!G16,'6.10'!G16)</f>
        <v>15.455663082437274</v>
      </c>
      <c r="H16" s="346">
        <f>MAX('6.8'!H16,'6.9'!H16,'6.10'!H16)</f>
        <v>29.6</v>
      </c>
      <c r="I16" s="346">
        <f>MIN('6.8'!I16,'6.9'!I16,'6.10'!I16)</f>
        <v>0.8</v>
      </c>
      <c r="J16" s="346">
        <f>AVERAGE('6.8'!J16,'6.9'!J16,'6.10'!J16)</f>
        <v>13.166666666666666</v>
      </c>
      <c r="K16" s="345">
        <f t="shared" si="1"/>
        <v>2.2889964157706082</v>
      </c>
    </row>
    <row r="17" spans="1:16" ht="14.1" customHeight="1">
      <c r="A17" s="155" t="s">
        <v>16</v>
      </c>
      <c r="B17" s="130">
        <f>'6.6'!D32</f>
        <v>259633</v>
      </c>
      <c r="C17" s="332">
        <f>'6.6'!E32</f>
        <v>205627.75499999998</v>
      </c>
      <c r="D17" s="130">
        <f>'6.6'!F32</f>
        <v>2216963.7464469997</v>
      </c>
      <c r="E17" s="326">
        <f t="shared" si="0"/>
        <v>0.14853706568642475</v>
      </c>
      <c r="F17" s="351">
        <f>'6.6'!H32</f>
        <v>-0.12650588898122517</v>
      </c>
      <c r="G17" s="345">
        <f>AVERAGE('6.8'!G17,'6.9'!G17,'6.10'!G17)</f>
        <v>13.946953405017922</v>
      </c>
      <c r="H17" s="346">
        <f>MAX('6.8'!H17,'6.9'!H17,'6.10'!H17)</f>
        <v>27</v>
      </c>
      <c r="I17" s="346">
        <f>MIN('6.8'!I17,'6.9'!I17,'6.10'!I17)</f>
        <v>-0.4</v>
      </c>
      <c r="J17" s="346">
        <f>AVERAGE('6.8'!J17,'6.9'!J17,'6.10'!J17)</f>
        <v>12.966666666666674</v>
      </c>
      <c r="K17" s="345">
        <f t="shared" si="1"/>
        <v>0.98028673835124813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'6.6'!D62</f>
        <v>221023</v>
      </c>
      <c r="C18" s="332">
        <f>'6.6'!E62</f>
        <v>225519.52600000001</v>
      </c>
      <c r="D18" s="130">
        <f>'6.6'!F62</f>
        <v>2437668.3354500006</v>
      </c>
      <c r="E18" s="326">
        <f t="shared" si="0"/>
        <v>0.16332432239577474</v>
      </c>
      <c r="F18" s="351">
        <f>'6.6'!H62</f>
        <v>-0.29365060435769053</v>
      </c>
      <c r="G18" s="345">
        <f>AVERAGE('6.8'!G18,'6.9'!G18,'6.10'!G18)</f>
        <v>13.779426523297493</v>
      </c>
      <c r="H18" s="346">
        <f>MAX('6.8'!H18,'6.9'!H18,'6.10'!H18)</f>
        <v>28.2</v>
      </c>
      <c r="I18" s="346">
        <f>MIN('6.8'!I18,'6.9'!I18,'6.10'!I18)</f>
        <v>0</v>
      </c>
      <c r="J18" s="346">
        <f>AVERAGE('6.8'!J18,'6.9'!J18,'6.10'!J18)</f>
        <v>13.033333333333326</v>
      </c>
      <c r="K18" s="345">
        <f t="shared" si="1"/>
        <v>0.74609318996416718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'6.7'!D32</f>
        <v>119629</v>
      </c>
      <c r="C19" s="332">
        <f>'6.7'!E32</f>
        <v>51526.63366</v>
      </c>
      <c r="D19" s="130">
        <f>'6.7'!F32</f>
        <v>554936.24531999999</v>
      </c>
      <c r="E19" s="326">
        <f t="shared" si="0"/>
        <v>3.718085226020422E-2</v>
      </c>
      <c r="F19" s="351">
        <f>'6.7'!H32</f>
        <v>-0.20995383230655482</v>
      </c>
      <c r="G19" s="345">
        <f>AVERAGE('6.8'!G19,'6.9'!G19,'6.10'!G19)</f>
        <v>12.967849462365592</v>
      </c>
      <c r="H19" s="346">
        <f>MAX('6.8'!H19,'6.9'!H19,'6.10'!H19)</f>
        <v>24.7</v>
      </c>
      <c r="I19" s="346">
        <f>MIN('6.8'!I19,'6.9'!I19,'6.10'!I19)</f>
        <v>-1.6</v>
      </c>
      <c r="J19" s="346">
        <f>AVERAGE('6.8'!J19,'6.9'!J19,'6.10'!J19)</f>
        <v>11.499999999999995</v>
      </c>
      <c r="K19" s="345">
        <f t="shared" si="1"/>
        <v>1.4678494623655975</v>
      </c>
      <c r="L19" s="94"/>
      <c r="N19" s="94"/>
      <c r="O19" s="94"/>
      <c r="P19" s="94"/>
    </row>
    <row r="20" spans="1:16" ht="14.1" customHeight="1">
      <c r="A20" s="205" t="s">
        <v>19</v>
      </c>
      <c r="B20" s="329">
        <f>'6.7'!D62</f>
        <v>155615</v>
      </c>
      <c r="C20" s="333">
        <f>'6.7'!E62</f>
        <v>66901.7</v>
      </c>
      <c r="D20" s="329">
        <f>'6.7'!F62</f>
        <v>721123.79205000005</v>
      </c>
      <c r="E20" s="330">
        <f t="shared" si="0"/>
        <v>4.8315454972793027E-2</v>
      </c>
      <c r="F20" s="352">
        <f>'6.7'!H62</f>
        <v>-0.24948368257444112</v>
      </c>
      <c r="G20" s="347">
        <f>AVERAGE('6.8'!G20,'6.9'!G20,'6.10'!G20)</f>
        <v>12.820609318996418</v>
      </c>
      <c r="H20" s="348">
        <f>MAX('6.8'!H20,'6.9'!H20,'6.10'!H20)</f>
        <v>25.5</v>
      </c>
      <c r="I20" s="348">
        <f>MIN('6.8'!I20,'6.9'!I20,'6.10'!I20)</f>
        <v>-2.6</v>
      </c>
      <c r="J20" s="348">
        <f>AVERAGE('6.8'!J20,'6.9'!J20,'6.10'!J20)</f>
        <v>12.933333333333337</v>
      </c>
      <c r="K20" s="347">
        <f t="shared" si="1"/>
        <v>-0.11272401433691925</v>
      </c>
      <c r="L20" s="94"/>
    </row>
    <row r="21" spans="1:16" ht="14.1" customHeight="1">
      <c r="A21" s="155" t="s">
        <v>0</v>
      </c>
      <c r="B21" s="157">
        <f>SUM(B7:B20)</f>
        <v>2802216</v>
      </c>
      <c r="C21" s="332">
        <f>SUM(C7:C20)</f>
        <v>1383519.4514079678</v>
      </c>
      <c r="D21" s="130">
        <f>SUM(D7:D20)</f>
        <v>14925323.428208902</v>
      </c>
      <c r="E21" s="394">
        <f>SUM(E7:E20)</f>
        <v>0.99999999999999989</v>
      </c>
      <c r="F21" s="351"/>
      <c r="G21" s="275">
        <f>AVERAGE('6.8'!G21,'6.9'!G21,'6.10'!G21)</f>
        <v>13.357777777777779</v>
      </c>
      <c r="H21" s="275">
        <f>MAX('6.8'!H21,'6.9'!H21,'6.10'!H21)</f>
        <v>25</v>
      </c>
      <c r="I21" s="275">
        <f>MIN('6.8'!I21,'6.9'!I21,'6.10'!I21)</f>
        <v>-1</v>
      </c>
      <c r="J21" s="275">
        <f>AVERAGE('6.8'!J21,'6.9'!J21,'6.10'!J21)</f>
        <v>12.916415770609319</v>
      </c>
      <c r="K21" s="275">
        <f t="shared" si="1"/>
        <v>0.44136200716845941</v>
      </c>
      <c r="M21" s="106"/>
    </row>
    <row r="22" spans="1:16" ht="14.1" customHeight="1">
      <c r="A22" s="205" t="s">
        <v>94</v>
      </c>
      <c r="B22" s="395"/>
      <c r="C22" s="333">
        <f>'5.1'!E34</f>
        <v>13093.365232504042</v>
      </c>
      <c r="D22" s="329">
        <f>'5.1'!F34</f>
        <v>141841.19897999984</v>
      </c>
      <c r="E22" s="395"/>
      <c r="F22" s="352">
        <f>'5.1'!H34</f>
        <v>-0.47787105056896539</v>
      </c>
      <c r="G22" s="281">
        <f>AVERAGE('6.8'!G22,'6.9'!G22,'6.10'!G22)</f>
        <v>13.357777777777779</v>
      </c>
      <c r="H22" s="281">
        <f>MAX('6.8'!H22,'6.9'!H22,'6.10'!H22)</f>
        <v>25</v>
      </c>
      <c r="I22" s="281">
        <f>MIN('6.8'!I22,'6.9'!I22,'6.10'!I22)</f>
        <v>-1</v>
      </c>
      <c r="J22" s="281">
        <f>AVERAGE('6.8'!J22,'6.9'!J22,'6.10'!J22)</f>
        <v>12.916415770609319</v>
      </c>
      <c r="K22" s="281">
        <f t="shared" si="1"/>
        <v>0.44136200716845941</v>
      </c>
    </row>
    <row r="23" spans="1:16" ht="14.1" customHeight="1">
      <c r="A23" s="205" t="s">
        <v>55</v>
      </c>
      <c r="B23" s="162">
        <f>B21+B22</f>
        <v>2802216</v>
      </c>
      <c r="C23" s="333">
        <f t="shared" ref="C23:D23" si="2">C21+C22</f>
        <v>1396612.8166404718</v>
      </c>
      <c r="D23" s="329">
        <f t="shared" si="2"/>
        <v>15067164.627188902</v>
      </c>
      <c r="E23" s="395"/>
      <c r="F23" s="352">
        <f>'5.1'!H35</f>
        <v>-0.25735645749786196</v>
      </c>
      <c r="G23" s="281">
        <f>AVERAGE('6.8'!G23,'6.9'!G23,'6.10'!G23)</f>
        <v>13.357777777777779</v>
      </c>
      <c r="H23" s="281">
        <f>MAX('6.8'!H23,'6.9'!H23,'6.10'!H23)</f>
        <v>25</v>
      </c>
      <c r="I23" s="281">
        <f>MIN('6.8'!I23,'6.9'!I23,'6.10'!I23)</f>
        <v>-1</v>
      </c>
      <c r="J23" s="281">
        <f>AVERAGE('6.8'!J23,'6.9'!J23,'6.10'!J23)</f>
        <v>12.916415770609319</v>
      </c>
      <c r="K23" s="281">
        <f t="shared" si="1"/>
        <v>0.44136200716845941</v>
      </c>
    </row>
    <row r="24" spans="1:16" ht="15" customHeight="1">
      <c r="A24" s="102"/>
      <c r="B24" s="95"/>
      <c r="C24" s="513" t="s">
        <v>248</v>
      </c>
      <c r="D24" s="513"/>
      <c r="E24" s="513"/>
      <c r="F24" s="513"/>
      <c r="G24" s="516" t="s">
        <v>246</v>
      </c>
      <c r="H24" s="516"/>
      <c r="I24" s="516"/>
      <c r="J24" s="516"/>
      <c r="K24" s="516"/>
    </row>
    <row r="25" spans="1:16" ht="15" customHeight="1">
      <c r="A25" s="95"/>
      <c r="B25" s="95"/>
      <c r="C25" s="513"/>
      <c r="D25" s="513"/>
      <c r="E25" s="513"/>
      <c r="F25" s="513"/>
      <c r="G25" s="516" t="s">
        <v>247</v>
      </c>
      <c r="H25" s="516"/>
      <c r="I25" s="516"/>
      <c r="J25" s="516"/>
      <c r="K25" s="516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78" t="s">
        <v>261</v>
      </c>
      <c r="B29" s="478"/>
      <c r="C29" s="478"/>
      <c r="D29" s="478"/>
      <c r="E29" s="478"/>
      <c r="F29" s="478" t="s">
        <v>61</v>
      </c>
      <c r="G29" s="478"/>
      <c r="H29" s="478"/>
      <c r="I29" s="478"/>
      <c r="J29" s="478"/>
      <c r="K29" s="478"/>
    </row>
    <row r="30" spans="1:16" ht="15" customHeight="1">
      <c r="A30" s="121"/>
      <c r="B30" s="519"/>
      <c r="C30" s="519"/>
      <c r="D30" s="121"/>
      <c r="E30" s="121"/>
      <c r="F30" s="121"/>
      <c r="G30" s="121"/>
      <c r="H30" s="519"/>
      <c r="I30" s="514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zoomScaleNormal="100" zoomScaleSheetLayoutView="100" workbookViewId="0">
      <selection activeCell="E1" sqref="E1"/>
    </sheetView>
  </sheetViews>
  <sheetFormatPr defaultRowHeight="11.25"/>
  <cols>
    <col min="1" max="1" width="8" style="12" customWidth="1"/>
    <col min="2" max="12" width="7.7109375" style="12" customWidth="1"/>
    <col min="13" max="13" width="8.140625" style="12" customWidth="1"/>
    <col min="14" max="15" width="7.7109375" style="12" customWidth="1"/>
    <col min="16" max="16" width="9.140625" style="12" customWidth="1"/>
    <col min="17" max="17" width="8.28515625" style="12" customWidth="1"/>
    <col min="18" max="18" width="9.42578125" style="12" customWidth="1"/>
    <col min="19" max="19" width="9.28515625" style="12" bestFit="1" customWidth="1"/>
    <col min="20" max="20" width="11.42578125" style="12" bestFit="1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18">
      <c r="A1" s="451" t="s">
        <v>314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</row>
    <row r="2" spans="1:22" ht="6" customHeight="1">
      <c r="A2" s="523"/>
      <c r="B2" s="524"/>
      <c r="C2" s="524"/>
      <c r="D2" s="524"/>
      <c r="E2" s="524"/>
      <c r="F2" s="524"/>
      <c r="G2" s="524"/>
      <c r="H2" s="524"/>
      <c r="I2" s="524"/>
      <c r="J2" s="209"/>
      <c r="K2" s="208"/>
      <c r="L2" s="208"/>
      <c r="M2" s="208"/>
      <c r="N2" s="208"/>
      <c r="O2" s="208"/>
      <c r="P2" s="208"/>
      <c r="Q2" s="208"/>
      <c r="R2" s="208"/>
    </row>
    <row r="3" spans="1:22" ht="35.1" customHeight="1">
      <c r="A3" s="447" t="s">
        <v>280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</row>
    <row r="4" spans="1:22" ht="84.95" customHeight="1">
      <c r="A4" s="221">
        <f>'3.1'!A4</f>
        <v>2022</v>
      </c>
      <c r="B4" s="397" t="s">
        <v>68</v>
      </c>
      <c r="C4" s="397" t="s">
        <v>69</v>
      </c>
      <c r="D4" s="397" t="s">
        <v>70</v>
      </c>
      <c r="E4" s="397" t="s">
        <v>91</v>
      </c>
      <c r="F4" s="397" t="s">
        <v>71</v>
      </c>
      <c r="G4" s="397" t="s">
        <v>72</v>
      </c>
      <c r="H4" s="397" t="s">
        <v>73</v>
      </c>
      <c r="I4" s="397" t="s">
        <v>74</v>
      </c>
      <c r="J4" s="397" t="s">
        <v>75</v>
      </c>
      <c r="K4" s="397" t="s">
        <v>76</v>
      </c>
      <c r="L4" s="397" t="s">
        <v>77</v>
      </c>
      <c r="M4" s="397" t="s">
        <v>78</v>
      </c>
      <c r="N4" s="397" t="s">
        <v>79</v>
      </c>
      <c r="O4" s="397" t="s">
        <v>80</v>
      </c>
      <c r="P4" s="397" t="s">
        <v>81</v>
      </c>
      <c r="Q4" s="397" t="s">
        <v>95</v>
      </c>
      <c r="R4" s="397" t="s">
        <v>82</v>
      </c>
    </row>
    <row r="5" spans="1:22" ht="20.100000000000001" customHeight="1">
      <c r="A5" s="177" t="s">
        <v>161</v>
      </c>
      <c r="B5" s="252">
        <v>38941.378410000005</v>
      </c>
      <c r="C5" s="252">
        <v>155040.59999999998</v>
      </c>
      <c r="D5" s="255">
        <v>27716.7</v>
      </c>
      <c r="E5" s="255">
        <v>48268.799999999996</v>
      </c>
      <c r="F5" s="255">
        <v>45371.500000000007</v>
      </c>
      <c r="G5" s="255">
        <v>113382.61799999999</v>
      </c>
      <c r="H5" s="255">
        <v>68290.900000000009</v>
      </c>
      <c r="I5" s="255">
        <v>50033.899999999994</v>
      </c>
      <c r="J5" s="255">
        <v>52042.9</v>
      </c>
      <c r="K5" s="252">
        <v>127940.34146005199</v>
      </c>
      <c r="L5" s="252">
        <v>145375.462</v>
      </c>
      <c r="M5" s="255">
        <v>132512.64600000001</v>
      </c>
      <c r="N5" s="255">
        <v>46827.456590000002</v>
      </c>
      <c r="O5" s="255">
        <v>59006.3</v>
      </c>
      <c r="P5" s="255">
        <v>1110751.502460052</v>
      </c>
      <c r="Q5" s="255">
        <v>23511.330737856249</v>
      </c>
      <c r="R5" s="255">
        <v>1134262.8331979082</v>
      </c>
      <c r="S5" s="56"/>
      <c r="T5" s="57"/>
      <c r="U5" s="57"/>
      <c r="V5" s="57"/>
    </row>
    <row r="6" spans="1:22" ht="20.100000000000001" customHeight="1">
      <c r="A6" s="177" t="s">
        <v>162</v>
      </c>
      <c r="B6" s="252">
        <v>31696.996150000003</v>
      </c>
      <c r="C6" s="255">
        <v>121742.70000000001</v>
      </c>
      <c r="D6" s="255">
        <v>22940.2</v>
      </c>
      <c r="E6" s="255">
        <v>37784.6</v>
      </c>
      <c r="F6" s="255">
        <v>36916.5</v>
      </c>
      <c r="G6" s="255">
        <v>93022.157000000007</v>
      </c>
      <c r="H6" s="255">
        <v>53134.6</v>
      </c>
      <c r="I6" s="255">
        <v>41668.699999999997</v>
      </c>
      <c r="J6" s="255">
        <v>42496.800000000003</v>
      </c>
      <c r="K6" s="252">
        <v>100771.986728381</v>
      </c>
      <c r="L6" s="255">
        <v>113122.25499999999</v>
      </c>
      <c r="M6" s="255">
        <v>89484.081999999995</v>
      </c>
      <c r="N6" s="255">
        <v>37061.16085</v>
      </c>
      <c r="O6" s="255">
        <v>46553.200000000004</v>
      </c>
      <c r="P6" s="255">
        <v>868395.9377283809</v>
      </c>
      <c r="Q6" s="255">
        <v>22104.462365356801</v>
      </c>
      <c r="R6" s="255">
        <v>890500.40009373776</v>
      </c>
      <c r="S6" s="58"/>
      <c r="T6" s="57"/>
      <c r="U6" s="57"/>
      <c r="V6" s="57"/>
    </row>
    <row r="7" spans="1:22" ht="20.100000000000001" customHeight="1">
      <c r="A7" s="180" t="s">
        <v>163</v>
      </c>
      <c r="B7" s="257">
        <v>31895.59232</v>
      </c>
      <c r="C7" s="258">
        <v>122851.00000000001</v>
      </c>
      <c r="D7" s="258">
        <v>22590</v>
      </c>
      <c r="E7" s="258">
        <v>37381.4</v>
      </c>
      <c r="F7" s="258">
        <v>36634.699999999997</v>
      </c>
      <c r="G7" s="258">
        <v>93498.948000000004</v>
      </c>
      <c r="H7" s="258">
        <v>55533.3</v>
      </c>
      <c r="I7" s="258">
        <v>41065.500000000007</v>
      </c>
      <c r="J7" s="258">
        <v>42773.200000000004</v>
      </c>
      <c r="K7" s="257">
        <v>98145.136536463746</v>
      </c>
      <c r="L7" s="258">
        <v>114295.02799999999</v>
      </c>
      <c r="M7" s="258">
        <v>121996.359</v>
      </c>
      <c r="N7" s="258">
        <v>36987.200680000002</v>
      </c>
      <c r="O7" s="258">
        <v>47677.900000000009</v>
      </c>
      <c r="P7" s="258">
        <v>903325.26453646377</v>
      </c>
      <c r="Q7" s="258">
        <v>19294.2278982315</v>
      </c>
      <c r="R7" s="258">
        <v>922619.49243469525</v>
      </c>
      <c r="S7" s="59"/>
      <c r="T7" s="57"/>
      <c r="U7" s="57"/>
      <c r="V7" s="57"/>
    </row>
    <row r="8" spans="1:22" ht="20.100000000000001" customHeight="1">
      <c r="A8" s="177" t="s">
        <v>164</v>
      </c>
      <c r="B8" s="252">
        <v>24568.994149999999</v>
      </c>
      <c r="C8" s="255">
        <v>89320.999999999985</v>
      </c>
      <c r="D8" s="255">
        <v>17419.399999999998</v>
      </c>
      <c r="E8" s="255">
        <v>28343.1</v>
      </c>
      <c r="F8" s="255">
        <v>27124.399999999998</v>
      </c>
      <c r="G8" s="255">
        <v>74293.203999999983</v>
      </c>
      <c r="H8" s="255">
        <v>42480.1</v>
      </c>
      <c r="I8" s="255">
        <v>31564.7</v>
      </c>
      <c r="J8" s="255">
        <v>33066.1</v>
      </c>
      <c r="K8" s="252">
        <v>73032.609774202283</v>
      </c>
      <c r="L8" s="255">
        <v>94732.47</v>
      </c>
      <c r="M8" s="255">
        <v>65685.403000000006</v>
      </c>
      <c r="N8" s="255">
        <v>27965.188849999999</v>
      </c>
      <c r="O8" s="255">
        <v>34955.800000000003</v>
      </c>
      <c r="P8" s="255">
        <v>664552.46977420233</v>
      </c>
      <c r="Q8" s="255">
        <v>6809.6798347968088</v>
      </c>
      <c r="R8" s="255">
        <v>671362.14960899914</v>
      </c>
      <c r="S8" s="58"/>
      <c r="T8" s="57"/>
      <c r="U8" s="57"/>
      <c r="V8" s="57"/>
    </row>
    <row r="9" spans="1:22" ht="20.100000000000001" customHeight="1">
      <c r="A9" s="177" t="s">
        <v>165</v>
      </c>
      <c r="B9" s="252">
        <v>12882.110449999998</v>
      </c>
      <c r="C9" s="255">
        <v>37348.800000000003</v>
      </c>
      <c r="D9" s="255">
        <v>10126.599999999999</v>
      </c>
      <c r="E9" s="255">
        <v>14396.500000000002</v>
      </c>
      <c r="F9" s="255">
        <v>13043.699999999999</v>
      </c>
      <c r="G9" s="255">
        <v>45950.067999999999</v>
      </c>
      <c r="H9" s="255">
        <v>22170.600000000002</v>
      </c>
      <c r="I9" s="255">
        <v>16579.099999999999</v>
      </c>
      <c r="J9" s="255">
        <v>17985.599999999999</v>
      </c>
      <c r="K9" s="252">
        <v>26625.16474560499</v>
      </c>
      <c r="L9" s="255">
        <v>60198.828999999983</v>
      </c>
      <c r="M9" s="255">
        <v>75497.58</v>
      </c>
      <c r="N9" s="255">
        <v>13157.50956</v>
      </c>
      <c r="O9" s="255">
        <v>18309.8</v>
      </c>
      <c r="P9" s="255">
        <v>384271.96175560495</v>
      </c>
      <c r="Q9" s="255">
        <v>4624.2103988143199</v>
      </c>
      <c r="R9" s="255">
        <v>388896.17215441924</v>
      </c>
      <c r="S9" s="58"/>
      <c r="T9" s="57"/>
      <c r="U9" s="57"/>
      <c r="V9" s="57"/>
    </row>
    <row r="10" spans="1:22" ht="20.100000000000001" customHeight="1">
      <c r="A10" s="180" t="s">
        <v>166</v>
      </c>
      <c r="B10" s="257">
        <v>10097.37275</v>
      </c>
      <c r="C10" s="258">
        <v>29148.199999999997</v>
      </c>
      <c r="D10" s="258">
        <v>9111.7999999999993</v>
      </c>
      <c r="E10" s="258">
        <v>11677.7</v>
      </c>
      <c r="F10" s="258">
        <v>11479.300000000001</v>
      </c>
      <c r="G10" s="258">
        <v>38949.074000000001</v>
      </c>
      <c r="H10" s="258">
        <v>17983.400000000001</v>
      </c>
      <c r="I10" s="258">
        <v>13727.599999999999</v>
      </c>
      <c r="J10" s="258">
        <v>15001.500000000002</v>
      </c>
      <c r="K10" s="257">
        <v>18446.038878160678</v>
      </c>
      <c r="L10" s="258">
        <v>50696.456000000006</v>
      </c>
      <c r="M10" s="258">
        <v>84336.543000000005</v>
      </c>
      <c r="N10" s="258">
        <v>10403.93525</v>
      </c>
      <c r="O10" s="258">
        <v>13636.1</v>
      </c>
      <c r="P10" s="258">
        <v>334695.01987816067</v>
      </c>
      <c r="Q10" s="258">
        <v>1659.4749988929134</v>
      </c>
      <c r="R10" s="258">
        <v>336354.4948770536</v>
      </c>
      <c r="S10" s="58"/>
      <c r="T10" s="57"/>
      <c r="U10" s="57"/>
      <c r="V10" s="57"/>
    </row>
    <row r="11" spans="1:22" ht="20.100000000000001" customHeight="1">
      <c r="A11" s="177" t="s">
        <v>167</v>
      </c>
      <c r="B11" s="252"/>
      <c r="C11" s="255"/>
      <c r="D11" s="255"/>
      <c r="E11" s="255"/>
      <c r="F11" s="255"/>
      <c r="G11" s="255"/>
      <c r="H11" s="255"/>
      <c r="I11" s="255"/>
      <c r="J11" s="255"/>
      <c r="K11" s="252"/>
      <c r="L11" s="255"/>
      <c r="M11" s="255"/>
      <c r="N11" s="255"/>
      <c r="O11" s="255"/>
      <c r="P11" s="255"/>
      <c r="Q11" s="255"/>
      <c r="R11" s="255"/>
      <c r="S11" s="58"/>
      <c r="T11" s="57"/>
      <c r="U11" s="57"/>
      <c r="V11" s="57"/>
    </row>
    <row r="12" spans="1:22" ht="20.100000000000001" customHeight="1">
      <c r="A12" s="177" t="s">
        <v>168</v>
      </c>
      <c r="B12" s="252"/>
      <c r="C12" s="255"/>
      <c r="D12" s="255"/>
      <c r="E12" s="255"/>
      <c r="F12" s="255"/>
      <c r="G12" s="255"/>
      <c r="H12" s="255"/>
      <c r="I12" s="255"/>
      <c r="J12" s="255"/>
      <c r="K12" s="252"/>
      <c r="L12" s="255"/>
      <c r="M12" s="255"/>
      <c r="N12" s="255"/>
      <c r="O12" s="255"/>
      <c r="P12" s="255"/>
      <c r="Q12" s="255"/>
      <c r="R12" s="255"/>
      <c r="S12" s="58"/>
      <c r="T12" s="57"/>
      <c r="U12" s="57"/>
      <c r="V12" s="57"/>
    </row>
    <row r="13" spans="1:22" ht="20.100000000000001" customHeight="1">
      <c r="A13" s="180" t="s">
        <v>169</v>
      </c>
      <c r="B13" s="257"/>
      <c r="C13" s="258"/>
      <c r="D13" s="258"/>
      <c r="E13" s="258"/>
      <c r="F13" s="258"/>
      <c r="G13" s="258"/>
      <c r="H13" s="258"/>
      <c r="I13" s="258"/>
      <c r="J13" s="258"/>
      <c r="K13" s="257"/>
      <c r="L13" s="258"/>
      <c r="M13" s="258"/>
      <c r="N13" s="258"/>
      <c r="O13" s="258"/>
      <c r="P13" s="258"/>
      <c r="Q13" s="258"/>
      <c r="R13" s="258"/>
      <c r="S13" s="58"/>
      <c r="T13" s="57"/>
      <c r="U13" s="57"/>
      <c r="V13" s="57"/>
    </row>
    <row r="14" spans="1:22" ht="20.100000000000001" customHeight="1">
      <c r="A14" s="177" t="s">
        <v>170</v>
      </c>
      <c r="B14" s="252"/>
      <c r="C14" s="255"/>
      <c r="D14" s="255"/>
      <c r="E14" s="255"/>
      <c r="F14" s="255"/>
      <c r="G14" s="255"/>
      <c r="H14" s="255"/>
      <c r="I14" s="255"/>
      <c r="J14" s="255"/>
      <c r="K14" s="252"/>
      <c r="L14" s="255"/>
      <c r="M14" s="255"/>
      <c r="N14" s="255"/>
      <c r="O14" s="255"/>
      <c r="P14" s="255"/>
      <c r="Q14" s="255"/>
      <c r="R14" s="255"/>
      <c r="S14" s="58"/>
      <c r="T14" s="57"/>
      <c r="U14" s="57"/>
      <c r="V14" s="57"/>
    </row>
    <row r="15" spans="1:22" ht="20.100000000000001" customHeight="1">
      <c r="A15" s="177" t="s">
        <v>171</v>
      </c>
      <c r="B15" s="252"/>
      <c r="C15" s="255"/>
      <c r="D15" s="255"/>
      <c r="E15" s="255"/>
      <c r="F15" s="255"/>
      <c r="G15" s="255"/>
      <c r="H15" s="255"/>
      <c r="I15" s="255"/>
      <c r="J15" s="255"/>
      <c r="K15" s="252"/>
      <c r="L15" s="255"/>
      <c r="M15" s="255"/>
      <c r="N15" s="255"/>
      <c r="O15" s="255"/>
      <c r="P15" s="255"/>
      <c r="Q15" s="255"/>
      <c r="R15" s="255"/>
      <c r="S15" s="58"/>
      <c r="T15" s="57"/>
      <c r="U15" s="57"/>
      <c r="V15" s="57"/>
    </row>
    <row r="16" spans="1:22" ht="20.100000000000001" customHeight="1">
      <c r="A16" s="180" t="s">
        <v>172</v>
      </c>
      <c r="B16" s="257"/>
      <c r="C16" s="258"/>
      <c r="D16" s="258"/>
      <c r="E16" s="258"/>
      <c r="F16" s="258"/>
      <c r="G16" s="258"/>
      <c r="H16" s="258"/>
      <c r="I16" s="258"/>
      <c r="J16" s="258"/>
      <c r="K16" s="257"/>
      <c r="L16" s="258"/>
      <c r="M16" s="258"/>
      <c r="N16" s="258"/>
      <c r="O16" s="258"/>
      <c r="P16" s="258"/>
      <c r="Q16" s="258"/>
      <c r="R16" s="258"/>
      <c r="S16" s="58"/>
      <c r="T16" s="57"/>
      <c r="U16" s="57"/>
      <c r="V16" s="57"/>
    </row>
    <row r="17" spans="1:22" ht="20.100000000000001" customHeight="1">
      <c r="A17" s="177" t="s">
        <v>48</v>
      </c>
      <c r="B17" s="252">
        <f>SUM(B5:B7)</f>
        <v>102533.96688000001</v>
      </c>
      <c r="C17" s="252">
        <f>SUM(C5:C7)</f>
        <v>399634.3</v>
      </c>
      <c r="D17" s="252">
        <f t="shared" ref="D17:J17" si="0">SUM(D5:D7)</f>
        <v>73246.899999999994</v>
      </c>
      <c r="E17" s="252">
        <f t="shared" si="0"/>
        <v>123434.79999999999</v>
      </c>
      <c r="F17" s="252">
        <f t="shared" si="0"/>
        <v>118922.7</v>
      </c>
      <c r="G17" s="252">
        <f t="shared" si="0"/>
        <v>299903.723</v>
      </c>
      <c r="H17" s="252">
        <f t="shared" si="0"/>
        <v>176958.8</v>
      </c>
      <c r="I17" s="252">
        <f t="shared" si="0"/>
        <v>132768.1</v>
      </c>
      <c r="J17" s="252">
        <f t="shared" si="0"/>
        <v>137312.90000000002</v>
      </c>
      <c r="K17" s="252">
        <f>SUM(K5:K7)</f>
        <v>326857.46472489671</v>
      </c>
      <c r="L17" s="252">
        <f t="shared" ref="L17:R17" si="1">SUM(L5:L7)</f>
        <v>372792.745</v>
      </c>
      <c r="M17" s="252">
        <f t="shared" si="1"/>
        <v>343993.087</v>
      </c>
      <c r="N17" s="252">
        <f t="shared" si="1"/>
        <v>120875.81812000001</v>
      </c>
      <c r="O17" s="252">
        <f t="shared" si="1"/>
        <v>153237.40000000002</v>
      </c>
      <c r="P17" s="252">
        <f t="shared" si="1"/>
        <v>2882472.7047248967</v>
      </c>
      <c r="Q17" s="252">
        <f t="shared" si="1"/>
        <v>64910.021001444547</v>
      </c>
      <c r="R17" s="252">
        <f t="shared" si="1"/>
        <v>2947382.7257263414</v>
      </c>
    </row>
    <row r="18" spans="1:22" ht="20.100000000000001" customHeight="1">
      <c r="A18" s="177" t="s">
        <v>56</v>
      </c>
      <c r="B18" s="252">
        <f>SUM(B8:B10)</f>
        <v>47548.477350000001</v>
      </c>
      <c r="C18" s="252">
        <f>SUM(C8:C10)</f>
        <v>155818</v>
      </c>
      <c r="D18" s="252">
        <f t="shared" ref="D18:J18" si="2">SUM(D8:D10)</f>
        <v>36657.799999999996</v>
      </c>
      <c r="E18" s="252">
        <f t="shared" si="2"/>
        <v>54417.3</v>
      </c>
      <c r="F18" s="252">
        <f t="shared" si="2"/>
        <v>51647.4</v>
      </c>
      <c r="G18" s="252">
        <f t="shared" si="2"/>
        <v>159192.34599999999</v>
      </c>
      <c r="H18" s="252">
        <f t="shared" si="2"/>
        <v>82634.100000000006</v>
      </c>
      <c r="I18" s="252">
        <f t="shared" si="2"/>
        <v>61871.4</v>
      </c>
      <c r="J18" s="252">
        <f t="shared" si="2"/>
        <v>66053.2</v>
      </c>
      <c r="K18" s="252">
        <f>SUM(K8:K10)</f>
        <v>118103.81339796796</v>
      </c>
      <c r="L18" s="252">
        <f t="shared" ref="L18:R18" si="3">SUM(L8:L10)</f>
        <v>205627.755</v>
      </c>
      <c r="M18" s="252">
        <f t="shared" si="3"/>
        <v>225519.52600000001</v>
      </c>
      <c r="N18" s="252">
        <f t="shared" si="3"/>
        <v>51526.63366</v>
      </c>
      <c r="O18" s="252">
        <f t="shared" si="3"/>
        <v>66901.700000000012</v>
      </c>
      <c r="P18" s="252">
        <f t="shared" si="3"/>
        <v>1383519.4514079681</v>
      </c>
      <c r="Q18" s="252">
        <f t="shared" si="3"/>
        <v>13093.365232504042</v>
      </c>
      <c r="R18" s="252">
        <f t="shared" si="3"/>
        <v>1396612.816640472</v>
      </c>
    </row>
    <row r="19" spans="1:22" ht="20.100000000000001" customHeight="1">
      <c r="A19" s="177" t="s">
        <v>63</v>
      </c>
      <c r="B19" s="253">
        <f>SUM(B11:B13)</f>
        <v>0</v>
      </c>
      <c r="C19" s="253">
        <f>SUM(C11:C13)</f>
        <v>0</v>
      </c>
      <c r="D19" s="253">
        <f t="shared" ref="D19:J19" si="4">SUM(D11:D13)</f>
        <v>0</v>
      </c>
      <c r="E19" s="253">
        <f t="shared" si="4"/>
        <v>0</v>
      </c>
      <c r="F19" s="253">
        <f t="shared" si="4"/>
        <v>0</v>
      </c>
      <c r="G19" s="253">
        <f t="shared" si="4"/>
        <v>0</v>
      </c>
      <c r="H19" s="253">
        <f t="shared" si="4"/>
        <v>0</v>
      </c>
      <c r="I19" s="253">
        <f t="shared" si="4"/>
        <v>0</v>
      </c>
      <c r="J19" s="253">
        <f t="shared" si="4"/>
        <v>0</v>
      </c>
      <c r="K19" s="253">
        <f>SUM(K11:K13)</f>
        <v>0</v>
      </c>
      <c r="L19" s="253">
        <f t="shared" ref="L19:R19" si="5">SUM(L11:L13)</f>
        <v>0</v>
      </c>
      <c r="M19" s="253">
        <f t="shared" si="5"/>
        <v>0</v>
      </c>
      <c r="N19" s="253">
        <f t="shared" si="5"/>
        <v>0</v>
      </c>
      <c r="O19" s="253">
        <f t="shared" si="5"/>
        <v>0</v>
      </c>
      <c r="P19" s="253">
        <f t="shared" si="5"/>
        <v>0</v>
      </c>
      <c r="Q19" s="253">
        <f t="shared" si="5"/>
        <v>0</v>
      </c>
      <c r="R19" s="253">
        <f t="shared" si="5"/>
        <v>0</v>
      </c>
    </row>
    <row r="20" spans="1:22" ht="20.100000000000001" customHeight="1">
      <c r="A20" s="180" t="s">
        <v>57</v>
      </c>
      <c r="B20" s="362">
        <f>SUM(B14:B16)</f>
        <v>0</v>
      </c>
      <c r="C20" s="362">
        <f>SUM(C14:C16)</f>
        <v>0</v>
      </c>
      <c r="D20" s="362">
        <f t="shared" ref="D20:J20" si="6">SUM(D14:D16)</f>
        <v>0</v>
      </c>
      <c r="E20" s="362">
        <f t="shared" si="6"/>
        <v>0</v>
      </c>
      <c r="F20" s="362">
        <f t="shared" si="6"/>
        <v>0</v>
      </c>
      <c r="G20" s="362">
        <f t="shared" si="6"/>
        <v>0</v>
      </c>
      <c r="H20" s="362">
        <f t="shared" si="6"/>
        <v>0</v>
      </c>
      <c r="I20" s="362">
        <f t="shared" si="6"/>
        <v>0</v>
      </c>
      <c r="J20" s="362">
        <f t="shared" si="6"/>
        <v>0</v>
      </c>
      <c r="K20" s="362">
        <f>SUM(K14:K16)</f>
        <v>0</v>
      </c>
      <c r="L20" s="362">
        <f t="shared" ref="L20:R20" si="7">SUM(L14:L16)</f>
        <v>0</v>
      </c>
      <c r="M20" s="362">
        <f t="shared" si="7"/>
        <v>0</v>
      </c>
      <c r="N20" s="362">
        <f t="shared" si="7"/>
        <v>0</v>
      </c>
      <c r="O20" s="362">
        <f t="shared" si="7"/>
        <v>0</v>
      </c>
      <c r="P20" s="362">
        <f t="shared" si="7"/>
        <v>0</v>
      </c>
      <c r="Q20" s="362">
        <f t="shared" si="7"/>
        <v>0</v>
      </c>
      <c r="R20" s="362">
        <f t="shared" si="7"/>
        <v>0</v>
      </c>
    </row>
    <row r="21" spans="1:22" ht="20.100000000000001" customHeight="1">
      <c r="A21" s="177" t="s">
        <v>58</v>
      </c>
      <c r="B21" s="252">
        <f>SUM(B5:B10)</f>
        <v>150082.44423000002</v>
      </c>
      <c r="C21" s="252">
        <f>SUM(C5:C10)</f>
        <v>555452.29999999993</v>
      </c>
      <c r="D21" s="252">
        <f t="shared" ref="D21:J21" si="8">SUM(D5:D10)</f>
        <v>109904.7</v>
      </c>
      <c r="E21" s="252">
        <f t="shared" si="8"/>
        <v>177852.1</v>
      </c>
      <c r="F21" s="252">
        <f t="shared" si="8"/>
        <v>170570.1</v>
      </c>
      <c r="G21" s="252">
        <f t="shared" si="8"/>
        <v>459096.06900000002</v>
      </c>
      <c r="H21" s="252">
        <f t="shared" si="8"/>
        <v>259592.9</v>
      </c>
      <c r="I21" s="252">
        <f t="shared" si="8"/>
        <v>194639.50000000003</v>
      </c>
      <c r="J21" s="252">
        <f t="shared" si="8"/>
        <v>203366.10000000003</v>
      </c>
      <c r="K21" s="252">
        <f>SUM(K5:K10)</f>
        <v>444961.27812286466</v>
      </c>
      <c r="L21" s="252">
        <f t="shared" ref="L21:R21" si="9">SUM(L5:L10)</f>
        <v>578420.5</v>
      </c>
      <c r="M21" s="252">
        <f t="shared" si="9"/>
        <v>569512.61300000001</v>
      </c>
      <c r="N21" s="252">
        <f t="shared" si="9"/>
        <v>172402.45178000003</v>
      </c>
      <c r="O21" s="252">
        <f t="shared" si="9"/>
        <v>220139.1</v>
      </c>
      <c r="P21" s="252">
        <f t="shared" si="9"/>
        <v>4265992.1561328648</v>
      </c>
      <c r="Q21" s="252">
        <f t="shared" si="9"/>
        <v>78003.386233948593</v>
      </c>
      <c r="R21" s="252">
        <f t="shared" si="9"/>
        <v>4343995.5423668129</v>
      </c>
    </row>
    <row r="22" spans="1:22" ht="20.100000000000001" customHeight="1">
      <c r="A22" s="180" t="s">
        <v>59</v>
      </c>
      <c r="B22" s="362">
        <f>SUM(B11:B16)</f>
        <v>0</v>
      </c>
      <c r="C22" s="362">
        <f>SUM(C11:C16)</f>
        <v>0</v>
      </c>
      <c r="D22" s="362">
        <f t="shared" ref="D22:J22" si="10">SUM(D11:D16)</f>
        <v>0</v>
      </c>
      <c r="E22" s="362">
        <f t="shared" si="10"/>
        <v>0</v>
      </c>
      <c r="F22" s="362">
        <f t="shared" si="10"/>
        <v>0</v>
      </c>
      <c r="G22" s="362">
        <f t="shared" si="10"/>
        <v>0</v>
      </c>
      <c r="H22" s="362">
        <f t="shared" si="10"/>
        <v>0</v>
      </c>
      <c r="I22" s="362">
        <f t="shared" si="10"/>
        <v>0</v>
      </c>
      <c r="J22" s="362">
        <f t="shared" si="10"/>
        <v>0</v>
      </c>
      <c r="K22" s="362">
        <f>SUM(K11:K16)</f>
        <v>0</v>
      </c>
      <c r="L22" s="362">
        <f t="shared" ref="L22:R22" si="11">SUM(L11:L16)</f>
        <v>0</v>
      </c>
      <c r="M22" s="362">
        <f t="shared" si="11"/>
        <v>0</v>
      </c>
      <c r="N22" s="362">
        <f t="shared" si="11"/>
        <v>0</v>
      </c>
      <c r="O22" s="362">
        <f t="shared" si="11"/>
        <v>0</v>
      </c>
      <c r="P22" s="362">
        <f t="shared" si="11"/>
        <v>0</v>
      </c>
      <c r="Q22" s="362">
        <f t="shared" si="11"/>
        <v>0</v>
      </c>
      <c r="R22" s="362">
        <f t="shared" si="11"/>
        <v>0</v>
      </c>
    </row>
    <row r="23" spans="1:22" ht="20.100000000000001" customHeight="1">
      <c r="A23" s="218" t="s">
        <v>173</v>
      </c>
      <c r="B23" s="365">
        <f>SUM(B5:B16)</f>
        <v>150082.44423000002</v>
      </c>
      <c r="C23" s="365">
        <f>SUM(C5:C16)</f>
        <v>555452.29999999993</v>
      </c>
      <c r="D23" s="365">
        <f t="shared" ref="D23:J23" si="12">SUM(D5:D16)</f>
        <v>109904.7</v>
      </c>
      <c r="E23" s="365">
        <f t="shared" si="12"/>
        <v>177852.1</v>
      </c>
      <c r="F23" s="365">
        <f t="shared" si="12"/>
        <v>170570.1</v>
      </c>
      <c r="G23" s="365">
        <f t="shared" si="12"/>
        <v>459096.06900000002</v>
      </c>
      <c r="H23" s="365">
        <f t="shared" si="12"/>
        <v>259592.9</v>
      </c>
      <c r="I23" s="365">
        <f t="shared" si="12"/>
        <v>194639.50000000003</v>
      </c>
      <c r="J23" s="365">
        <f t="shared" si="12"/>
        <v>203366.10000000003</v>
      </c>
      <c r="K23" s="365">
        <f>SUM(K5:K16)</f>
        <v>444961.27812286466</v>
      </c>
      <c r="L23" s="365">
        <f t="shared" ref="L23:R23" si="13">SUM(L5:L16)</f>
        <v>578420.5</v>
      </c>
      <c r="M23" s="365">
        <f t="shared" si="13"/>
        <v>569512.61300000001</v>
      </c>
      <c r="N23" s="365">
        <f t="shared" si="13"/>
        <v>172402.45178000003</v>
      </c>
      <c r="O23" s="365">
        <f t="shared" si="13"/>
        <v>220139.1</v>
      </c>
      <c r="P23" s="365">
        <f t="shared" si="13"/>
        <v>4265992.1561328648</v>
      </c>
      <c r="Q23" s="365">
        <f t="shared" si="13"/>
        <v>78003.386233948593</v>
      </c>
      <c r="R23" s="365">
        <f t="shared" si="13"/>
        <v>4343995.5423668129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" customHeight="1">
      <c r="A29" s="447" t="s">
        <v>195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7"/>
    </row>
    <row r="30" spans="1:22" ht="84.95" customHeight="1">
      <c r="A30" s="221">
        <f>A4</f>
        <v>2022</v>
      </c>
      <c r="B30" s="397" t="s">
        <v>68</v>
      </c>
      <c r="C30" s="397" t="s">
        <v>69</v>
      </c>
      <c r="D30" s="397" t="s">
        <v>70</v>
      </c>
      <c r="E30" s="397" t="s">
        <v>91</v>
      </c>
      <c r="F30" s="397" t="s">
        <v>71</v>
      </c>
      <c r="G30" s="397" t="s">
        <v>72</v>
      </c>
      <c r="H30" s="397" t="s">
        <v>73</v>
      </c>
      <c r="I30" s="397" t="s">
        <v>74</v>
      </c>
      <c r="J30" s="397" t="s">
        <v>75</v>
      </c>
      <c r="K30" s="397" t="s">
        <v>76</v>
      </c>
      <c r="L30" s="397" t="s">
        <v>77</v>
      </c>
      <c r="M30" s="397" t="s">
        <v>78</v>
      </c>
      <c r="N30" s="397" t="s">
        <v>79</v>
      </c>
      <c r="O30" s="397" t="s">
        <v>80</v>
      </c>
      <c r="P30" s="397" t="s">
        <v>81</v>
      </c>
      <c r="Q30" s="397" t="s">
        <v>95</v>
      </c>
      <c r="R30" s="397" t="s">
        <v>82</v>
      </c>
    </row>
    <row r="31" spans="1:22" ht="20.100000000000001" customHeight="1">
      <c r="A31" s="177" t="s">
        <v>161</v>
      </c>
      <c r="B31" s="252">
        <v>415762.53735999996</v>
      </c>
      <c r="C31" s="252">
        <v>1656158.39053</v>
      </c>
      <c r="D31" s="255">
        <v>296073.45328000002</v>
      </c>
      <c r="E31" s="255">
        <v>515612.36231000011</v>
      </c>
      <c r="F31" s="255">
        <v>484662.49001999991</v>
      </c>
      <c r="G31" s="255">
        <v>1210940.7311200001</v>
      </c>
      <c r="H31" s="255">
        <v>729489.64507999993</v>
      </c>
      <c r="I31" s="255">
        <v>534468.11779000005</v>
      </c>
      <c r="J31" s="255">
        <v>555927.97626999998</v>
      </c>
      <c r="K31" s="252">
        <v>1368175.8003100001</v>
      </c>
      <c r="L31" s="252">
        <v>1552927.0968700002</v>
      </c>
      <c r="M31" s="255">
        <v>1416639.9042900002</v>
      </c>
      <c r="N31" s="255">
        <v>500184.4264600001</v>
      </c>
      <c r="O31" s="255">
        <v>630310.83455000003</v>
      </c>
      <c r="P31" s="255">
        <v>11867333.766240001</v>
      </c>
      <c r="Q31" s="255">
        <v>251455.84312599999</v>
      </c>
      <c r="R31" s="255">
        <v>12118789.609366002</v>
      </c>
      <c r="S31" s="56"/>
      <c r="T31" s="57"/>
      <c r="U31" s="57"/>
      <c r="V31" s="57"/>
    </row>
    <row r="32" spans="1:22" ht="20.100000000000001" customHeight="1">
      <c r="A32" s="177" t="s">
        <v>162</v>
      </c>
      <c r="B32" s="252">
        <v>339014.19744999998</v>
      </c>
      <c r="C32" s="255">
        <v>1302011.8568399998</v>
      </c>
      <c r="D32" s="255">
        <v>245340.21466000003</v>
      </c>
      <c r="E32" s="255">
        <v>404098.56219000008</v>
      </c>
      <c r="F32" s="255">
        <v>394815.80985000002</v>
      </c>
      <c r="G32" s="255">
        <v>994647.18639000005</v>
      </c>
      <c r="H32" s="255">
        <v>568263.20821999991</v>
      </c>
      <c r="I32" s="255">
        <v>445637.76092000003</v>
      </c>
      <c r="J32" s="255">
        <v>454493.27653000009</v>
      </c>
      <c r="K32" s="252">
        <v>1080729.21725</v>
      </c>
      <c r="L32" s="255">
        <v>1209839.1711969997</v>
      </c>
      <c r="M32" s="255">
        <v>957177.56342000014</v>
      </c>
      <c r="N32" s="255">
        <v>396364.24987000006</v>
      </c>
      <c r="O32" s="255">
        <v>497876.77665000001</v>
      </c>
      <c r="P32" s="255">
        <v>9290309.0514369998</v>
      </c>
      <c r="Q32" s="255">
        <v>236659.74078100003</v>
      </c>
      <c r="R32" s="255">
        <v>9526968.7922179997</v>
      </c>
      <c r="S32" s="58"/>
      <c r="T32" s="57"/>
      <c r="U32" s="57"/>
      <c r="V32" s="57"/>
    </row>
    <row r="33" spans="1:22" ht="20.100000000000001" customHeight="1">
      <c r="A33" s="180" t="s">
        <v>163</v>
      </c>
      <c r="B33" s="257">
        <v>341010.47382999997</v>
      </c>
      <c r="C33" s="258">
        <v>1318415.1843900003</v>
      </c>
      <c r="D33" s="258">
        <v>242431.91138999996</v>
      </c>
      <c r="E33" s="258">
        <v>401171.19883999991</v>
      </c>
      <c r="F33" s="258">
        <v>393158.70135999989</v>
      </c>
      <c r="G33" s="258">
        <v>1003168.9508600002</v>
      </c>
      <c r="H33" s="258">
        <v>595974.21786999993</v>
      </c>
      <c r="I33" s="258">
        <v>440708.36151999992</v>
      </c>
      <c r="J33" s="258">
        <v>459034.11476000008</v>
      </c>
      <c r="K33" s="257">
        <v>1059295.293842833</v>
      </c>
      <c r="L33" s="258">
        <v>1226691.8287599995</v>
      </c>
      <c r="M33" s="258">
        <v>1312751.24893</v>
      </c>
      <c r="N33" s="258">
        <v>396756.70740999997</v>
      </c>
      <c r="O33" s="258">
        <v>511670.34512999997</v>
      </c>
      <c r="P33" s="258">
        <v>9702238.5388928335</v>
      </c>
      <c r="Q33" s="258">
        <v>207215.45435699989</v>
      </c>
      <c r="R33" s="258">
        <v>9909453.9932498336</v>
      </c>
      <c r="S33" s="59"/>
      <c r="T33" s="57"/>
      <c r="U33" s="57"/>
      <c r="V33" s="57"/>
    </row>
    <row r="34" spans="1:22" ht="20.100000000000001" customHeight="1">
      <c r="A34" s="177" t="s">
        <v>164</v>
      </c>
      <c r="B34" s="252">
        <v>262503.67981999996</v>
      </c>
      <c r="C34" s="255">
        <v>962530.33163999999</v>
      </c>
      <c r="D34" s="255">
        <v>187712.58388000005</v>
      </c>
      <c r="E34" s="255">
        <v>305426.90525000001</v>
      </c>
      <c r="F34" s="255">
        <v>292293.55342999997</v>
      </c>
      <c r="G34" s="255">
        <v>800354.80649999972</v>
      </c>
      <c r="H34" s="255">
        <v>457769.34912000003</v>
      </c>
      <c r="I34" s="255">
        <v>340143.81011000002</v>
      </c>
      <c r="J34" s="255">
        <v>356323.92481999996</v>
      </c>
      <c r="K34" s="252">
        <v>792720.77000390785</v>
      </c>
      <c r="L34" s="255">
        <v>1020926.8829399999</v>
      </c>
      <c r="M34" s="255">
        <v>707947.61251000012</v>
      </c>
      <c r="N34" s="255">
        <v>301039.46130999993</v>
      </c>
      <c r="O34" s="255">
        <v>376685.67761999997</v>
      </c>
      <c r="P34" s="255">
        <v>7164379.3489539074</v>
      </c>
      <c r="Q34" s="255">
        <v>73604.56656899993</v>
      </c>
      <c r="R34" s="255">
        <v>7237983.9155229069</v>
      </c>
      <c r="S34" s="58"/>
      <c r="T34" s="57"/>
      <c r="U34" s="57"/>
      <c r="V34" s="57"/>
    </row>
    <row r="35" spans="1:22" ht="20.100000000000001" customHeight="1">
      <c r="A35" s="177" t="s">
        <v>165</v>
      </c>
      <c r="B35" s="252">
        <v>137797.62778000001</v>
      </c>
      <c r="C35" s="255">
        <v>401307.95427999989</v>
      </c>
      <c r="D35" s="255">
        <v>108809.83555999999</v>
      </c>
      <c r="E35" s="255">
        <v>154689.27576000002</v>
      </c>
      <c r="F35" s="255">
        <v>140153.09307999999</v>
      </c>
      <c r="G35" s="255">
        <v>493535.63181999989</v>
      </c>
      <c r="H35" s="255">
        <v>238220.08252999996</v>
      </c>
      <c r="I35" s="255">
        <v>178140.92499999999</v>
      </c>
      <c r="J35" s="255">
        <v>193253.03031999993</v>
      </c>
      <c r="K35" s="252">
        <v>287271.33019497723</v>
      </c>
      <c r="L35" s="255">
        <v>646835.859176</v>
      </c>
      <c r="M35" s="255">
        <v>811687.93861000007</v>
      </c>
      <c r="N35" s="255">
        <v>141289.71729000003</v>
      </c>
      <c r="O35" s="255">
        <v>196735.81806000005</v>
      </c>
      <c r="P35" s="255">
        <v>4129728.1194609771</v>
      </c>
      <c r="Q35" s="255">
        <v>49929.173227999949</v>
      </c>
      <c r="R35" s="255">
        <v>4179657.292688977</v>
      </c>
      <c r="S35" s="58"/>
      <c r="T35" s="57"/>
      <c r="U35" s="57"/>
      <c r="V35" s="57"/>
    </row>
    <row r="36" spans="1:22" ht="20.100000000000001" customHeight="1">
      <c r="A36" s="180" t="s">
        <v>166</v>
      </c>
      <c r="B36" s="257">
        <v>108733.27883000001</v>
      </c>
      <c r="C36" s="258">
        <v>315725.60135000001</v>
      </c>
      <c r="D36" s="258">
        <v>98696.658800000019</v>
      </c>
      <c r="E36" s="258">
        <v>126489.16445000001</v>
      </c>
      <c r="F36" s="258">
        <v>124340.99212000001</v>
      </c>
      <c r="G36" s="258">
        <v>421676.90782000002</v>
      </c>
      <c r="H36" s="258">
        <v>194792.10178000003</v>
      </c>
      <c r="I36" s="258">
        <v>148693.34339999998</v>
      </c>
      <c r="J36" s="258">
        <v>162491.58803000001</v>
      </c>
      <c r="K36" s="257">
        <v>202033.17146301572</v>
      </c>
      <c r="L36" s="258">
        <v>549201.00433100003</v>
      </c>
      <c r="M36" s="258">
        <v>918032.78432999982</v>
      </c>
      <c r="N36" s="258">
        <v>112607.06672000002</v>
      </c>
      <c r="O36" s="258">
        <v>147702.29637</v>
      </c>
      <c r="P36" s="258">
        <v>3631215.9597940156</v>
      </c>
      <c r="Q36" s="258">
        <v>18307.459182999959</v>
      </c>
      <c r="R36" s="258">
        <v>3649523.4189770157</v>
      </c>
      <c r="S36" s="58"/>
      <c r="T36" s="57"/>
      <c r="U36" s="57"/>
      <c r="V36" s="57"/>
    </row>
    <row r="37" spans="1:22" ht="20.100000000000001" customHeight="1">
      <c r="A37" s="177" t="s">
        <v>167</v>
      </c>
      <c r="B37" s="252"/>
      <c r="C37" s="255"/>
      <c r="D37" s="255"/>
      <c r="E37" s="255"/>
      <c r="F37" s="255"/>
      <c r="G37" s="255"/>
      <c r="H37" s="255"/>
      <c r="I37" s="255"/>
      <c r="J37" s="255"/>
      <c r="K37" s="252"/>
      <c r="L37" s="255"/>
      <c r="M37" s="255"/>
      <c r="N37" s="255"/>
      <c r="O37" s="255"/>
      <c r="P37" s="255"/>
      <c r="Q37" s="255"/>
      <c r="R37" s="255"/>
      <c r="S37" s="58"/>
      <c r="T37" s="57"/>
      <c r="U37" s="57"/>
      <c r="V37" s="57"/>
    </row>
    <row r="38" spans="1:22" ht="20.100000000000001" customHeight="1">
      <c r="A38" s="177" t="s">
        <v>168</v>
      </c>
      <c r="B38" s="252"/>
      <c r="C38" s="255"/>
      <c r="D38" s="255"/>
      <c r="E38" s="255"/>
      <c r="F38" s="255"/>
      <c r="G38" s="255"/>
      <c r="H38" s="255"/>
      <c r="I38" s="255"/>
      <c r="J38" s="255"/>
      <c r="K38" s="252"/>
      <c r="L38" s="255"/>
      <c r="M38" s="255"/>
      <c r="N38" s="255"/>
      <c r="O38" s="255"/>
      <c r="P38" s="255"/>
      <c r="Q38" s="255"/>
      <c r="R38" s="255"/>
      <c r="S38" s="58"/>
      <c r="T38" s="57"/>
      <c r="U38" s="57"/>
      <c r="V38" s="57"/>
    </row>
    <row r="39" spans="1:22" ht="20.100000000000001" customHeight="1">
      <c r="A39" s="180" t="s">
        <v>169</v>
      </c>
      <c r="B39" s="257"/>
      <c r="C39" s="258"/>
      <c r="D39" s="258"/>
      <c r="E39" s="258"/>
      <c r="F39" s="258"/>
      <c r="G39" s="258"/>
      <c r="H39" s="258"/>
      <c r="I39" s="258"/>
      <c r="J39" s="258"/>
      <c r="K39" s="257"/>
      <c r="L39" s="258"/>
      <c r="M39" s="258"/>
      <c r="N39" s="258"/>
      <c r="O39" s="258"/>
      <c r="P39" s="258"/>
      <c r="Q39" s="258"/>
      <c r="R39" s="258"/>
      <c r="S39" s="58"/>
      <c r="T39" s="57"/>
      <c r="U39" s="57"/>
      <c r="V39" s="57"/>
    </row>
    <row r="40" spans="1:22" ht="20.100000000000001" customHeight="1">
      <c r="A40" s="177" t="s">
        <v>170</v>
      </c>
      <c r="B40" s="252"/>
      <c r="C40" s="255"/>
      <c r="D40" s="255"/>
      <c r="E40" s="255"/>
      <c r="F40" s="255"/>
      <c r="G40" s="255"/>
      <c r="H40" s="255"/>
      <c r="I40" s="255"/>
      <c r="J40" s="255"/>
      <c r="K40" s="252"/>
      <c r="L40" s="255"/>
      <c r="M40" s="255"/>
      <c r="N40" s="255"/>
      <c r="O40" s="255"/>
      <c r="P40" s="255"/>
      <c r="Q40" s="255"/>
      <c r="R40" s="255"/>
      <c r="S40" s="58"/>
      <c r="T40" s="57"/>
      <c r="U40" s="57"/>
      <c r="V40" s="57"/>
    </row>
    <row r="41" spans="1:22" ht="20.100000000000001" customHeight="1">
      <c r="A41" s="177" t="s">
        <v>171</v>
      </c>
      <c r="B41" s="252"/>
      <c r="C41" s="255"/>
      <c r="D41" s="255"/>
      <c r="E41" s="255"/>
      <c r="F41" s="255"/>
      <c r="G41" s="255"/>
      <c r="H41" s="255"/>
      <c r="I41" s="255"/>
      <c r="J41" s="255"/>
      <c r="K41" s="252"/>
      <c r="L41" s="255"/>
      <c r="M41" s="255"/>
      <c r="N41" s="255"/>
      <c r="O41" s="255"/>
      <c r="P41" s="255"/>
      <c r="Q41" s="255"/>
      <c r="R41" s="255"/>
      <c r="S41" s="58"/>
      <c r="T41" s="57"/>
      <c r="U41" s="57"/>
      <c r="V41" s="57"/>
    </row>
    <row r="42" spans="1:22" ht="20.100000000000001" customHeight="1">
      <c r="A42" s="180" t="s">
        <v>172</v>
      </c>
      <c r="B42" s="257"/>
      <c r="C42" s="258"/>
      <c r="D42" s="258"/>
      <c r="E42" s="258"/>
      <c r="F42" s="258"/>
      <c r="G42" s="258"/>
      <c r="H42" s="258"/>
      <c r="I42" s="258"/>
      <c r="J42" s="258"/>
      <c r="K42" s="257"/>
      <c r="L42" s="258"/>
      <c r="M42" s="258"/>
      <c r="N42" s="258"/>
      <c r="O42" s="258"/>
      <c r="P42" s="258"/>
      <c r="Q42" s="258"/>
      <c r="R42" s="258"/>
      <c r="S42" s="58"/>
      <c r="T42" s="57"/>
      <c r="U42" s="57"/>
      <c r="V42" s="57"/>
    </row>
    <row r="43" spans="1:22" ht="20.100000000000001" customHeight="1">
      <c r="A43" s="177" t="s">
        <v>48</v>
      </c>
      <c r="B43" s="252">
        <f>SUM(B31:B33)</f>
        <v>1095787.2086399999</v>
      </c>
      <c r="C43" s="252">
        <f>SUM(C31:C33)</f>
        <v>4276585.4317600001</v>
      </c>
      <c r="D43" s="252">
        <f t="shared" ref="D43:J43" si="14">SUM(D31:D33)</f>
        <v>783845.5793300001</v>
      </c>
      <c r="E43" s="252">
        <f t="shared" si="14"/>
        <v>1320882.1233400002</v>
      </c>
      <c r="F43" s="252">
        <f t="shared" si="14"/>
        <v>1272637.0012299998</v>
      </c>
      <c r="G43" s="252">
        <f t="shared" si="14"/>
        <v>3208756.8683700003</v>
      </c>
      <c r="H43" s="252">
        <f t="shared" si="14"/>
        <v>1893727.0711699999</v>
      </c>
      <c r="I43" s="252">
        <f t="shared" si="14"/>
        <v>1420814.2402300001</v>
      </c>
      <c r="J43" s="252">
        <f t="shared" si="14"/>
        <v>1469455.3675600002</v>
      </c>
      <c r="K43" s="252">
        <f>SUM(K31:K33)</f>
        <v>3508200.3114028331</v>
      </c>
      <c r="L43" s="252">
        <f t="shared" ref="L43:R43" si="15">SUM(L31:L33)</f>
        <v>3989458.0968269994</v>
      </c>
      <c r="M43" s="252">
        <f t="shared" si="15"/>
        <v>3686568.7166400002</v>
      </c>
      <c r="N43" s="252">
        <f t="shared" si="15"/>
        <v>1293305.3837400002</v>
      </c>
      <c r="O43" s="252">
        <f t="shared" si="15"/>
        <v>1639857.9563300002</v>
      </c>
      <c r="P43" s="252">
        <f t="shared" si="15"/>
        <v>30859881.356569834</v>
      </c>
      <c r="Q43" s="252">
        <f t="shared" si="15"/>
        <v>695331.03826399986</v>
      </c>
      <c r="R43" s="252">
        <f t="shared" si="15"/>
        <v>31555212.394833833</v>
      </c>
    </row>
    <row r="44" spans="1:22" ht="20.100000000000001" customHeight="1">
      <c r="A44" s="177" t="s">
        <v>56</v>
      </c>
      <c r="B44" s="252">
        <f>SUM(B34:B36)</f>
        <v>509034.58642999997</v>
      </c>
      <c r="C44" s="252">
        <f>SUM(C34:C36)</f>
        <v>1679563.8872699998</v>
      </c>
      <c r="D44" s="252">
        <f t="shared" ref="D44:J44" si="16">SUM(D34:D36)</f>
        <v>395219.07824000006</v>
      </c>
      <c r="E44" s="252">
        <f t="shared" si="16"/>
        <v>586605.3454600001</v>
      </c>
      <c r="F44" s="252">
        <f t="shared" si="16"/>
        <v>556787.63862999994</v>
      </c>
      <c r="G44" s="252">
        <f t="shared" si="16"/>
        <v>1715567.3461399998</v>
      </c>
      <c r="H44" s="252">
        <f t="shared" si="16"/>
        <v>890781.53342999995</v>
      </c>
      <c r="I44" s="252">
        <f t="shared" si="16"/>
        <v>666978.07851000002</v>
      </c>
      <c r="J44" s="252">
        <f t="shared" si="16"/>
        <v>712068.54316999984</v>
      </c>
      <c r="K44" s="252">
        <f>SUM(K34:K36)</f>
        <v>1282025.2716619007</v>
      </c>
      <c r="L44" s="252">
        <f t="shared" ref="L44:R44" si="17">SUM(L34:L36)</f>
        <v>2216963.7464470002</v>
      </c>
      <c r="M44" s="252">
        <f t="shared" si="17"/>
        <v>2437668.3354500001</v>
      </c>
      <c r="N44" s="252">
        <f t="shared" si="17"/>
        <v>554936.24531999999</v>
      </c>
      <c r="O44" s="252">
        <f t="shared" si="17"/>
        <v>721123.79205000005</v>
      </c>
      <c r="P44" s="252">
        <f t="shared" si="17"/>
        <v>14925323.428208899</v>
      </c>
      <c r="Q44" s="252">
        <f t="shared" si="17"/>
        <v>141841.19897999984</v>
      </c>
      <c r="R44" s="252">
        <f t="shared" si="17"/>
        <v>15067164.627188899</v>
      </c>
    </row>
    <row r="45" spans="1:22" ht="20.100000000000001" customHeight="1">
      <c r="A45" s="177" t="s">
        <v>63</v>
      </c>
      <c r="B45" s="253">
        <f>SUM(B37:B39)</f>
        <v>0</v>
      </c>
      <c r="C45" s="253">
        <f>SUM(C37:C39)</f>
        <v>0</v>
      </c>
      <c r="D45" s="253">
        <f t="shared" ref="D45:J45" si="18">SUM(D37:D39)</f>
        <v>0</v>
      </c>
      <c r="E45" s="253">
        <f t="shared" si="18"/>
        <v>0</v>
      </c>
      <c r="F45" s="253">
        <f t="shared" si="18"/>
        <v>0</v>
      </c>
      <c r="G45" s="253">
        <f t="shared" si="18"/>
        <v>0</v>
      </c>
      <c r="H45" s="253">
        <f t="shared" si="18"/>
        <v>0</v>
      </c>
      <c r="I45" s="253">
        <f t="shared" si="18"/>
        <v>0</v>
      </c>
      <c r="J45" s="253">
        <f t="shared" si="18"/>
        <v>0</v>
      </c>
      <c r="K45" s="253">
        <f>SUM(K37:K39)</f>
        <v>0</v>
      </c>
      <c r="L45" s="253">
        <f t="shared" ref="L45:R45" si="19">SUM(L37:L39)</f>
        <v>0</v>
      </c>
      <c r="M45" s="253">
        <f t="shared" si="19"/>
        <v>0</v>
      </c>
      <c r="N45" s="253">
        <f t="shared" si="19"/>
        <v>0</v>
      </c>
      <c r="O45" s="253">
        <f t="shared" si="19"/>
        <v>0</v>
      </c>
      <c r="P45" s="253">
        <f t="shared" si="19"/>
        <v>0</v>
      </c>
      <c r="Q45" s="253">
        <f t="shared" si="19"/>
        <v>0</v>
      </c>
      <c r="R45" s="253">
        <f t="shared" si="19"/>
        <v>0</v>
      </c>
    </row>
    <row r="46" spans="1:22" ht="20.100000000000001" customHeight="1">
      <c r="A46" s="180" t="s">
        <v>57</v>
      </c>
      <c r="B46" s="362">
        <f>SUM(B40:B42)</f>
        <v>0</v>
      </c>
      <c r="C46" s="362">
        <f>SUM(C40:C42)</f>
        <v>0</v>
      </c>
      <c r="D46" s="362">
        <f t="shared" ref="D46:J46" si="20">SUM(D40:D42)</f>
        <v>0</v>
      </c>
      <c r="E46" s="362">
        <f t="shared" si="20"/>
        <v>0</v>
      </c>
      <c r="F46" s="362">
        <f t="shared" si="20"/>
        <v>0</v>
      </c>
      <c r="G46" s="362">
        <f t="shared" si="20"/>
        <v>0</v>
      </c>
      <c r="H46" s="362">
        <f t="shared" si="20"/>
        <v>0</v>
      </c>
      <c r="I46" s="362">
        <f t="shared" si="20"/>
        <v>0</v>
      </c>
      <c r="J46" s="362">
        <f t="shared" si="20"/>
        <v>0</v>
      </c>
      <c r="K46" s="362">
        <f>SUM(K40:K42)</f>
        <v>0</v>
      </c>
      <c r="L46" s="362">
        <f t="shared" ref="L46:R46" si="21">SUM(L40:L42)</f>
        <v>0</v>
      </c>
      <c r="M46" s="362">
        <f t="shared" si="21"/>
        <v>0</v>
      </c>
      <c r="N46" s="362">
        <f t="shared" si="21"/>
        <v>0</v>
      </c>
      <c r="O46" s="362">
        <f t="shared" si="21"/>
        <v>0</v>
      </c>
      <c r="P46" s="362">
        <f t="shared" si="21"/>
        <v>0</v>
      </c>
      <c r="Q46" s="362">
        <f t="shared" si="21"/>
        <v>0</v>
      </c>
      <c r="R46" s="362">
        <f t="shared" si="21"/>
        <v>0</v>
      </c>
    </row>
    <row r="47" spans="1:22" ht="20.100000000000001" customHeight="1">
      <c r="A47" s="177" t="s">
        <v>58</v>
      </c>
      <c r="B47" s="252">
        <f>SUM(B31:B36)</f>
        <v>1604821.7950699998</v>
      </c>
      <c r="C47" s="252">
        <f>SUM(C31:C36)</f>
        <v>5956149.3190299999</v>
      </c>
      <c r="D47" s="252">
        <f t="shared" ref="D47:J47" si="22">SUM(D31:D36)</f>
        <v>1179064.6575700003</v>
      </c>
      <c r="E47" s="252">
        <f t="shared" si="22"/>
        <v>1907487.4688000004</v>
      </c>
      <c r="F47" s="252">
        <f t="shared" si="22"/>
        <v>1829424.63986</v>
      </c>
      <c r="G47" s="252">
        <f t="shared" si="22"/>
        <v>4924324.2145100003</v>
      </c>
      <c r="H47" s="252">
        <f t="shared" si="22"/>
        <v>2784508.6045999997</v>
      </c>
      <c r="I47" s="252">
        <f t="shared" si="22"/>
        <v>2087792.31874</v>
      </c>
      <c r="J47" s="252">
        <f t="shared" si="22"/>
        <v>2181523.9107300001</v>
      </c>
      <c r="K47" s="252">
        <f>SUM(K31:K36)</f>
        <v>4790225.5830647331</v>
      </c>
      <c r="L47" s="252">
        <f t="shared" ref="L47:R47" si="23">SUM(L31:L36)</f>
        <v>6206421.8432739992</v>
      </c>
      <c r="M47" s="252">
        <f t="shared" si="23"/>
        <v>6124237.0520900013</v>
      </c>
      <c r="N47" s="252">
        <f t="shared" si="23"/>
        <v>1848241.6290600002</v>
      </c>
      <c r="O47" s="252">
        <f t="shared" si="23"/>
        <v>2360981.7483800002</v>
      </c>
      <c r="P47" s="252">
        <f t="shared" si="23"/>
        <v>45785204.784778737</v>
      </c>
      <c r="Q47" s="252">
        <f t="shared" si="23"/>
        <v>837172.23724399961</v>
      </c>
      <c r="R47" s="252">
        <f t="shared" si="23"/>
        <v>46622377.022022732</v>
      </c>
    </row>
    <row r="48" spans="1:22" ht="20.100000000000001" customHeight="1">
      <c r="A48" s="180" t="s">
        <v>59</v>
      </c>
      <c r="B48" s="362">
        <f>SUM(B37:B42)</f>
        <v>0</v>
      </c>
      <c r="C48" s="362">
        <f>SUM(C37:C42)</f>
        <v>0</v>
      </c>
      <c r="D48" s="362">
        <f t="shared" ref="D48:J48" si="24">SUM(D37:D42)</f>
        <v>0</v>
      </c>
      <c r="E48" s="362">
        <f t="shared" si="24"/>
        <v>0</v>
      </c>
      <c r="F48" s="362">
        <f t="shared" si="24"/>
        <v>0</v>
      </c>
      <c r="G48" s="362">
        <f t="shared" si="24"/>
        <v>0</v>
      </c>
      <c r="H48" s="362">
        <f t="shared" si="24"/>
        <v>0</v>
      </c>
      <c r="I48" s="362">
        <f t="shared" si="24"/>
        <v>0</v>
      </c>
      <c r="J48" s="362">
        <f t="shared" si="24"/>
        <v>0</v>
      </c>
      <c r="K48" s="362">
        <f>SUM(K37:K42)</f>
        <v>0</v>
      </c>
      <c r="L48" s="362">
        <f t="shared" ref="L48:R48" si="25">SUM(L37:L42)</f>
        <v>0</v>
      </c>
      <c r="M48" s="362">
        <f t="shared" si="25"/>
        <v>0</v>
      </c>
      <c r="N48" s="362">
        <f t="shared" si="25"/>
        <v>0</v>
      </c>
      <c r="O48" s="362">
        <f t="shared" si="25"/>
        <v>0</v>
      </c>
      <c r="P48" s="362">
        <f t="shared" si="25"/>
        <v>0</v>
      </c>
      <c r="Q48" s="362">
        <f t="shared" si="25"/>
        <v>0</v>
      </c>
      <c r="R48" s="362">
        <f t="shared" si="25"/>
        <v>0</v>
      </c>
    </row>
    <row r="49" spans="1:18" ht="20.100000000000001" customHeight="1">
      <c r="A49" s="180" t="s">
        <v>173</v>
      </c>
      <c r="B49" s="362">
        <f>SUM(B31:B42)</f>
        <v>1604821.7950699998</v>
      </c>
      <c r="C49" s="362">
        <f>SUM(C31:C42)</f>
        <v>5956149.3190299999</v>
      </c>
      <c r="D49" s="362">
        <f t="shared" ref="D49:J49" si="26">SUM(D31:D42)</f>
        <v>1179064.6575700003</v>
      </c>
      <c r="E49" s="362">
        <f t="shared" si="26"/>
        <v>1907487.4688000004</v>
      </c>
      <c r="F49" s="362">
        <f t="shared" si="26"/>
        <v>1829424.63986</v>
      </c>
      <c r="G49" s="362">
        <f t="shared" si="26"/>
        <v>4924324.2145100003</v>
      </c>
      <c r="H49" s="362">
        <f t="shared" si="26"/>
        <v>2784508.6045999997</v>
      </c>
      <c r="I49" s="362">
        <f t="shared" si="26"/>
        <v>2087792.31874</v>
      </c>
      <c r="J49" s="362">
        <f t="shared" si="26"/>
        <v>2181523.9107300001</v>
      </c>
      <c r="K49" s="362">
        <f>SUM(K31:K42)</f>
        <v>4790225.5830647331</v>
      </c>
      <c r="L49" s="362">
        <f t="shared" ref="L49:R49" si="27">SUM(L31:L42)</f>
        <v>6206421.8432739992</v>
      </c>
      <c r="M49" s="362">
        <f t="shared" si="27"/>
        <v>6124237.0520900013</v>
      </c>
      <c r="N49" s="362">
        <f t="shared" si="27"/>
        <v>1848241.6290600002</v>
      </c>
      <c r="O49" s="362">
        <f t="shared" si="27"/>
        <v>2360981.7483800002</v>
      </c>
      <c r="P49" s="362">
        <f t="shared" si="27"/>
        <v>45785204.784778737</v>
      </c>
      <c r="Q49" s="362">
        <f t="shared" si="27"/>
        <v>837172.23724399961</v>
      </c>
      <c r="R49" s="362">
        <f t="shared" si="27"/>
        <v>46622377.022022732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R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topLeftCell="A7" zoomScaleNormal="100" zoomScaleSheetLayoutView="100" workbookViewId="0">
      <selection activeCell="E1" sqref="E1"/>
    </sheetView>
  </sheetViews>
  <sheetFormatPr defaultColWidth="9.140625" defaultRowHeight="12.75"/>
  <cols>
    <col min="1" max="1" width="6.42578125" style="108" customWidth="1"/>
    <col min="2" max="6" width="4.7109375" style="108" customWidth="1"/>
    <col min="7" max="9" width="4.85546875" style="108" customWidth="1"/>
    <col min="10" max="14" width="4.7109375" style="108" customWidth="1"/>
    <col min="15" max="15" width="3.7109375" style="108" customWidth="1"/>
    <col min="16" max="19" width="4.7109375" style="108" customWidth="1"/>
    <col min="20" max="20" width="3.7109375" style="108" customWidth="1"/>
    <col min="21" max="21" width="5" style="108" customWidth="1"/>
    <col min="22" max="16384" width="9.140625" style="108"/>
  </cols>
  <sheetData>
    <row r="1" spans="1:20" ht="20.25">
      <c r="A1" s="118" t="s">
        <v>295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" customHeight="1">
      <c r="E2" s="109"/>
      <c r="F2" s="109"/>
    </row>
    <row r="3" spans="1:20" ht="15" customHeight="1">
      <c r="A3" s="533" t="s">
        <v>189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</row>
    <row r="4" spans="1:20" ht="15" customHeight="1">
      <c r="A4" s="72"/>
      <c r="C4" s="110"/>
      <c r="D4" s="110"/>
      <c r="E4" s="110"/>
      <c r="F4" s="110"/>
      <c r="G4" s="110"/>
      <c r="H4" s="61"/>
      <c r="I4" s="61"/>
    </row>
    <row r="5" spans="1:20" ht="15" customHeight="1">
      <c r="A5" s="72"/>
      <c r="C5" s="110"/>
      <c r="D5" s="110"/>
      <c r="E5" s="110"/>
      <c r="F5" s="110"/>
      <c r="G5" s="110"/>
      <c r="H5" s="61"/>
      <c r="I5" s="61"/>
    </row>
    <row r="6" spans="1:20" ht="15" customHeight="1">
      <c r="A6" s="72"/>
      <c r="B6" s="111"/>
      <c r="C6" s="111"/>
      <c r="D6" s="110"/>
      <c r="E6" s="110"/>
      <c r="F6" s="110"/>
      <c r="G6" s="111"/>
      <c r="H6" s="12"/>
      <c r="I6" s="61"/>
    </row>
    <row r="7" spans="1:20" ht="15" customHeight="1">
      <c r="A7" s="72"/>
      <c r="B7" s="111"/>
      <c r="C7" s="111"/>
      <c r="D7" s="110"/>
      <c r="E7" s="110"/>
      <c r="F7" s="110"/>
      <c r="G7" s="111"/>
      <c r="H7" s="12"/>
      <c r="I7" s="61"/>
    </row>
    <row r="8" spans="1:20" ht="15" customHeight="1">
      <c r="A8" s="72"/>
      <c r="B8" s="111"/>
      <c r="C8" s="111"/>
      <c r="D8" s="110"/>
      <c r="E8" s="110"/>
      <c r="F8" s="110"/>
      <c r="G8" s="111"/>
      <c r="H8" s="12"/>
      <c r="I8" s="61"/>
    </row>
    <row r="9" spans="1:20" ht="15" customHeight="1">
      <c r="A9" s="72"/>
      <c r="B9" s="110"/>
      <c r="C9" s="110"/>
      <c r="D9" s="110"/>
      <c r="E9" s="110"/>
      <c r="F9" s="110"/>
      <c r="G9" s="111"/>
      <c r="H9" s="12"/>
      <c r="I9" s="61"/>
    </row>
    <row r="10" spans="1:20" ht="15" customHeight="1">
      <c r="A10" s="72"/>
      <c r="B10" s="110"/>
      <c r="C10" s="110"/>
      <c r="D10" s="110"/>
      <c r="E10" s="110"/>
      <c r="F10" s="110"/>
      <c r="G10" s="110"/>
      <c r="H10" s="61"/>
      <c r="I10" s="61"/>
    </row>
    <row r="11" spans="1:20" ht="15" customHeight="1">
      <c r="A11" s="72"/>
      <c r="B11" s="110"/>
      <c r="C11" s="110"/>
      <c r="D11" s="110"/>
      <c r="E11" s="110"/>
      <c r="F11" s="110"/>
      <c r="G11" s="110"/>
      <c r="H11" s="61"/>
      <c r="I11" s="61"/>
    </row>
    <row r="12" spans="1:20" ht="15" customHeight="1">
      <c r="A12" s="72"/>
      <c r="B12" s="110"/>
      <c r="C12" s="110"/>
      <c r="D12" s="110"/>
      <c r="E12" s="110"/>
      <c r="F12" s="110"/>
      <c r="G12" s="110"/>
      <c r="H12" s="61"/>
      <c r="I12" s="61"/>
    </row>
    <row r="13" spans="1:20" ht="15" customHeight="1">
      <c r="A13" s="72"/>
      <c r="B13" s="110"/>
      <c r="C13" s="110"/>
      <c r="D13" s="110"/>
      <c r="E13" s="110"/>
      <c r="F13" s="110"/>
      <c r="G13" s="110"/>
      <c r="H13" s="61"/>
      <c r="I13" s="61"/>
    </row>
    <row r="14" spans="1:20" ht="15" customHeight="1">
      <c r="A14" s="72"/>
      <c r="B14" s="110"/>
      <c r="C14" s="110"/>
      <c r="D14" s="110"/>
      <c r="E14" s="110"/>
      <c r="F14" s="110"/>
      <c r="G14" s="110"/>
      <c r="H14" s="112"/>
      <c r="I14" s="112"/>
    </row>
    <row r="15" spans="1:20" ht="15" customHeight="1">
      <c r="A15" s="113"/>
      <c r="B15" s="113"/>
      <c r="C15" s="113"/>
      <c r="D15" s="113"/>
      <c r="E15" s="113"/>
      <c r="F15" s="113"/>
      <c r="G15" s="114"/>
      <c r="H15" s="115"/>
      <c r="I15" s="115"/>
    </row>
    <row r="16" spans="1:20" ht="15" customHeight="1">
      <c r="A16" s="113"/>
      <c r="B16" s="113"/>
      <c r="C16" s="113"/>
      <c r="D16" s="113"/>
      <c r="E16" s="113"/>
      <c r="F16" s="113"/>
    </row>
    <row r="17" spans="1:21" ht="15" customHeight="1">
      <c r="A17" s="113"/>
      <c r="B17" s="113"/>
      <c r="C17" s="113"/>
      <c r="D17" s="113"/>
      <c r="E17" s="113"/>
      <c r="F17" s="113"/>
    </row>
    <row r="18" spans="1:21" ht="15" customHeight="1">
      <c r="A18" s="113"/>
      <c r="B18" s="113"/>
      <c r="C18" s="113"/>
      <c r="D18" s="113"/>
      <c r="E18" s="113"/>
      <c r="F18" s="113"/>
    </row>
    <row r="19" spans="1:21" ht="15" customHeight="1">
      <c r="A19" s="113"/>
      <c r="B19" s="113"/>
      <c r="C19" s="113"/>
      <c r="D19" s="113"/>
      <c r="E19" s="113"/>
      <c r="F19" s="113"/>
    </row>
    <row r="20" spans="1:21" ht="15" customHeight="1">
      <c r="A20" s="113"/>
      <c r="B20" s="113"/>
      <c r="C20" s="113"/>
      <c r="D20" s="113"/>
      <c r="E20" s="113"/>
      <c r="F20" s="113"/>
    </row>
    <row r="21" spans="1:21" ht="12.95" customHeight="1">
      <c r="B21" s="116"/>
      <c r="C21" s="116"/>
      <c r="D21" s="116"/>
      <c r="E21" s="113"/>
      <c r="F21" s="114"/>
      <c r="G21" s="114"/>
      <c r="H21" s="114"/>
    </row>
    <row r="22" spans="1:21" ht="12.95" customHeight="1">
      <c r="B22" s="116"/>
      <c r="C22" s="116"/>
      <c r="D22" s="116"/>
      <c r="G22" s="534"/>
      <c r="H22" s="534"/>
      <c r="I22" s="534"/>
      <c r="K22" s="534"/>
      <c r="L22" s="534"/>
      <c r="M22" s="534"/>
      <c r="N22" s="534"/>
      <c r="P22" s="534"/>
      <c r="Q22" s="534"/>
      <c r="R22" s="534"/>
      <c r="S22" s="534"/>
      <c r="T22" s="534"/>
      <c r="U22" s="534"/>
    </row>
    <row r="23" spans="1:21" ht="12.95" customHeight="1">
      <c r="B23" s="116"/>
      <c r="C23" s="116"/>
      <c r="D23" s="116"/>
      <c r="G23" s="534"/>
      <c r="H23" s="534"/>
      <c r="I23" s="534"/>
      <c r="K23" s="535"/>
      <c r="L23" s="535"/>
      <c r="M23" s="535"/>
      <c r="N23" s="535"/>
      <c r="P23" s="534"/>
      <c r="Q23" s="534"/>
      <c r="R23" s="534"/>
      <c r="S23" s="534"/>
      <c r="T23" s="534"/>
      <c r="U23" s="534"/>
    </row>
    <row r="24" spans="1:21" ht="12.95" customHeight="1">
      <c r="B24" s="116"/>
      <c r="C24" s="116"/>
      <c r="D24" s="116"/>
      <c r="G24" s="534"/>
      <c r="H24" s="534"/>
      <c r="I24" s="534"/>
      <c r="K24" s="535"/>
      <c r="L24" s="535"/>
      <c r="M24" s="535"/>
      <c r="N24" s="535"/>
      <c r="P24" s="535"/>
      <c r="Q24" s="535"/>
      <c r="R24" s="535"/>
      <c r="S24" s="535"/>
      <c r="T24" s="535"/>
      <c r="U24" s="535"/>
    </row>
    <row r="25" spans="1:21" ht="12" customHeight="1">
      <c r="A25" s="113"/>
      <c r="B25" s="113"/>
      <c r="C25" s="113"/>
      <c r="D25" s="113"/>
      <c r="E25" s="113"/>
      <c r="F25" s="113"/>
      <c r="H25" s="117"/>
      <c r="I25" s="117"/>
      <c r="P25" s="535"/>
      <c r="Q25" s="535"/>
      <c r="R25" s="535"/>
      <c r="S25" s="535"/>
      <c r="T25" s="535"/>
      <c r="U25" s="535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zoomScaleNormal="100" zoomScaleSheetLayoutView="100" workbookViewId="0">
      <selection activeCell="E1" sqref="E1"/>
    </sheetView>
  </sheetViews>
  <sheetFormatPr defaultColWidth="9.140625" defaultRowHeight="14.25"/>
  <cols>
    <col min="1" max="1" width="20.28515625" style="1" customWidth="1"/>
    <col min="2" max="2" width="79" style="24" customWidth="1"/>
    <col min="3" max="3" width="6.5703125" style="22" customWidth="1"/>
    <col min="4" max="4" width="11.7109375" style="22" customWidth="1"/>
    <col min="5" max="6" width="9.140625" style="22"/>
    <col min="7" max="7" width="11.7109375" style="22" customWidth="1"/>
    <col min="8" max="16384" width="9.140625" style="22"/>
  </cols>
  <sheetData>
    <row r="1" spans="1:2" ht="20.25">
      <c r="A1" s="54" t="s">
        <v>290</v>
      </c>
      <c r="B1" s="21"/>
    </row>
    <row r="2" spans="1:2" ht="6" customHeight="1">
      <c r="B2" s="21"/>
    </row>
    <row r="3" spans="1:2" ht="39.950000000000003" customHeight="1">
      <c r="A3" s="13" t="s">
        <v>244</v>
      </c>
      <c r="B3" s="14" t="s">
        <v>158</v>
      </c>
    </row>
    <row r="4" spans="1:2" ht="24.95" customHeight="1">
      <c r="A4" s="15" t="s">
        <v>93</v>
      </c>
      <c r="B4" s="16" t="s">
        <v>98</v>
      </c>
    </row>
    <row r="5" spans="1:2" ht="24.95" customHeight="1">
      <c r="A5" s="15" t="s">
        <v>99</v>
      </c>
      <c r="B5" s="17" t="s">
        <v>100</v>
      </c>
    </row>
    <row r="6" spans="1:2" ht="24.95" customHeight="1">
      <c r="A6" s="15" t="s">
        <v>7</v>
      </c>
      <c r="B6" s="16" t="s">
        <v>101</v>
      </c>
    </row>
    <row r="7" spans="1:2" ht="24.95" customHeight="1">
      <c r="A7" s="15" t="s">
        <v>102</v>
      </c>
      <c r="B7" s="16" t="s">
        <v>103</v>
      </c>
    </row>
    <row r="8" spans="1:2" ht="24.95" customHeight="1">
      <c r="A8" s="15" t="s">
        <v>104</v>
      </c>
      <c r="B8" s="16" t="s">
        <v>105</v>
      </c>
    </row>
    <row r="9" spans="1:2" ht="24.95" customHeight="1">
      <c r="A9" s="15" t="s">
        <v>215</v>
      </c>
      <c r="B9" s="16" t="s">
        <v>214</v>
      </c>
    </row>
    <row r="10" spans="1:2" ht="24.95" customHeight="1">
      <c r="A10" s="15" t="s">
        <v>87</v>
      </c>
      <c r="B10" s="18" t="s">
        <v>207</v>
      </c>
    </row>
    <row r="11" spans="1:2" ht="24.95" customHeight="1">
      <c r="A11" s="15" t="s">
        <v>106</v>
      </c>
      <c r="B11" s="16" t="s">
        <v>107</v>
      </c>
    </row>
    <row r="12" spans="1:2" ht="24.95" customHeight="1">
      <c r="A12" s="15" t="s">
        <v>108</v>
      </c>
      <c r="B12" s="16" t="s">
        <v>109</v>
      </c>
    </row>
    <row r="13" spans="1:2" ht="24.95" customHeight="1">
      <c r="A13" s="15" t="s">
        <v>110</v>
      </c>
      <c r="B13" s="16" t="s">
        <v>111</v>
      </c>
    </row>
    <row r="14" spans="1:2" ht="24.95" customHeight="1">
      <c r="A14" s="15" t="s">
        <v>217</v>
      </c>
      <c r="B14" s="16" t="s">
        <v>218</v>
      </c>
    </row>
    <row r="15" spans="1:2" ht="24.95" customHeight="1">
      <c r="A15" s="15" t="s">
        <v>6</v>
      </c>
      <c r="B15" s="16" t="s">
        <v>112</v>
      </c>
    </row>
    <row r="16" spans="1:2" ht="24.95" customHeight="1">
      <c r="A16" s="15" t="s">
        <v>65</v>
      </c>
      <c r="B16" s="16" t="s">
        <v>208</v>
      </c>
    </row>
    <row r="17" spans="1:2" ht="24.95" customHeight="1">
      <c r="A17" s="15" t="s">
        <v>113</v>
      </c>
      <c r="B17" s="16" t="s">
        <v>209</v>
      </c>
    </row>
    <row r="18" spans="1:2" ht="24.95" customHeight="1">
      <c r="A18" s="15" t="s">
        <v>114</v>
      </c>
      <c r="B18" s="19" t="s">
        <v>115</v>
      </c>
    </row>
    <row r="19" spans="1:2" ht="24.95" customHeight="1">
      <c r="A19" s="13" t="s">
        <v>116</v>
      </c>
      <c r="B19" s="19" t="s">
        <v>117</v>
      </c>
    </row>
    <row r="20" spans="1:2" ht="39.950000000000003" customHeight="1">
      <c r="A20" s="15" t="s">
        <v>118</v>
      </c>
      <c r="B20" s="19" t="s">
        <v>119</v>
      </c>
    </row>
    <row r="21" spans="1:2" ht="24.75" customHeight="1">
      <c r="A21" s="15" t="s">
        <v>32</v>
      </c>
      <c r="B21" s="20" t="s">
        <v>120</v>
      </c>
    </row>
    <row r="22" spans="1:2" ht="24.95" customHeight="1">
      <c r="A22" s="15" t="s">
        <v>121</v>
      </c>
      <c r="B22" s="19" t="s">
        <v>122</v>
      </c>
    </row>
    <row r="23" spans="1:2" ht="24.95" customHeight="1">
      <c r="A23" s="15" t="s">
        <v>123</v>
      </c>
      <c r="B23" s="16" t="s">
        <v>124</v>
      </c>
    </row>
    <row r="24" spans="1:2" ht="24.95" customHeight="1">
      <c r="A24" s="15" t="s">
        <v>151</v>
      </c>
      <c r="B24" s="16" t="s">
        <v>152</v>
      </c>
    </row>
    <row r="25" spans="1:2" ht="24.95" customHeight="1">
      <c r="A25" s="15" t="s">
        <v>125</v>
      </c>
      <c r="B25" s="16" t="s">
        <v>126</v>
      </c>
    </row>
    <row r="26" spans="1:2" ht="39.950000000000003" customHeight="1">
      <c r="A26" s="15" t="s">
        <v>20</v>
      </c>
      <c r="B26" s="16" t="s">
        <v>210</v>
      </c>
    </row>
    <row r="27" spans="1:2" ht="24.95" customHeight="1">
      <c r="A27" s="15" t="s">
        <v>127</v>
      </c>
      <c r="B27" s="16" t="s">
        <v>128</v>
      </c>
    </row>
    <row r="28" spans="1:2" ht="24.95" customHeight="1">
      <c r="A28" s="15" t="s">
        <v>129</v>
      </c>
      <c r="B28" s="16" t="s">
        <v>130</v>
      </c>
    </row>
    <row r="29" spans="1:2" ht="24.95" customHeight="1">
      <c r="A29" s="15" t="s">
        <v>131</v>
      </c>
      <c r="B29" s="16" t="s">
        <v>132</v>
      </c>
    </row>
    <row r="30" spans="1:2" ht="39.950000000000003" customHeight="1">
      <c r="A30" s="15" t="s">
        <v>133</v>
      </c>
      <c r="B30" s="19" t="s">
        <v>149</v>
      </c>
    </row>
    <row r="31" spans="1:2" ht="24.95" customHeight="1">
      <c r="A31" s="15" t="s">
        <v>134</v>
      </c>
      <c r="B31" s="16" t="s">
        <v>135</v>
      </c>
    </row>
    <row r="32" spans="1:2" ht="24.95" customHeight="1">
      <c r="A32" s="15" t="s">
        <v>136</v>
      </c>
      <c r="B32" s="16" t="s">
        <v>137</v>
      </c>
    </row>
    <row r="33" spans="1:2" ht="24.95" customHeight="1">
      <c r="A33" s="15" t="s">
        <v>205</v>
      </c>
      <c r="B33" s="16" t="s">
        <v>211</v>
      </c>
    </row>
    <row r="34" spans="1:2" ht="24.95" customHeight="1">
      <c r="A34" s="15" t="s">
        <v>138</v>
      </c>
      <c r="B34" s="19" t="s">
        <v>139</v>
      </c>
    </row>
    <row r="35" spans="1:2" ht="24.95" customHeight="1">
      <c r="A35" s="15" t="s">
        <v>5</v>
      </c>
      <c r="B35" s="16" t="s">
        <v>140</v>
      </c>
    </row>
    <row r="36" spans="1:2" ht="24.95" customHeight="1">
      <c r="A36" s="15" t="s">
        <v>4</v>
      </c>
      <c r="B36" s="16" t="s">
        <v>141</v>
      </c>
    </row>
    <row r="37" spans="1:2" ht="24.95" customHeight="1">
      <c r="A37" s="15" t="s">
        <v>142</v>
      </c>
      <c r="B37" s="16" t="s">
        <v>143</v>
      </c>
    </row>
    <row r="38" spans="1:2" ht="24.95" customHeight="1">
      <c r="A38" s="15" t="s">
        <v>31</v>
      </c>
      <c r="B38" s="16" t="s">
        <v>144</v>
      </c>
    </row>
    <row r="39" spans="1:2" ht="24.95" customHeight="1">
      <c r="A39" s="15" t="s">
        <v>145</v>
      </c>
      <c r="B39" s="19" t="s">
        <v>146</v>
      </c>
    </row>
    <row r="40" spans="1:2" ht="24.95" customHeight="1">
      <c r="A40" s="15" t="s">
        <v>147</v>
      </c>
      <c r="B40" s="16" t="s">
        <v>148</v>
      </c>
    </row>
    <row r="41" spans="1:2" ht="24.95" customHeight="1">
      <c r="A41" s="23"/>
      <c r="B41" s="19"/>
    </row>
    <row r="42" spans="1:2" ht="24.95" customHeight="1">
      <c r="A42" s="23"/>
      <c r="B42" s="16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topLeftCell="A16" zoomScaleNormal="100" zoomScaleSheetLayoutView="100" workbookViewId="0">
      <selection activeCell="E1" sqref="E1"/>
    </sheetView>
  </sheetViews>
  <sheetFormatPr defaultColWidth="9.140625" defaultRowHeight="14.25"/>
  <cols>
    <col min="1" max="1" width="14.7109375" style="25" customWidth="1"/>
    <col min="2" max="3" width="10.7109375" style="25" customWidth="1"/>
    <col min="4" max="4" width="31.5703125" style="25" customWidth="1"/>
    <col min="5" max="5" width="8" style="25" customWidth="1"/>
    <col min="6" max="6" width="7.28515625" style="25" customWidth="1"/>
    <col min="7" max="7" width="1.7109375" style="25" customWidth="1"/>
    <col min="8" max="8" width="9" style="25" customWidth="1"/>
    <col min="9" max="9" width="5.7109375" style="25" customWidth="1"/>
    <col min="10" max="10" width="9.140625" style="25" customWidth="1"/>
    <col min="11" max="16384" width="9.140625" style="25"/>
  </cols>
  <sheetData>
    <row r="1" spans="1:10" ht="20.25">
      <c r="A1" s="45" t="str">
        <f>"2 STRUČNÝ PŘEHLED ZA "&amp;UPPER('3.1'!G5)&amp;" "&amp;'3.1'!A4</f>
        <v>2 STRUČNÝ PŘEHLED ZA II. ČTVRTLETÍ 2022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26" t="s">
        <v>219</v>
      </c>
      <c r="B3" s="426"/>
      <c r="C3" s="426"/>
      <c r="D3" s="426"/>
      <c r="E3" s="426"/>
      <c r="F3" s="426"/>
      <c r="G3" s="426"/>
      <c r="H3" s="426"/>
      <c r="I3" s="426"/>
    </row>
    <row r="4" spans="1:10" ht="15" customHeight="1">
      <c r="A4" s="426"/>
      <c r="B4" s="426"/>
      <c r="C4" s="426"/>
      <c r="D4" s="426"/>
      <c r="E4" s="426"/>
      <c r="F4" s="426"/>
      <c r="G4" s="426"/>
      <c r="H4" s="426"/>
      <c r="I4" s="426"/>
    </row>
    <row r="5" spans="1:10" ht="15" customHeight="1">
      <c r="A5" s="426"/>
      <c r="B5" s="426"/>
      <c r="C5" s="426"/>
      <c r="D5" s="426"/>
      <c r="E5" s="426"/>
      <c r="F5" s="426"/>
      <c r="G5" s="426"/>
      <c r="H5" s="426"/>
      <c r="I5" s="426"/>
    </row>
    <row r="6" spans="1:10" ht="15" customHeight="1">
      <c r="A6" s="426"/>
      <c r="B6" s="426"/>
      <c r="C6" s="426"/>
      <c r="D6" s="426"/>
      <c r="E6" s="426"/>
      <c r="F6" s="426"/>
      <c r="G6" s="426"/>
      <c r="H6" s="426"/>
      <c r="I6" s="426"/>
    </row>
    <row r="7" spans="1:10" ht="30" customHeight="1">
      <c r="A7" s="427" t="s">
        <v>255</v>
      </c>
      <c r="B7" s="427"/>
      <c r="C7" s="427"/>
      <c r="D7" s="427"/>
      <c r="E7" s="427"/>
      <c r="F7" s="427"/>
      <c r="G7" s="427"/>
      <c r="H7" s="427"/>
      <c r="I7" s="427"/>
      <c r="J7" s="29"/>
    </row>
    <row r="8" spans="1:10" ht="9.9499999999999993" customHeight="1">
      <c r="A8" s="29"/>
      <c r="B8" s="29"/>
      <c r="C8" s="30"/>
      <c r="D8" s="30"/>
    </row>
    <row r="9" spans="1:10" ht="15.95" customHeight="1">
      <c r="A9" s="422" t="s">
        <v>220</v>
      </c>
      <c r="B9" s="422"/>
      <c r="C9" s="422"/>
      <c r="D9" s="422"/>
      <c r="E9" s="31">
        <f>'3.1'!G8/1000</f>
        <v>10238.96694001612</v>
      </c>
      <c r="F9" s="32" t="s">
        <v>262</v>
      </c>
      <c r="G9" s="32" t="s">
        <v>221</v>
      </c>
      <c r="H9" s="31">
        <f>'3.1'!K8/1000</f>
        <v>109454.481768211</v>
      </c>
      <c r="I9" s="32" t="s">
        <v>222</v>
      </c>
    </row>
    <row r="10" spans="1:10" ht="15.95" customHeight="1">
      <c r="A10" s="423" t="s">
        <v>223</v>
      </c>
      <c r="B10" s="423"/>
      <c r="C10" s="423"/>
      <c r="D10" s="423"/>
      <c r="E10" s="31">
        <f>'3.1'!G11/1000</f>
        <v>7016.7502015222935</v>
      </c>
      <c r="F10" s="32" t="s">
        <v>262</v>
      </c>
      <c r="G10" s="32" t="s">
        <v>221</v>
      </c>
      <c r="H10" s="31">
        <f>'3.1'!K11/1000</f>
        <v>74969.897109641606</v>
      </c>
      <c r="I10" s="32" t="s">
        <v>222</v>
      </c>
    </row>
    <row r="11" spans="1:10" ht="9.9499999999999993" customHeight="1">
      <c r="A11" s="33"/>
      <c r="B11" s="33"/>
      <c r="C11" s="34"/>
      <c r="D11" s="34"/>
      <c r="E11" s="35"/>
    </row>
    <row r="12" spans="1:10" ht="15.95" customHeight="1">
      <c r="A12" s="423" t="s">
        <v>224</v>
      </c>
      <c r="B12" s="423"/>
      <c r="C12" s="423"/>
      <c r="D12" s="423"/>
      <c r="E12" s="31">
        <f>'3.1'!G18/1000</f>
        <v>59.167098999999993</v>
      </c>
      <c r="F12" s="32" t="s">
        <v>262</v>
      </c>
      <c r="G12" s="32" t="s">
        <v>221</v>
      </c>
      <c r="H12" s="31">
        <f>'3.1'!K18/1000</f>
        <v>634.09557400000006</v>
      </c>
      <c r="I12" s="32" t="s">
        <v>222</v>
      </c>
    </row>
    <row r="13" spans="1:10" ht="15.95" customHeight="1">
      <c r="A13" s="423" t="s">
        <v>225</v>
      </c>
      <c r="B13" s="423"/>
      <c r="C13" s="423"/>
      <c r="D13" s="423"/>
      <c r="E13" s="31">
        <f>'3.1'!G22/1000</f>
        <v>1916.156753</v>
      </c>
      <c r="F13" s="32" t="s">
        <v>262</v>
      </c>
      <c r="G13" s="32" t="s">
        <v>221</v>
      </c>
      <c r="H13" s="31">
        <f>'3.1'!K22/1000</f>
        <v>20482.196454133005</v>
      </c>
      <c r="I13" s="32" t="s">
        <v>222</v>
      </c>
    </row>
    <row r="14" spans="1:10" ht="15.95" customHeight="1">
      <c r="A14" s="423" t="s">
        <v>226</v>
      </c>
      <c r="B14" s="423"/>
      <c r="C14" s="423"/>
      <c r="D14" s="423"/>
      <c r="E14" s="31">
        <f>'3.1'!G27/1000</f>
        <v>2315.0680007324909</v>
      </c>
      <c r="F14" s="32" t="s">
        <v>262</v>
      </c>
      <c r="G14" s="32" t="s">
        <v>221</v>
      </c>
      <c r="H14" s="31">
        <f>'3.1'!K27/1000</f>
        <v>24858.633690210918</v>
      </c>
      <c r="I14" s="32" t="s">
        <v>222</v>
      </c>
    </row>
    <row r="15" spans="1:10" ht="9.9499999999999993" customHeight="1">
      <c r="A15" s="33"/>
      <c r="B15" s="33"/>
      <c r="C15" s="34"/>
      <c r="D15" s="34"/>
      <c r="E15" s="35"/>
    </row>
    <row r="16" spans="1:10" ht="15.95" customHeight="1">
      <c r="A16" s="423" t="s">
        <v>227</v>
      </c>
      <c r="B16" s="423"/>
      <c r="C16" s="423"/>
      <c r="D16" s="423"/>
      <c r="E16" s="31">
        <f>'3.1'!G36/1000</f>
        <v>36.089499000000004</v>
      </c>
      <c r="F16" s="32" t="s">
        <v>262</v>
      </c>
      <c r="G16" s="32" t="s">
        <v>221</v>
      </c>
      <c r="H16" s="31">
        <f>'3.1'!K36/1000</f>
        <v>390.63593611949995</v>
      </c>
      <c r="I16" s="32" t="s">
        <v>222</v>
      </c>
    </row>
    <row r="17" spans="1:9" ht="30" customHeight="1">
      <c r="A17" s="427" t="s">
        <v>256</v>
      </c>
      <c r="B17" s="427"/>
      <c r="C17" s="427"/>
      <c r="D17" s="427"/>
      <c r="E17" s="427"/>
      <c r="F17" s="427"/>
      <c r="G17" s="427"/>
      <c r="H17" s="427"/>
      <c r="I17" s="427"/>
    </row>
    <row r="18" spans="1:9" ht="9.9499999999999993" customHeight="1">
      <c r="A18" s="29"/>
      <c r="B18" s="29"/>
      <c r="C18" s="30"/>
      <c r="D18" s="30"/>
    </row>
    <row r="19" spans="1:9" ht="15.95" customHeight="1">
      <c r="A19" s="422" t="s">
        <v>228</v>
      </c>
      <c r="B19" s="422"/>
      <c r="C19" s="422"/>
      <c r="D19" s="422"/>
      <c r="E19" s="31">
        <f>'4.1'!B20</f>
        <v>1396.6121856654454</v>
      </c>
      <c r="F19" s="32" t="s">
        <v>262</v>
      </c>
      <c r="G19" s="32" t="s">
        <v>221</v>
      </c>
      <c r="H19" s="31">
        <f>'4.1'!I20</f>
        <v>15067.164433530001</v>
      </c>
      <c r="I19" s="32" t="s">
        <v>222</v>
      </c>
    </row>
    <row r="20" spans="1:9" ht="15.95" customHeight="1">
      <c r="A20" s="423" t="s">
        <v>229</v>
      </c>
      <c r="B20" s="423"/>
      <c r="C20" s="423"/>
      <c r="D20" s="423"/>
      <c r="E20" s="36">
        <f>'4.1'!D20*100</f>
        <v>-25.735679301642755</v>
      </c>
      <c r="F20" s="32" t="s">
        <v>230</v>
      </c>
      <c r="G20" s="32"/>
      <c r="H20" s="31"/>
      <c r="I20" s="32"/>
    </row>
    <row r="21" spans="1:9" ht="9.9499999999999993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5.95" customHeight="1">
      <c r="A22" s="423" t="s">
        <v>231</v>
      </c>
      <c r="B22" s="423"/>
      <c r="C22" s="423"/>
      <c r="D22" s="423"/>
      <c r="E22" s="31">
        <f>'4.1'!E20</f>
        <v>1357.0629585672614</v>
      </c>
      <c r="F22" s="32" t="s">
        <v>262</v>
      </c>
      <c r="G22" s="32" t="s">
        <v>221</v>
      </c>
      <c r="H22" s="31">
        <f>'4.1'!K20</f>
        <v>14640.579708935944</v>
      </c>
      <c r="I22" s="32" t="s">
        <v>222</v>
      </c>
    </row>
    <row r="23" spans="1:9" ht="15.95" customHeight="1">
      <c r="A23" s="423" t="s">
        <v>232</v>
      </c>
      <c r="B23" s="423"/>
      <c r="C23" s="423"/>
      <c r="D23" s="423"/>
      <c r="E23" s="36">
        <f>'4.1'!G20*100</f>
        <v>-21.923230586784442</v>
      </c>
      <c r="F23" s="32" t="s">
        <v>230</v>
      </c>
    </row>
    <row r="24" spans="1:9" ht="9.9499999999999993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5.95" customHeight="1">
      <c r="A25" s="423" t="s">
        <v>233</v>
      </c>
      <c r="B25" s="423"/>
      <c r="C25" s="423"/>
      <c r="D25" s="423"/>
      <c r="E25" s="36">
        <f>'4.1'!N20</f>
        <v>13.357777777777779</v>
      </c>
      <c r="F25" s="32" t="s">
        <v>234</v>
      </c>
      <c r="G25" s="32"/>
      <c r="H25" s="31"/>
      <c r="I25" s="32"/>
    </row>
    <row r="26" spans="1:9" ht="15.95" customHeight="1">
      <c r="A26" s="423" t="s">
        <v>235</v>
      </c>
      <c r="B26" s="423"/>
      <c r="C26" s="423"/>
      <c r="D26" s="423"/>
      <c r="E26" s="36">
        <f>'4.1'!Q20</f>
        <v>12.916415770609319</v>
      </c>
      <c r="F26" s="32" t="s">
        <v>234</v>
      </c>
      <c r="G26" s="32"/>
      <c r="H26" s="31"/>
      <c r="I26" s="32"/>
    </row>
    <row r="27" spans="1:9" ht="15.95" customHeight="1">
      <c r="A27" s="423" t="s">
        <v>236</v>
      </c>
      <c r="B27" s="423"/>
      <c r="C27" s="423"/>
      <c r="D27" s="423"/>
      <c r="E27" s="36">
        <f>'4.1'!R20</f>
        <v>0.44136200716845941</v>
      </c>
      <c r="F27" s="32" t="s">
        <v>234</v>
      </c>
      <c r="G27" s="32"/>
      <c r="H27" s="31"/>
      <c r="I27" s="32"/>
    </row>
    <row r="28" spans="1:9" ht="9.9499999999999993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5.95" customHeight="1">
      <c r="A29" s="423" t="s">
        <v>237</v>
      </c>
      <c r="B29" s="423"/>
      <c r="C29" s="423"/>
      <c r="D29" s="423"/>
      <c r="E29" s="38">
        <f>MAX('4.3'!B38,'4.3'!E38,'4.3'!H38)/1000</f>
        <v>29.953648357462036</v>
      </c>
      <c r="F29" s="32" t="s">
        <v>262</v>
      </c>
      <c r="G29" s="32" t="s">
        <v>221</v>
      </c>
      <c r="H29" s="38">
        <f>MAX('4.3'!C38,'4.3'!F38,'4.3'!I38)/1000</f>
        <v>322.92456208963335</v>
      </c>
      <c r="I29" s="32" t="s">
        <v>222</v>
      </c>
    </row>
    <row r="30" spans="1:9" ht="15.95" customHeight="1">
      <c r="A30" s="423" t="s">
        <v>238</v>
      </c>
      <c r="B30" s="423"/>
      <c r="C30" s="423"/>
      <c r="D30" s="423"/>
      <c r="E30" s="38">
        <f>MIN('4.3'!B39,'4.3'!E39,'4.3'!H39)/1000</f>
        <v>7.710580540340608</v>
      </c>
      <c r="F30" s="32" t="s">
        <v>262</v>
      </c>
      <c r="G30" s="32" t="s">
        <v>221</v>
      </c>
      <c r="H30" s="38">
        <f>MIN('4.3'!C39,'4.3'!F39,'4.3'!I39)/1000</f>
        <v>83.570777379766668</v>
      </c>
      <c r="I30" s="32" t="s">
        <v>222</v>
      </c>
    </row>
    <row r="31" spans="1:9" ht="30" customHeight="1">
      <c r="A31" s="421" t="s">
        <v>257</v>
      </c>
      <c r="B31" s="421"/>
      <c r="C31" s="421"/>
      <c r="D31" s="421"/>
      <c r="E31" s="421"/>
      <c r="F31" s="421"/>
      <c r="G31" s="421"/>
      <c r="H31" s="421"/>
      <c r="I31" s="421"/>
    </row>
    <row r="32" spans="1:9" ht="9.9499999999999993" customHeight="1"/>
    <row r="33" spans="1:9" ht="15.95" customHeight="1">
      <c r="A33" s="422" t="s">
        <v>239</v>
      </c>
      <c r="B33" s="422"/>
      <c r="C33" s="422"/>
      <c r="D33" s="422"/>
      <c r="E33" s="38">
        <f>'5.9'!E7*100</f>
        <v>8.7012054052280927</v>
      </c>
      <c r="F33" s="32" t="s">
        <v>230</v>
      </c>
      <c r="H33" s="38">
        <f>'5.9'!F7*100</f>
        <v>-23.338833788494803</v>
      </c>
      <c r="I33" s="32" t="s">
        <v>230</v>
      </c>
    </row>
    <row r="34" spans="1:9" ht="15.95" customHeight="1">
      <c r="A34" s="423" t="s">
        <v>240</v>
      </c>
      <c r="B34" s="423"/>
      <c r="C34" s="423"/>
      <c r="D34" s="423"/>
      <c r="E34" s="38">
        <f>'5.9'!E8*100</f>
        <v>81.350919115281357</v>
      </c>
      <c r="F34" s="32" t="s">
        <v>230</v>
      </c>
      <c r="H34" s="38">
        <f>'5.9'!F8*100</f>
        <v>-24.116224704139679</v>
      </c>
      <c r="I34" s="32" t="s">
        <v>230</v>
      </c>
    </row>
    <row r="35" spans="1:9" ht="15.95" customHeight="1">
      <c r="A35" s="423" t="s">
        <v>241</v>
      </c>
      <c r="B35" s="423"/>
      <c r="C35" s="423"/>
      <c r="D35" s="423"/>
      <c r="E35" s="38">
        <f>'5.9'!E9*100</f>
        <v>3.9219884249494643</v>
      </c>
      <c r="F35" s="32" t="s">
        <v>230</v>
      </c>
      <c r="H35" s="38">
        <f>'5.9'!F9*100</f>
        <v>-21.327986331132653</v>
      </c>
      <c r="I35" s="32" t="s">
        <v>230</v>
      </c>
    </row>
    <row r="36" spans="1:9" ht="15.95" customHeight="1">
      <c r="A36" s="423" t="s">
        <v>242</v>
      </c>
      <c r="B36" s="423"/>
      <c r="C36" s="423"/>
      <c r="D36" s="423"/>
      <c r="E36" s="38">
        <f>'5.9'!E10*100</f>
        <v>6.0258870545410979</v>
      </c>
      <c r="F36" s="32" t="s">
        <v>230</v>
      </c>
      <c r="H36" s="38">
        <f>'5.9'!F10*100</f>
        <v>-45.78122294684168</v>
      </c>
      <c r="I36" s="32" t="s">
        <v>230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5.95" customHeight="1">
      <c r="A38" s="423" t="s">
        <v>243</v>
      </c>
      <c r="B38" s="423"/>
      <c r="C38" s="423"/>
      <c r="D38" s="423"/>
      <c r="E38" s="420">
        <f>'5.1'!D35</f>
        <v>2802216</v>
      </c>
      <c r="F38" s="420"/>
      <c r="H38" s="38"/>
      <c r="I38" s="32"/>
    </row>
    <row r="39" spans="1:9" ht="30" customHeight="1">
      <c r="A39" s="424"/>
      <c r="B39" s="424"/>
      <c r="C39" s="424"/>
      <c r="D39" s="424"/>
      <c r="E39" s="424"/>
      <c r="F39" s="424"/>
      <c r="G39" s="424"/>
      <c r="H39" s="424"/>
      <c r="I39" s="424"/>
    </row>
    <row r="40" spans="1:9" ht="15.95" customHeight="1">
      <c r="A40" s="29"/>
      <c r="B40" s="29"/>
    </row>
    <row r="41" spans="1:9" ht="15.95" customHeight="1">
      <c r="A41" s="425"/>
      <c r="B41" s="425"/>
      <c r="C41" s="425"/>
      <c r="D41" s="425"/>
    </row>
    <row r="42" spans="1:9" ht="15.95" customHeight="1">
      <c r="A42" s="29"/>
      <c r="B42" s="29"/>
    </row>
    <row r="43" spans="1:9" ht="15.95" customHeight="1">
      <c r="A43" s="29"/>
      <c r="B43" s="29"/>
    </row>
    <row r="44" spans="1:9" ht="15.95" customHeight="1">
      <c r="A44" s="29"/>
      <c r="B44" s="29"/>
    </row>
    <row r="45" spans="1:9" ht="15.95" customHeight="1">
      <c r="A45" s="29"/>
      <c r="B45" s="29"/>
    </row>
    <row r="46" spans="1:9" ht="15.95" customHeight="1">
      <c r="A46" s="29"/>
      <c r="B46" s="29"/>
    </row>
    <row r="47" spans="1:9" ht="15.95" customHeight="1">
      <c r="A47" s="29"/>
      <c r="B47" s="29"/>
    </row>
    <row r="48" spans="1:9" ht="15" customHeight="1">
      <c r="A48" s="29"/>
      <c r="B48" s="29"/>
    </row>
    <row r="49" spans="1:2" ht="15" customHeight="1">
      <c r="A49" s="29"/>
      <c r="B49" s="29"/>
    </row>
    <row r="50" spans="1:2" ht="15" customHeight="1">
      <c r="A50" s="29"/>
      <c r="B50" s="29"/>
    </row>
    <row r="51" spans="1:2" ht="15.95" customHeight="1">
      <c r="A51" s="29"/>
      <c r="B51" s="29"/>
    </row>
    <row r="52" spans="1:2" ht="15.95" customHeight="1">
      <c r="A52" s="29"/>
      <c r="B52" s="29"/>
    </row>
    <row r="53" spans="1:2" ht="15.95" customHeight="1">
      <c r="A53" s="29"/>
      <c r="B53" s="29"/>
    </row>
    <row r="54" spans="1:2" ht="15.95" customHeight="1">
      <c r="A54" s="29"/>
      <c r="B54" s="29"/>
    </row>
    <row r="55" spans="1:2" ht="15" customHeight="1">
      <c r="A55" s="29"/>
      <c r="B55" s="29"/>
    </row>
    <row r="56" spans="1:2" ht="15" customHeight="1">
      <c r="A56" s="29"/>
      <c r="B56" s="29"/>
    </row>
    <row r="57" spans="1:2" ht="15" customHeight="1">
      <c r="A57" s="29"/>
      <c r="B57" s="29"/>
    </row>
    <row r="58" spans="1:2" ht="15" customHeight="1">
      <c r="A58" s="29"/>
      <c r="B58" s="29"/>
    </row>
    <row r="59" spans="1:2" ht="15" customHeight="1">
      <c r="A59" s="29"/>
      <c r="B59" s="29"/>
    </row>
    <row r="60" spans="1:2" ht="11.45" customHeight="1">
      <c r="A60" s="29"/>
      <c r="B60" s="29"/>
    </row>
    <row r="61" spans="1:2" ht="10.9" customHeight="1"/>
  </sheetData>
  <mergeCells count="27">
    <mergeCell ref="A39:I39"/>
    <mergeCell ref="A41:D41"/>
    <mergeCell ref="A13:D13"/>
    <mergeCell ref="A3:I6"/>
    <mergeCell ref="A7:I7"/>
    <mergeCell ref="A9:D9"/>
    <mergeCell ref="A10:D10"/>
    <mergeCell ref="A12:D12"/>
    <mergeCell ref="A30:D30"/>
    <mergeCell ref="A14:D14"/>
    <mergeCell ref="A16:D16"/>
    <mergeCell ref="A17:I17"/>
    <mergeCell ref="A19:D19"/>
    <mergeCell ref="A20:D20"/>
    <mergeCell ref="A22:D22"/>
    <mergeCell ref="A23:D23"/>
    <mergeCell ref="A25:D25"/>
    <mergeCell ref="A26:D26"/>
    <mergeCell ref="A27:D27"/>
    <mergeCell ref="A29:D29"/>
    <mergeCell ref="A38:D38"/>
    <mergeCell ref="E38:F38"/>
    <mergeCell ref="A31:I31"/>
    <mergeCell ref="A33:D33"/>
    <mergeCell ref="A34:D34"/>
    <mergeCell ref="A35:D35"/>
    <mergeCell ref="A36:D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6"/>
  <sheetViews>
    <sheetView showGridLines="0" zoomScaleNormal="100" zoomScaleSheetLayoutView="100" workbookViewId="0">
      <selection activeCell="E1" sqref="E1"/>
    </sheetView>
  </sheetViews>
  <sheetFormatPr defaultColWidth="9.140625" defaultRowHeight="11.25"/>
  <cols>
    <col min="1" max="1" width="6.85546875" style="39" customWidth="1"/>
    <col min="2" max="2" width="8.42578125" style="39" customWidth="1"/>
    <col min="3" max="3" width="13.140625" style="39" customWidth="1"/>
    <col min="4" max="6" width="8.28515625" style="39" customWidth="1"/>
    <col min="7" max="7" width="9.7109375" style="39" customWidth="1"/>
    <col min="8" max="10" width="8.7109375" style="39" customWidth="1"/>
    <col min="11" max="11" width="9.7109375" style="39" customWidth="1"/>
    <col min="12" max="16384" width="9.140625" style="39"/>
  </cols>
  <sheetData>
    <row r="1" spans="1:18" ht="20.25">
      <c r="A1" s="55" t="s">
        <v>291</v>
      </c>
    </row>
    <row r="2" spans="1:18" ht="18">
      <c r="A2" s="437" t="s">
        <v>296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</row>
    <row r="3" spans="1:18" ht="6" customHeight="1">
      <c r="A3" s="246"/>
      <c r="B3" s="246"/>
      <c r="C3" s="247"/>
      <c r="D3" s="438"/>
      <c r="E3" s="439"/>
      <c r="F3" s="439"/>
      <c r="G3" s="439"/>
      <c r="H3" s="439"/>
      <c r="I3" s="439"/>
      <c r="J3" s="439"/>
      <c r="K3" s="439"/>
    </row>
    <row r="4" spans="1:18" s="40" customFormat="1" ht="20.100000000000001" customHeight="1">
      <c r="A4" s="412">
        <v>2022</v>
      </c>
      <c r="B4" s="151"/>
      <c r="C4" s="199"/>
      <c r="D4" s="440" t="s">
        <v>265</v>
      </c>
      <c r="E4" s="441"/>
      <c r="F4" s="441"/>
      <c r="G4" s="442"/>
      <c r="H4" s="440" t="s">
        <v>266</v>
      </c>
      <c r="I4" s="441"/>
      <c r="J4" s="441"/>
      <c r="K4" s="441"/>
    </row>
    <row r="5" spans="1:18" ht="20.100000000000001" customHeight="1">
      <c r="A5" s="154"/>
      <c r="B5" s="154"/>
      <c r="C5" s="200"/>
      <c r="D5" s="201" t="s">
        <v>164</v>
      </c>
      <c r="E5" s="202" t="s">
        <v>165</v>
      </c>
      <c r="F5" s="202" t="s">
        <v>166</v>
      </c>
      <c r="G5" s="203" t="s">
        <v>56</v>
      </c>
      <c r="H5" s="201" t="str">
        <f>D5</f>
        <v>Duben</v>
      </c>
      <c r="I5" s="202" t="str">
        <f>E5</f>
        <v>Květen</v>
      </c>
      <c r="J5" s="202" t="str">
        <f>F5</f>
        <v>Červen</v>
      </c>
      <c r="K5" s="204" t="str">
        <f>G5</f>
        <v>II. čtvrtletí</v>
      </c>
    </row>
    <row r="6" spans="1:18" ht="15" customHeight="1">
      <c r="A6" s="430" t="s">
        <v>49</v>
      </c>
      <c r="B6" s="443" t="s">
        <v>21</v>
      </c>
      <c r="C6" s="155" t="s">
        <v>23</v>
      </c>
      <c r="D6" s="156">
        <v>3646108.6274923515</v>
      </c>
      <c r="E6" s="157">
        <v>3600534.1179999998</v>
      </c>
      <c r="F6" s="157">
        <v>2992045.449</v>
      </c>
      <c r="G6" s="158">
        <f>SUM(D6:F6)</f>
        <v>10238688.194492351</v>
      </c>
      <c r="H6" s="156">
        <v>38981727.994000003</v>
      </c>
      <c r="I6" s="157">
        <v>38453470.557999998</v>
      </c>
      <c r="J6" s="157">
        <v>32016317.156999998</v>
      </c>
      <c r="K6" s="159">
        <f>SUM(H6:J6)</f>
        <v>109451515.70899999</v>
      </c>
      <c r="L6" s="42"/>
      <c r="M6" s="42"/>
      <c r="N6" s="42"/>
      <c r="O6" s="42"/>
      <c r="P6" s="42"/>
      <c r="Q6" s="42"/>
      <c r="R6" s="42"/>
    </row>
    <row r="7" spans="1:18" ht="15" customHeight="1">
      <c r="A7" s="430"/>
      <c r="B7" s="443"/>
      <c r="C7" s="155" t="s">
        <v>24</v>
      </c>
      <c r="D7" s="156">
        <v>159.52287285245416</v>
      </c>
      <c r="E7" s="157">
        <v>77.805141002024996</v>
      </c>
      <c r="F7" s="157">
        <v>41.417509914966359</v>
      </c>
      <c r="G7" s="158">
        <f>SUM(D7:F7)</f>
        <v>278.74552376944553</v>
      </c>
      <c r="H7" s="156">
        <v>1674.8545239999994</v>
      </c>
      <c r="I7" s="157">
        <v>817.2131840000003</v>
      </c>
      <c r="J7" s="157">
        <v>473.99150299999991</v>
      </c>
      <c r="K7" s="159">
        <f t="shared" ref="K7:K47" si="0">SUM(H7:J7)</f>
        <v>2966.0592109999993</v>
      </c>
      <c r="L7" s="42"/>
      <c r="M7" s="42"/>
      <c r="N7" s="42"/>
      <c r="O7" s="42"/>
      <c r="P7" s="42"/>
      <c r="Q7" s="42"/>
    </row>
    <row r="8" spans="1:18" ht="15" customHeight="1">
      <c r="A8" s="430"/>
      <c r="B8" s="444"/>
      <c r="C8" s="160" t="s">
        <v>25</v>
      </c>
      <c r="D8" s="161">
        <v>3646268.1503652041</v>
      </c>
      <c r="E8" s="162">
        <v>3600611.9231410017</v>
      </c>
      <c r="F8" s="162">
        <v>2992086.8665099149</v>
      </c>
      <c r="G8" s="163">
        <f t="shared" ref="G8" si="1">SUM(D8:F8)</f>
        <v>10238966.940016121</v>
      </c>
      <c r="H8" s="161">
        <v>38983402.848524004</v>
      </c>
      <c r="I8" s="162">
        <v>38454287.771183997</v>
      </c>
      <c r="J8" s="162">
        <v>32016791.148502998</v>
      </c>
      <c r="K8" s="164">
        <f t="shared" si="0"/>
        <v>109454481.76821101</v>
      </c>
      <c r="L8" s="42"/>
      <c r="M8" s="42"/>
      <c r="N8" s="42"/>
      <c r="O8" s="42"/>
      <c r="P8" s="42"/>
      <c r="Q8" s="42"/>
    </row>
    <row r="9" spans="1:18" ht="15" customHeight="1">
      <c r="A9" s="430"/>
      <c r="B9" s="445" t="s">
        <v>22</v>
      </c>
      <c r="C9" s="165" t="s">
        <v>23</v>
      </c>
      <c r="D9" s="166">
        <v>2450689.6613566834</v>
      </c>
      <c r="E9" s="167">
        <v>2382230.8190000001</v>
      </c>
      <c r="F9" s="167">
        <v>2183766.835</v>
      </c>
      <c r="G9" s="168">
        <f>SUM(D9:F9)</f>
        <v>7016687.3153566839</v>
      </c>
      <c r="H9" s="166">
        <v>26179076.202495001</v>
      </c>
      <c r="I9" s="167">
        <v>25445472.343000002</v>
      </c>
      <c r="J9" s="167">
        <v>23344670.673</v>
      </c>
      <c r="K9" s="169">
        <f t="shared" si="0"/>
        <v>74969219.218495011</v>
      </c>
      <c r="L9" s="42"/>
      <c r="M9" s="42"/>
      <c r="N9" s="42"/>
      <c r="O9" s="42"/>
      <c r="P9" s="42"/>
      <c r="Q9" s="42"/>
    </row>
    <row r="10" spans="1:18" ht="15" customHeight="1">
      <c r="A10" s="430"/>
      <c r="B10" s="443"/>
      <c r="C10" s="155" t="s">
        <v>24</v>
      </c>
      <c r="D10" s="156">
        <v>35.146423110756118</v>
      </c>
      <c r="E10" s="157">
        <v>15.19076105256552</v>
      </c>
      <c r="F10" s="157">
        <v>12.548981446823857</v>
      </c>
      <c r="G10" s="158">
        <f>SUM(D10:F10)</f>
        <v>62.886165610145497</v>
      </c>
      <c r="H10" s="156">
        <v>378.74077269999998</v>
      </c>
      <c r="I10" s="157">
        <v>163.22310479999999</v>
      </c>
      <c r="J10" s="157">
        <v>135.92726910000002</v>
      </c>
      <c r="K10" s="159">
        <f t="shared" si="0"/>
        <v>677.89114659999996</v>
      </c>
      <c r="L10" s="42"/>
      <c r="M10" s="42"/>
      <c r="N10" s="42"/>
      <c r="O10" s="42"/>
      <c r="P10" s="42"/>
      <c r="Q10" s="42"/>
    </row>
    <row r="11" spans="1:18" ht="15" customHeight="1">
      <c r="A11" s="430"/>
      <c r="B11" s="444"/>
      <c r="C11" s="160" t="s">
        <v>25</v>
      </c>
      <c r="D11" s="161">
        <v>2450724.8077797941</v>
      </c>
      <c r="E11" s="162">
        <v>2382246.0097610527</v>
      </c>
      <c r="F11" s="162">
        <v>2183779.3839814467</v>
      </c>
      <c r="G11" s="163">
        <f t="shared" ref="G11" si="2">SUM(D11:F11)</f>
        <v>7016750.2015222935</v>
      </c>
      <c r="H11" s="161">
        <v>26179454.943267703</v>
      </c>
      <c r="I11" s="162">
        <v>25445635.566104803</v>
      </c>
      <c r="J11" s="162">
        <v>23344806.600269102</v>
      </c>
      <c r="K11" s="164">
        <f t="shared" si="0"/>
        <v>74969897.109641612</v>
      </c>
      <c r="L11" s="42"/>
      <c r="M11" s="42"/>
      <c r="N11" s="42"/>
      <c r="O11" s="42"/>
      <c r="P11" s="42"/>
      <c r="Q11" s="42"/>
    </row>
    <row r="12" spans="1:18" ht="15" customHeight="1">
      <c r="A12" s="430"/>
      <c r="B12" s="433" t="s">
        <v>51</v>
      </c>
      <c r="C12" s="155" t="s">
        <v>23</v>
      </c>
      <c r="D12" s="156">
        <v>1195418.9661356681</v>
      </c>
      <c r="E12" s="157">
        <v>1218303.2989999996</v>
      </c>
      <c r="F12" s="157">
        <v>808278.61400000006</v>
      </c>
      <c r="G12" s="158">
        <f>SUM(D12:F12)</f>
        <v>3222000.8791356678</v>
      </c>
      <c r="H12" s="156">
        <v>12802651.791505001</v>
      </c>
      <c r="I12" s="157">
        <v>13007998.214999996</v>
      </c>
      <c r="J12" s="157">
        <v>8671646.4839999974</v>
      </c>
      <c r="K12" s="159">
        <f t="shared" si="0"/>
        <v>34482296.490504995</v>
      </c>
      <c r="L12" s="42"/>
      <c r="M12" s="42"/>
      <c r="N12" s="42"/>
      <c r="O12" s="42"/>
      <c r="P12" s="42"/>
      <c r="Q12" s="42"/>
    </row>
    <row r="13" spans="1:18" ht="15" customHeight="1">
      <c r="A13" s="430"/>
      <c r="B13" s="443"/>
      <c r="C13" s="155" t="s">
        <v>24</v>
      </c>
      <c r="D13" s="156">
        <v>124.37644974169804</v>
      </c>
      <c r="E13" s="157">
        <v>62.614379949459476</v>
      </c>
      <c r="F13" s="157">
        <v>28.8685284681425</v>
      </c>
      <c r="G13" s="158">
        <f>SUM(D13:F13)</f>
        <v>215.8593581593</v>
      </c>
      <c r="H13" s="156">
        <v>1296.1137512999994</v>
      </c>
      <c r="I13" s="157">
        <v>653.99007920000031</v>
      </c>
      <c r="J13" s="157">
        <v>338.06423389999986</v>
      </c>
      <c r="K13" s="159">
        <f t="shared" si="0"/>
        <v>2288.1680643999998</v>
      </c>
      <c r="L13" s="42"/>
      <c r="M13" s="42"/>
      <c r="N13" s="42"/>
      <c r="O13" s="42"/>
      <c r="P13" s="42"/>
      <c r="Q13" s="42"/>
    </row>
    <row r="14" spans="1:18" ht="15" customHeight="1">
      <c r="A14" s="431"/>
      <c r="B14" s="444"/>
      <c r="C14" s="160" t="s">
        <v>25</v>
      </c>
      <c r="D14" s="161">
        <v>1195543.3425854098</v>
      </c>
      <c r="E14" s="162">
        <v>1218365.9133799491</v>
      </c>
      <c r="F14" s="162">
        <v>808307.48252846824</v>
      </c>
      <c r="G14" s="163">
        <f t="shared" ref="G14:G51" si="3">SUM(D14:F14)</f>
        <v>3222216.7384938267</v>
      </c>
      <c r="H14" s="161">
        <v>12803947.905256301</v>
      </c>
      <c r="I14" s="162">
        <v>13008652.205079196</v>
      </c>
      <c r="J14" s="162">
        <v>8671984.5482338965</v>
      </c>
      <c r="K14" s="164">
        <f t="shared" si="0"/>
        <v>34484584.658569396</v>
      </c>
      <c r="L14" s="42"/>
      <c r="M14" s="42"/>
      <c r="N14" s="42"/>
      <c r="O14" s="42"/>
      <c r="P14" s="42"/>
      <c r="Q14" s="42"/>
    </row>
    <row r="15" spans="1:18" ht="15" customHeight="1">
      <c r="A15" s="429" t="s">
        <v>150</v>
      </c>
      <c r="B15" s="445" t="s">
        <v>26</v>
      </c>
      <c r="C15" s="165" t="s">
        <v>205</v>
      </c>
      <c r="D15" s="166">
        <v>35418.803</v>
      </c>
      <c r="E15" s="167">
        <v>0</v>
      </c>
      <c r="F15" s="167">
        <v>0</v>
      </c>
      <c r="G15" s="168">
        <f t="shared" si="3"/>
        <v>35418.803</v>
      </c>
      <c r="H15" s="166">
        <v>378503.83500000002</v>
      </c>
      <c r="I15" s="167">
        <v>0</v>
      </c>
      <c r="J15" s="167">
        <v>0</v>
      </c>
      <c r="K15" s="169">
        <f t="shared" si="0"/>
        <v>378503.83500000002</v>
      </c>
      <c r="L15" s="42"/>
      <c r="M15" s="42"/>
      <c r="N15" s="42"/>
      <c r="O15" s="42"/>
      <c r="P15" s="42"/>
      <c r="Q15" s="42"/>
    </row>
    <row r="16" spans="1:18" ht="15" customHeight="1">
      <c r="A16" s="430"/>
      <c r="B16" s="443"/>
      <c r="C16" s="155" t="s">
        <v>217</v>
      </c>
      <c r="D16" s="156">
        <v>663.39400000000001</v>
      </c>
      <c r="E16" s="157">
        <v>0</v>
      </c>
      <c r="F16" s="157">
        <v>1.544</v>
      </c>
      <c r="G16" s="158">
        <f>SUM(D16:F16)</f>
        <v>664.93799999999999</v>
      </c>
      <c r="H16" s="156">
        <v>7095.1792813999837</v>
      </c>
      <c r="I16" s="157">
        <v>0</v>
      </c>
      <c r="J16" s="157">
        <v>15.496357799998485</v>
      </c>
      <c r="K16" s="159">
        <f t="shared" si="0"/>
        <v>7110.6756391999825</v>
      </c>
      <c r="L16" s="42"/>
      <c r="M16" s="42"/>
      <c r="N16" s="42"/>
      <c r="O16" s="42"/>
      <c r="P16" s="42"/>
      <c r="Q16" s="42"/>
    </row>
    <row r="17" spans="1:17" ht="15" customHeight="1">
      <c r="A17" s="430"/>
      <c r="B17" s="443"/>
      <c r="C17" s="155" t="s">
        <v>65</v>
      </c>
      <c r="D17" s="156">
        <v>22030.778999999999</v>
      </c>
      <c r="E17" s="157">
        <v>0</v>
      </c>
      <c r="F17" s="157">
        <v>1052.579</v>
      </c>
      <c r="G17" s="158">
        <f>SUM(D17:F17)</f>
        <v>23083.358</v>
      </c>
      <c r="H17" s="156">
        <v>237215.36571860002</v>
      </c>
      <c r="I17" s="157">
        <v>0</v>
      </c>
      <c r="J17" s="157">
        <v>11265.697642200001</v>
      </c>
      <c r="K17" s="159">
        <f t="shared" si="0"/>
        <v>248481.06336080004</v>
      </c>
      <c r="L17" s="42"/>
      <c r="M17" s="42"/>
      <c r="N17" s="42"/>
      <c r="O17" s="42"/>
      <c r="P17" s="42"/>
      <c r="Q17" s="42"/>
    </row>
    <row r="18" spans="1:17" ht="15" customHeight="1">
      <c r="A18" s="430"/>
      <c r="B18" s="444"/>
      <c r="C18" s="160" t="s">
        <v>25</v>
      </c>
      <c r="D18" s="161">
        <v>58112.975999999995</v>
      </c>
      <c r="E18" s="162">
        <v>0</v>
      </c>
      <c r="F18" s="162">
        <v>1054.123</v>
      </c>
      <c r="G18" s="163">
        <f>SUM(D18:F18)</f>
        <v>59167.098999999995</v>
      </c>
      <c r="H18" s="161">
        <v>622814.38</v>
      </c>
      <c r="I18" s="162">
        <v>0</v>
      </c>
      <c r="J18" s="162">
        <v>11281.194</v>
      </c>
      <c r="K18" s="164">
        <f>SUM(H18:J18)</f>
        <v>634095.57400000002</v>
      </c>
      <c r="L18" s="42"/>
      <c r="M18" s="42"/>
      <c r="N18" s="42"/>
      <c r="O18" s="42"/>
      <c r="P18" s="42"/>
      <c r="Q18" s="42"/>
    </row>
    <row r="19" spans="1:17" ht="15" customHeight="1">
      <c r="A19" s="430"/>
      <c r="B19" s="445" t="s">
        <v>27</v>
      </c>
      <c r="C19" s="165" t="s">
        <v>205</v>
      </c>
      <c r="D19" s="166">
        <v>546318.00899999996</v>
      </c>
      <c r="E19" s="167">
        <v>747720.56499999994</v>
      </c>
      <c r="F19" s="167">
        <v>454736.60399999999</v>
      </c>
      <c r="G19" s="168">
        <f t="shared" si="3"/>
        <v>1748775.1780000001</v>
      </c>
      <c r="H19" s="166">
        <v>5836553.4437600011</v>
      </c>
      <c r="I19" s="167">
        <v>7988206.8265710007</v>
      </c>
      <c r="J19" s="167">
        <v>4863815.6298020007</v>
      </c>
      <c r="K19" s="169">
        <f t="shared" si="0"/>
        <v>18688575.900133003</v>
      </c>
      <c r="L19" s="42"/>
      <c r="M19" s="42"/>
      <c r="N19" s="42"/>
      <c r="O19" s="42"/>
      <c r="P19" s="42"/>
      <c r="Q19" s="42"/>
    </row>
    <row r="20" spans="1:17" ht="15" customHeight="1">
      <c r="A20" s="430"/>
      <c r="B20" s="443"/>
      <c r="C20" s="155" t="s">
        <v>217</v>
      </c>
      <c r="D20" s="156">
        <v>37610.809000000001</v>
      </c>
      <c r="E20" s="157">
        <v>87574.35100000001</v>
      </c>
      <c r="F20" s="157">
        <v>30326.596000000005</v>
      </c>
      <c r="G20" s="158">
        <f t="shared" si="3"/>
        <v>155511.75599999999</v>
      </c>
      <c r="H20" s="156">
        <v>401905.55386380001</v>
      </c>
      <c r="I20" s="157">
        <v>935768.37591589987</v>
      </c>
      <c r="J20" s="157">
        <v>328765.20671069995</v>
      </c>
      <c r="K20" s="159">
        <f t="shared" si="0"/>
        <v>1666439.1364903999</v>
      </c>
      <c r="L20" s="42"/>
      <c r="M20" s="42"/>
      <c r="N20" s="42"/>
      <c r="O20" s="42"/>
      <c r="P20" s="42"/>
      <c r="Q20" s="42"/>
    </row>
    <row r="21" spans="1:17" ht="15" customHeight="1">
      <c r="A21" s="430"/>
      <c r="B21" s="443"/>
      <c r="C21" s="155" t="s">
        <v>65</v>
      </c>
      <c r="D21" s="156">
        <v>22.197000000000116</v>
      </c>
      <c r="E21" s="157">
        <v>8066.1830000000009</v>
      </c>
      <c r="F21" s="157">
        <v>3781.4389999999985</v>
      </c>
      <c r="G21" s="158">
        <f t="shared" si="3"/>
        <v>11869.819</v>
      </c>
      <c r="H21" s="156">
        <v>237.16613619995769</v>
      </c>
      <c r="I21" s="157">
        <v>86180.525084100009</v>
      </c>
      <c r="J21" s="157">
        <v>40763.726289300073</v>
      </c>
      <c r="K21" s="159">
        <f t="shared" si="0"/>
        <v>127181.41750960004</v>
      </c>
      <c r="L21" s="42"/>
      <c r="M21" s="42"/>
      <c r="N21" s="42"/>
      <c r="O21" s="42"/>
      <c r="P21" s="42"/>
      <c r="Q21" s="42"/>
    </row>
    <row r="22" spans="1:17" ht="15" customHeight="1">
      <c r="A22" s="430"/>
      <c r="B22" s="444"/>
      <c r="C22" s="160" t="s">
        <v>25</v>
      </c>
      <c r="D22" s="161">
        <v>583951.01500000001</v>
      </c>
      <c r="E22" s="162">
        <v>843361.09899999993</v>
      </c>
      <c r="F22" s="162">
        <v>488844.63900000002</v>
      </c>
      <c r="G22" s="163">
        <f t="shared" si="3"/>
        <v>1916156.753</v>
      </c>
      <c r="H22" s="161">
        <v>6238696.1637600008</v>
      </c>
      <c r="I22" s="162">
        <v>9010155.7275710013</v>
      </c>
      <c r="J22" s="162">
        <v>5233344.5628020009</v>
      </c>
      <c r="K22" s="164">
        <f t="shared" si="0"/>
        <v>20482196.454133004</v>
      </c>
      <c r="L22" s="42"/>
      <c r="M22" s="42"/>
      <c r="N22" s="42"/>
      <c r="O22" s="42"/>
      <c r="P22" s="42"/>
      <c r="Q22" s="42"/>
    </row>
    <row r="23" spans="1:17" ht="15" customHeight="1">
      <c r="A23" s="430"/>
      <c r="B23" s="433" t="s">
        <v>52</v>
      </c>
      <c r="C23" s="155" t="s">
        <v>205</v>
      </c>
      <c r="D23" s="156">
        <v>-510899.20599999995</v>
      </c>
      <c r="E23" s="157">
        <v>-747720.56499999994</v>
      </c>
      <c r="F23" s="157">
        <v>-454736.60399999999</v>
      </c>
      <c r="G23" s="158">
        <f t="shared" si="3"/>
        <v>-1713356.375</v>
      </c>
      <c r="H23" s="156">
        <v>-5458049.6087600011</v>
      </c>
      <c r="I23" s="157">
        <v>-7988206.8265710007</v>
      </c>
      <c r="J23" s="157">
        <v>-4863815.6298020007</v>
      </c>
      <c r="K23" s="159">
        <f t="shared" si="0"/>
        <v>-18310072.065133002</v>
      </c>
      <c r="L23" s="42"/>
      <c r="M23" s="42"/>
      <c r="N23" s="42"/>
      <c r="O23" s="42"/>
      <c r="P23" s="42"/>
      <c r="Q23" s="42"/>
    </row>
    <row r="24" spans="1:17" ht="15" customHeight="1">
      <c r="A24" s="430"/>
      <c r="B24" s="443"/>
      <c r="C24" s="155" t="s">
        <v>217</v>
      </c>
      <c r="D24" s="156">
        <v>-36947.415000000001</v>
      </c>
      <c r="E24" s="157">
        <v>-87574.35100000001</v>
      </c>
      <c r="F24" s="157">
        <v>-30325.052000000003</v>
      </c>
      <c r="G24" s="158">
        <f t="shared" si="3"/>
        <v>-154846.818</v>
      </c>
      <c r="H24" s="156">
        <v>-394810.37458240002</v>
      </c>
      <c r="I24" s="157">
        <v>-935768.37591589987</v>
      </c>
      <c r="J24" s="157">
        <v>-328749.71035289997</v>
      </c>
      <c r="K24" s="159">
        <f t="shared" si="0"/>
        <v>-1659328.4608511999</v>
      </c>
      <c r="L24" s="42"/>
      <c r="M24" s="42"/>
      <c r="N24" s="42"/>
      <c r="O24" s="42"/>
      <c r="P24" s="42"/>
      <c r="Q24" s="42"/>
    </row>
    <row r="25" spans="1:17" ht="15" customHeight="1">
      <c r="A25" s="430"/>
      <c r="B25" s="443"/>
      <c r="C25" s="155" t="s">
        <v>65</v>
      </c>
      <c r="D25" s="156">
        <v>22008.581999999999</v>
      </c>
      <c r="E25" s="157">
        <v>-8066.1830000000009</v>
      </c>
      <c r="F25" s="157">
        <v>-2728.8599999999988</v>
      </c>
      <c r="G25" s="158">
        <f t="shared" si="3"/>
        <v>11213.538999999999</v>
      </c>
      <c r="H25" s="156">
        <v>236978.19958240006</v>
      </c>
      <c r="I25" s="157">
        <v>-86180.525084100009</v>
      </c>
      <c r="J25" s="157">
        <v>-29498.028647100073</v>
      </c>
      <c r="K25" s="159">
        <f t="shared" si="0"/>
        <v>121299.6458512</v>
      </c>
      <c r="L25" s="42"/>
      <c r="M25" s="42"/>
      <c r="N25" s="42"/>
      <c r="O25" s="42"/>
      <c r="P25" s="42"/>
      <c r="Q25" s="42"/>
    </row>
    <row r="26" spans="1:17" ht="15" customHeight="1">
      <c r="A26" s="430"/>
      <c r="B26" s="444"/>
      <c r="C26" s="160" t="s">
        <v>25</v>
      </c>
      <c r="D26" s="161">
        <v>-525838.03899999987</v>
      </c>
      <c r="E26" s="162">
        <v>-843361.09899999993</v>
      </c>
      <c r="F26" s="162">
        <v>-487790.516</v>
      </c>
      <c r="G26" s="163">
        <f t="shared" si="3"/>
        <v>-1856989.6539999999</v>
      </c>
      <c r="H26" s="161">
        <v>-5615881.783760001</v>
      </c>
      <c r="I26" s="162">
        <v>-9010155.7275710013</v>
      </c>
      <c r="J26" s="162">
        <v>-5222063.3688020008</v>
      </c>
      <c r="K26" s="164">
        <f t="shared" si="0"/>
        <v>-19848100.880133003</v>
      </c>
      <c r="L26" s="42"/>
      <c r="M26" s="42"/>
      <c r="N26" s="42"/>
      <c r="O26" s="42"/>
      <c r="P26" s="42"/>
      <c r="Q26" s="42"/>
    </row>
    <row r="27" spans="1:17" ht="15" customHeight="1">
      <c r="A27" s="431"/>
      <c r="B27" s="428" t="s">
        <v>54</v>
      </c>
      <c r="C27" s="428"/>
      <c r="D27" s="161">
        <v>984765.67173249077</v>
      </c>
      <c r="E27" s="162">
        <v>1827708.5687324905</v>
      </c>
      <c r="F27" s="162">
        <v>2315068.0007324908</v>
      </c>
      <c r="G27" s="163">
        <f>F27</f>
        <v>2315068.0007324908</v>
      </c>
      <c r="H27" s="161">
        <v>10635719.232981918</v>
      </c>
      <c r="I27" s="162">
        <v>19641272.173558917</v>
      </c>
      <c r="J27" s="162">
        <v>24858633.690210916</v>
      </c>
      <c r="K27" s="164">
        <f>J27</f>
        <v>24858633.690210916</v>
      </c>
      <c r="L27" s="42"/>
      <c r="M27" s="42"/>
      <c r="N27" s="42"/>
      <c r="O27" s="42"/>
      <c r="P27" s="42"/>
      <c r="Q27" s="42"/>
    </row>
    <row r="28" spans="1:17" ht="15" customHeight="1">
      <c r="A28" s="429" t="s">
        <v>50</v>
      </c>
      <c r="B28" s="432" t="s">
        <v>197</v>
      </c>
      <c r="C28" s="165" t="s">
        <v>28</v>
      </c>
      <c r="D28" s="166">
        <v>10346.042000000001</v>
      </c>
      <c r="E28" s="167">
        <v>11384.36</v>
      </c>
      <c r="F28" s="167">
        <v>11496.031999999999</v>
      </c>
      <c r="G28" s="168">
        <f t="shared" si="3"/>
        <v>33226.434000000001</v>
      </c>
      <c r="H28" s="166">
        <v>111947.03259630001</v>
      </c>
      <c r="I28" s="167">
        <v>123109.09401560001</v>
      </c>
      <c r="J28" s="167">
        <v>124493.97690759996</v>
      </c>
      <c r="K28" s="169">
        <f t="shared" si="0"/>
        <v>359550.1035195</v>
      </c>
      <c r="L28" s="42"/>
      <c r="M28" s="42"/>
      <c r="N28" s="42"/>
      <c r="O28" s="42"/>
      <c r="P28" s="42"/>
      <c r="Q28" s="42"/>
    </row>
    <row r="29" spans="1:17" ht="15" customHeight="1">
      <c r="A29" s="430"/>
      <c r="B29" s="433"/>
      <c r="C29" s="155" t="s">
        <v>31</v>
      </c>
      <c r="D29" s="156">
        <v>170.17299999999886</v>
      </c>
      <c r="E29" s="157">
        <v>127.79100000000108</v>
      </c>
      <c r="F29" s="157">
        <v>115.44300000000294</v>
      </c>
      <c r="G29" s="158">
        <f t="shared" si="3"/>
        <v>413.40700000000288</v>
      </c>
      <c r="H29" s="156">
        <v>2134.2149999999965</v>
      </c>
      <c r="I29" s="157">
        <v>1715.3934000000008</v>
      </c>
      <c r="J29" s="157">
        <v>1486.0442000000185</v>
      </c>
      <c r="K29" s="159">
        <f t="shared" si="0"/>
        <v>5335.6526000000158</v>
      </c>
      <c r="L29" s="42"/>
      <c r="M29" s="42"/>
      <c r="N29" s="42"/>
      <c r="O29" s="42"/>
      <c r="P29" s="42"/>
      <c r="Q29" s="42"/>
    </row>
    <row r="30" spans="1:17" ht="15" customHeight="1">
      <c r="A30" s="430"/>
      <c r="B30" s="434"/>
      <c r="C30" s="160" t="s">
        <v>25</v>
      </c>
      <c r="D30" s="161">
        <v>10516.215</v>
      </c>
      <c r="E30" s="162">
        <v>11512.151000000002</v>
      </c>
      <c r="F30" s="162">
        <v>11611.475000000002</v>
      </c>
      <c r="G30" s="163">
        <f t="shared" si="3"/>
        <v>33639.841</v>
      </c>
      <c r="H30" s="161">
        <v>114081.2475963</v>
      </c>
      <c r="I30" s="162">
        <v>124824.48741560002</v>
      </c>
      <c r="J30" s="162">
        <v>125980.02110759998</v>
      </c>
      <c r="K30" s="164">
        <f t="shared" si="0"/>
        <v>364885.75611950003</v>
      </c>
      <c r="L30" s="42"/>
      <c r="M30" s="42"/>
      <c r="N30" s="42"/>
      <c r="O30" s="42"/>
      <c r="P30" s="42"/>
      <c r="Q30" s="42"/>
    </row>
    <row r="31" spans="1:17" ht="15" customHeight="1">
      <c r="A31" s="430"/>
      <c r="B31" s="433" t="s">
        <v>198</v>
      </c>
      <c r="C31" s="155" t="s">
        <v>28</v>
      </c>
      <c r="D31" s="156">
        <v>892.17200000000003</v>
      </c>
      <c r="E31" s="157">
        <v>823.78199999999993</v>
      </c>
      <c r="F31" s="157">
        <v>733.70399999999995</v>
      </c>
      <c r="G31" s="158">
        <f t="shared" si="3"/>
        <v>2449.6579999999999</v>
      </c>
      <c r="H31" s="156">
        <v>9373.6620000000003</v>
      </c>
      <c r="I31" s="157">
        <v>8653.9710000000014</v>
      </c>
      <c r="J31" s="157">
        <v>7722.5470000000005</v>
      </c>
      <c r="K31" s="159">
        <f t="shared" si="0"/>
        <v>25750.18</v>
      </c>
      <c r="L31" s="42"/>
      <c r="M31" s="42"/>
      <c r="N31" s="42"/>
      <c r="O31" s="42"/>
      <c r="P31" s="42"/>
      <c r="Q31" s="42"/>
    </row>
    <row r="32" spans="1:17" ht="15" customHeight="1">
      <c r="A32" s="430"/>
      <c r="B32" s="433"/>
      <c r="C32" s="155" t="s">
        <v>31</v>
      </c>
      <c r="D32" s="156">
        <v>0</v>
      </c>
      <c r="E32" s="157">
        <v>0</v>
      </c>
      <c r="F32" s="157">
        <v>0</v>
      </c>
      <c r="G32" s="158">
        <f t="shared" si="3"/>
        <v>0</v>
      </c>
      <c r="H32" s="156">
        <v>0</v>
      </c>
      <c r="I32" s="157">
        <v>0</v>
      </c>
      <c r="J32" s="157">
        <v>0</v>
      </c>
      <c r="K32" s="159">
        <f t="shared" si="0"/>
        <v>0</v>
      </c>
      <c r="L32" s="42"/>
      <c r="M32" s="42"/>
      <c r="N32" s="42"/>
      <c r="O32" s="42"/>
      <c r="P32" s="42"/>
      <c r="Q32" s="42"/>
    </row>
    <row r="33" spans="1:17" ht="15" customHeight="1">
      <c r="A33" s="430"/>
      <c r="B33" s="434"/>
      <c r="C33" s="160" t="s">
        <v>25</v>
      </c>
      <c r="D33" s="161">
        <v>892.17200000000003</v>
      </c>
      <c r="E33" s="162">
        <v>823.78199999999993</v>
      </c>
      <c r="F33" s="162">
        <v>733.70399999999995</v>
      </c>
      <c r="G33" s="163">
        <f t="shared" si="3"/>
        <v>2449.6579999999999</v>
      </c>
      <c r="H33" s="161">
        <v>9373.6620000000003</v>
      </c>
      <c r="I33" s="162">
        <v>8653.9710000000014</v>
      </c>
      <c r="J33" s="162">
        <v>7722.5470000000005</v>
      </c>
      <c r="K33" s="164">
        <f t="shared" si="0"/>
        <v>25750.18</v>
      </c>
      <c r="L33" s="42"/>
      <c r="M33" s="42"/>
      <c r="N33" s="42"/>
      <c r="O33" s="42"/>
      <c r="P33" s="42"/>
      <c r="Q33" s="42"/>
    </row>
    <row r="34" spans="1:17" ht="15" customHeight="1">
      <c r="A34" s="430"/>
      <c r="B34" s="433" t="s">
        <v>25</v>
      </c>
      <c r="C34" s="155" t="s">
        <v>28</v>
      </c>
      <c r="D34" s="156">
        <v>11238.214000000002</v>
      </c>
      <c r="E34" s="157">
        <v>12208.142</v>
      </c>
      <c r="F34" s="157">
        <v>12229.735999999999</v>
      </c>
      <c r="G34" s="158">
        <f t="shared" si="3"/>
        <v>35676.091999999997</v>
      </c>
      <c r="H34" s="156">
        <v>121320.6945963</v>
      </c>
      <c r="I34" s="157">
        <v>131763.0650156</v>
      </c>
      <c r="J34" s="157">
        <v>132216.52390759997</v>
      </c>
      <c r="K34" s="159">
        <f t="shared" si="0"/>
        <v>385300.28351949999</v>
      </c>
      <c r="L34" s="42"/>
      <c r="M34" s="42"/>
      <c r="N34" s="42"/>
      <c r="O34" s="42"/>
      <c r="P34" s="42"/>
      <c r="Q34" s="42"/>
    </row>
    <row r="35" spans="1:17" ht="15" customHeight="1">
      <c r="A35" s="430"/>
      <c r="B35" s="433"/>
      <c r="C35" s="155" t="s">
        <v>31</v>
      </c>
      <c r="D35" s="156">
        <v>170.17299999999886</v>
      </c>
      <c r="E35" s="157">
        <v>127.79100000000108</v>
      </c>
      <c r="F35" s="157">
        <v>115.44300000000294</v>
      </c>
      <c r="G35" s="158">
        <f t="shared" si="3"/>
        <v>413.40700000000288</v>
      </c>
      <c r="H35" s="156">
        <v>2134.2149999999965</v>
      </c>
      <c r="I35" s="157">
        <v>1715.3934000000008</v>
      </c>
      <c r="J35" s="157">
        <v>1486.0442000000185</v>
      </c>
      <c r="K35" s="159">
        <f t="shared" si="0"/>
        <v>5335.6526000000158</v>
      </c>
      <c r="L35" s="42"/>
      <c r="M35" s="42"/>
      <c r="N35" s="42"/>
      <c r="O35" s="42"/>
      <c r="P35" s="42"/>
      <c r="Q35" s="42"/>
    </row>
    <row r="36" spans="1:17" ht="15" customHeight="1">
      <c r="A36" s="431"/>
      <c r="B36" s="434"/>
      <c r="C36" s="160" t="s">
        <v>25</v>
      </c>
      <c r="D36" s="161">
        <v>11408.387000000001</v>
      </c>
      <c r="E36" s="162">
        <v>12335.933000000001</v>
      </c>
      <c r="F36" s="162">
        <v>12345.179000000002</v>
      </c>
      <c r="G36" s="163">
        <f t="shared" si="3"/>
        <v>36089.499000000003</v>
      </c>
      <c r="H36" s="161">
        <v>123454.9095963</v>
      </c>
      <c r="I36" s="162">
        <v>133478.45841560001</v>
      </c>
      <c r="J36" s="162">
        <v>133702.56810759997</v>
      </c>
      <c r="K36" s="164">
        <f t="shared" si="0"/>
        <v>390635.93611949997</v>
      </c>
      <c r="L36" s="42"/>
      <c r="M36" s="42"/>
      <c r="N36" s="42"/>
      <c r="O36" s="42"/>
      <c r="P36" s="42"/>
      <c r="Q36" s="42"/>
    </row>
    <row r="37" spans="1:17" ht="15" customHeight="1">
      <c r="A37" s="429" t="s">
        <v>64</v>
      </c>
      <c r="B37" s="432" t="s">
        <v>53</v>
      </c>
      <c r="C37" s="165" t="s">
        <v>67</v>
      </c>
      <c r="D37" s="166">
        <v>661876.62477420212</v>
      </c>
      <c r="E37" s="167">
        <v>354265.12075560493</v>
      </c>
      <c r="F37" s="167">
        <v>290112.75487816072</v>
      </c>
      <c r="G37" s="168">
        <f t="shared" si="3"/>
        <v>1306254.5004079677</v>
      </c>
      <c r="H37" s="166">
        <v>7135582.4177739071</v>
      </c>
      <c r="I37" s="167">
        <v>3807020.5754149775</v>
      </c>
      <c r="J37" s="167">
        <v>3143930.7490730151</v>
      </c>
      <c r="K37" s="169">
        <f t="shared" si="0"/>
        <v>14086533.7422619</v>
      </c>
      <c r="L37" s="42"/>
      <c r="M37" s="42"/>
      <c r="N37" s="42"/>
      <c r="O37" s="42"/>
      <c r="P37" s="42"/>
      <c r="Q37" s="42"/>
    </row>
    <row r="38" spans="1:17" ht="15" customHeight="1">
      <c r="A38" s="430"/>
      <c r="B38" s="433"/>
      <c r="C38" s="155" t="s">
        <v>29</v>
      </c>
      <c r="D38" s="156">
        <v>4091.8769147968105</v>
      </c>
      <c r="E38" s="157">
        <v>2032.2642988143184</v>
      </c>
      <c r="F38" s="157">
        <v>75.864098892910278</v>
      </c>
      <c r="G38" s="158">
        <f t="shared" si="3"/>
        <v>6200.0053125040386</v>
      </c>
      <c r="H38" s="156">
        <v>44163.853879999944</v>
      </c>
      <c r="I38" s="157">
        <v>21866.886779999943</v>
      </c>
      <c r="J38" s="157">
        <v>917.4377899999381</v>
      </c>
      <c r="K38" s="159">
        <f t="shared" si="0"/>
        <v>66948.178449999832</v>
      </c>
      <c r="L38" s="42"/>
      <c r="M38" s="42"/>
      <c r="N38" s="42"/>
      <c r="O38" s="42"/>
      <c r="P38" s="42"/>
      <c r="Q38" s="42"/>
    </row>
    <row r="39" spans="1:17" ht="15" customHeight="1">
      <c r="A39" s="430"/>
      <c r="B39" s="434"/>
      <c r="C39" s="160" t="s">
        <v>25</v>
      </c>
      <c r="D39" s="161">
        <v>665968.50168899889</v>
      </c>
      <c r="E39" s="162">
        <v>356297.38505441922</v>
      </c>
      <c r="F39" s="162">
        <v>290188.61897705361</v>
      </c>
      <c r="G39" s="163">
        <f t="shared" si="3"/>
        <v>1312454.5057204717</v>
      </c>
      <c r="H39" s="161">
        <v>7179746.2716539074</v>
      </c>
      <c r="I39" s="162">
        <v>3828887.4621949773</v>
      </c>
      <c r="J39" s="162">
        <v>3144848.1868630149</v>
      </c>
      <c r="K39" s="164">
        <f t="shared" si="0"/>
        <v>14153481.920711899</v>
      </c>
      <c r="L39" s="42"/>
      <c r="M39" s="42"/>
      <c r="N39" s="42"/>
      <c r="O39" s="42"/>
      <c r="P39" s="42"/>
      <c r="Q39" s="42"/>
    </row>
    <row r="40" spans="1:17" ht="15" customHeight="1">
      <c r="A40" s="430"/>
      <c r="B40" s="432" t="s">
        <v>199</v>
      </c>
      <c r="C40" s="165" t="s">
        <v>67</v>
      </c>
      <c r="D40" s="166">
        <v>892.17199999999991</v>
      </c>
      <c r="E40" s="167">
        <v>803.03200000000004</v>
      </c>
      <c r="F40" s="167">
        <v>713.56600000000003</v>
      </c>
      <c r="G40" s="168">
        <f t="shared" si="3"/>
        <v>2408.77</v>
      </c>
      <c r="H40" s="166">
        <v>9373.6620000000003</v>
      </c>
      <c r="I40" s="167">
        <v>8432.244999999999</v>
      </c>
      <c r="J40" s="167">
        <v>7507.3600000000006</v>
      </c>
      <c r="K40" s="169">
        <f t="shared" si="0"/>
        <v>25313.267</v>
      </c>
      <c r="L40" s="42"/>
      <c r="M40" s="42"/>
      <c r="N40" s="42"/>
      <c r="O40" s="42"/>
      <c r="P40" s="42"/>
      <c r="Q40" s="42"/>
    </row>
    <row r="41" spans="1:17" ht="15" customHeight="1">
      <c r="A41" s="430"/>
      <c r="B41" s="433"/>
      <c r="C41" s="155" t="s">
        <v>29</v>
      </c>
      <c r="D41" s="156">
        <v>0</v>
      </c>
      <c r="E41" s="157">
        <v>0</v>
      </c>
      <c r="F41" s="157">
        <v>0</v>
      </c>
      <c r="G41" s="158">
        <f t="shared" si="3"/>
        <v>0</v>
      </c>
      <c r="H41" s="156">
        <v>0</v>
      </c>
      <c r="I41" s="157">
        <v>0</v>
      </c>
      <c r="J41" s="157">
        <v>0</v>
      </c>
      <c r="K41" s="159">
        <f t="shared" si="0"/>
        <v>0</v>
      </c>
      <c r="L41" s="42"/>
      <c r="M41" s="42"/>
      <c r="N41" s="42"/>
      <c r="O41" s="42"/>
      <c r="P41" s="42"/>
      <c r="Q41" s="42"/>
    </row>
    <row r="42" spans="1:17" ht="15" customHeight="1">
      <c r="A42" s="430"/>
      <c r="B42" s="434"/>
      <c r="C42" s="160" t="s">
        <v>25</v>
      </c>
      <c r="D42" s="161">
        <v>892.17199999999991</v>
      </c>
      <c r="E42" s="162">
        <v>803.03200000000004</v>
      </c>
      <c r="F42" s="162">
        <v>713.56600000000003</v>
      </c>
      <c r="G42" s="163">
        <f t="shared" si="3"/>
        <v>2408.77</v>
      </c>
      <c r="H42" s="161">
        <v>9373.6620000000003</v>
      </c>
      <c r="I42" s="162">
        <v>8432.244999999999</v>
      </c>
      <c r="J42" s="162">
        <v>7507.3600000000006</v>
      </c>
      <c r="K42" s="164">
        <f t="shared" si="0"/>
        <v>25313.267</v>
      </c>
      <c r="L42" s="42"/>
      <c r="M42" s="42"/>
      <c r="N42" s="42"/>
      <c r="O42" s="42"/>
      <c r="P42" s="42"/>
      <c r="Q42" s="42"/>
    </row>
    <row r="43" spans="1:17" ht="15" customHeight="1">
      <c r="A43" s="430"/>
      <c r="B43" s="435" t="s">
        <v>86</v>
      </c>
      <c r="C43" s="435"/>
      <c r="D43" s="170">
        <v>170.17299999999886</v>
      </c>
      <c r="E43" s="171">
        <v>127.79100000000108</v>
      </c>
      <c r="F43" s="171">
        <v>115.44300000000294</v>
      </c>
      <c r="G43" s="172">
        <f t="shared" si="3"/>
        <v>413.40700000000288</v>
      </c>
      <c r="H43" s="170">
        <v>2134.2149999999965</v>
      </c>
      <c r="I43" s="171">
        <v>1715.3934000000008</v>
      </c>
      <c r="J43" s="171">
        <v>1486.0442000000185</v>
      </c>
      <c r="K43" s="173">
        <f t="shared" si="0"/>
        <v>5335.6526000000158</v>
      </c>
      <c r="L43" s="42"/>
      <c r="M43" s="42"/>
      <c r="N43" s="42"/>
      <c r="O43" s="42"/>
      <c r="P43" s="42"/>
      <c r="Q43" s="42"/>
    </row>
    <row r="44" spans="1:17" ht="15" customHeight="1">
      <c r="A44" s="430"/>
      <c r="B44" s="435" t="s">
        <v>85</v>
      </c>
      <c r="C44" s="435"/>
      <c r="D44" s="170">
        <v>1783.6729999999998</v>
      </c>
      <c r="E44" s="171">
        <v>29203.808999999994</v>
      </c>
      <c r="F44" s="171">
        <v>43868.699000000001</v>
      </c>
      <c r="G44" s="172">
        <f t="shared" si="3"/>
        <v>74856.180999999997</v>
      </c>
      <c r="H44" s="170">
        <v>19423.269179999999</v>
      </c>
      <c r="I44" s="171">
        <v>314275.29904599994</v>
      </c>
      <c r="J44" s="171">
        <v>479777.85072099994</v>
      </c>
      <c r="K44" s="173">
        <f t="shared" si="0"/>
        <v>813476.41894699982</v>
      </c>
      <c r="L44" s="42"/>
      <c r="M44" s="42"/>
      <c r="N44" s="42"/>
      <c r="O44" s="42"/>
      <c r="P44" s="42"/>
      <c r="Q44" s="42"/>
    </row>
    <row r="45" spans="1:17" ht="15" customHeight="1">
      <c r="A45" s="430"/>
      <c r="B45" s="433" t="s">
        <v>30</v>
      </c>
      <c r="C45" s="155" t="s">
        <v>67</v>
      </c>
      <c r="D45" s="156">
        <v>664552.46977420209</v>
      </c>
      <c r="E45" s="157">
        <v>384271.96175560495</v>
      </c>
      <c r="F45" s="157">
        <v>334695.01987816073</v>
      </c>
      <c r="G45" s="158">
        <f t="shared" si="3"/>
        <v>1383519.4514079676</v>
      </c>
      <c r="H45" s="156">
        <v>7164379.3489539064</v>
      </c>
      <c r="I45" s="157">
        <v>4129728.1194609776</v>
      </c>
      <c r="J45" s="157">
        <v>3631215.9597940147</v>
      </c>
      <c r="K45" s="159">
        <f t="shared" si="0"/>
        <v>14925323.428208899</v>
      </c>
      <c r="L45" s="42"/>
      <c r="M45" s="42"/>
      <c r="N45" s="42"/>
      <c r="O45" s="42"/>
      <c r="P45" s="42"/>
      <c r="Q45" s="42"/>
    </row>
    <row r="46" spans="1:17" ht="15" customHeight="1">
      <c r="A46" s="430"/>
      <c r="B46" s="433"/>
      <c r="C46" s="155" t="s">
        <v>94</v>
      </c>
      <c r="D46" s="156">
        <v>6809.6798347968088</v>
      </c>
      <c r="E46" s="157">
        <v>4624.210398814319</v>
      </c>
      <c r="F46" s="157">
        <v>1659.4749988929132</v>
      </c>
      <c r="G46" s="158">
        <f t="shared" si="3"/>
        <v>13093.36523250404</v>
      </c>
      <c r="H46" s="156">
        <v>73604.566568999944</v>
      </c>
      <c r="I46" s="157">
        <v>49929.173227999949</v>
      </c>
      <c r="J46" s="157">
        <v>18307.459182999955</v>
      </c>
      <c r="K46" s="159">
        <f t="shared" si="0"/>
        <v>141841.19897999987</v>
      </c>
      <c r="L46" s="42"/>
      <c r="M46" s="42"/>
      <c r="N46" s="42"/>
      <c r="O46" s="42"/>
      <c r="P46" s="42"/>
      <c r="Q46" s="42"/>
    </row>
    <row r="47" spans="1:17" ht="15" customHeight="1">
      <c r="A47" s="431"/>
      <c r="B47" s="434"/>
      <c r="C47" s="160" t="s">
        <v>25</v>
      </c>
      <c r="D47" s="161">
        <v>671362.14960899891</v>
      </c>
      <c r="E47" s="162">
        <v>388896.17215441924</v>
      </c>
      <c r="F47" s="162">
        <v>336354.49487705366</v>
      </c>
      <c r="G47" s="163">
        <f>SUM(D47:F47)</f>
        <v>1396612.8166404718</v>
      </c>
      <c r="H47" s="161">
        <v>7237983.915522906</v>
      </c>
      <c r="I47" s="162">
        <v>4179657.2926889774</v>
      </c>
      <c r="J47" s="162">
        <v>3649523.4189770147</v>
      </c>
      <c r="K47" s="164">
        <f t="shared" si="0"/>
        <v>15067164.627188899</v>
      </c>
      <c r="L47" s="42"/>
      <c r="M47" s="42"/>
      <c r="N47" s="42"/>
      <c r="O47" s="42"/>
      <c r="P47" s="42"/>
      <c r="Q47" s="42"/>
    </row>
    <row r="48" spans="1:17" ht="0.95" customHeight="1">
      <c r="A48" s="152"/>
      <c r="B48" s="153"/>
      <c r="C48" s="174"/>
      <c r="D48" s="156"/>
      <c r="E48" s="157"/>
      <c r="F48" s="157"/>
      <c r="G48" s="158"/>
      <c r="H48" s="156"/>
      <c r="I48" s="157"/>
      <c r="J48" s="157"/>
      <c r="K48" s="159"/>
      <c r="L48" s="42"/>
      <c r="M48" s="42"/>
      <c r="N48" s="42"/>
      <c r="O48" s="42"/>
      <c r="P48" s="42"/>
      <c r="Q48" s="42"/>
    </row>
    <row r="49" spans="1:17" ht="0.95" customHeight="1">
      <c r="A49" s="152"/>
      <c r="B49" s="153"/>
      <c r="C49" s="174"/>
      <c r="D49" s="156"/>
      <c r="E49" s="157"/>
      <c r="F49" s="157"/>
      <c r="G49" s="158"/>
      <c r="H49" s="156"/>
      <c r="I49" s="157"/>
      <c r="J49" s="157"/>
      <c r="K49" s="159"/>
      <c r="L49" s="42"/>
      <c r="M49" s="42"/>
      <c r="N49" s="42"/>
      <c r="O49" s="42"/>
      <c r="P49" s="42"/>
      <c r="Q49" s="42"/>
    </row>
    <row r="50" spans="1:17" ht="0.95" customHeight="1">
      <c r="A50" s="152"/>
      <c r="B50" s="153"/>
      <c r="C50" s="174"/>
      <c r="D50" s="156"/>
      <c r="E50" s="157"/>
      <c r="F50" s="157"/>
      <c r="G50" s="158"/>
      <c r="H50" s="156"/>
      <c r="I50" s="157"/>
      <c r="J50" s="157"/>
      <c r="K50" s="159"/>
      <c r="L50" s="42"/>
      <c r="M50" s="42"/>
      <c r="N50" s="42"/>
      <c r="O50" s="42"/>
      <c r="P50" s="42"/>
      <c r="Q50" s="42"/>
    </row>
    <row r="51" spans="1:17" ht="15" customHeight="1">
      <c r="A51" s="428" t="s">
        <v>97</v>
      </c>
      <c r="B51" s="428"/>
      <c r="C51" s="428"/>
      <c r="D51" s="161">
        <v>-9751.5409764110809</v>
      </c>
      <c r="E51" s="162">
        <v>1555.4247744700988</v>
      </c>
      <c r="F51" s="162">
        <v>3492.3493485855288</v>
      </c>
      <c r="G51" s="163">
        <f t="shared" si="3"/>
        <v>-4703.7668533554533</v>
      </c>
      <c r="H51" s="161">
        <v>-73537.115569694899</v>
      </c>
      <c r="I51" s="162">
        <v>47682.356765184551</v>
      </c>
      <c r="J51" s="162">
        <v>65899.671437519137</v>
      </c>
      <c r="K51" s="164">
        <f>SUM(H51:J51)</f>
        <v>40044.912633008789</v>
      </c>
      <c r="L51" s="42"/>
      <c r="M51" s="42"/>
      <c r="N51" s="42"/>
      <c r="O51" s="42"/>
      <c r="P51" s="42"/>
      <c r="Q51" s="42"/>
    </row>
    <row r="52" spans="1:17" ht="5.0999999999999996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M52" s="42"/>
    </row>
    <row r="53" spans="1:17">
      <c r="A53" s="436" t="s">
        <v>204</v>
      </c>
      <c r="B53" s="436"/>
      <c r="C53" s="436"/>
      <c r="D53" s="436"/>
      <c r="E53" s="436"/>
      <c r="F53" s="436"/>
      <c r="G53" s="436"/>
      <c r="H53" s="436"/>
      <c r="I53" s="436"/>
      <c r="J53" s="436"/>
      <c r="K53" s="436"/>
    </row>
    <row r="54" spans="1:17">
      <c r="A54" s="436"/>
      <c r="B54" s="436"/>
      <c r="C54" s="436"/>
      <c r="D54" s="436"/>
      <c r="E54" s="436"/>
      <c r="F54" s="436"/>
      <c r="G54" s="436"/>
      <c r="H54" s="436"/>
      <c r="I54" s="436"/>
      <c r="J54" s="436"/>
      <c r="K54" s="436"/>
    </row>
    <row r="55" spans="1:17">
      <c r="A55" s="436"/>
      <c r="B55" s="436"/>
      <c r="C55" s="436"/>
      <c r="D55" s="436"/>
      <c r="E55" s="436"/>
      <c r="F55" s="436"/>
      <c r="G55" s="436"/>
      <c r="H55" s="436"/>
      <c r="I55" s="436"/>
      <c r="J55" s="436"/>
      <c r="K55" s="436"/>
    </row>
    <row r="56" spans="1:17">
      <c r="A56" s="436"/>
      <c r="B56" s="436"/>
      <c r="C56" s="436"/>
      <c r="D56" s="436"/>
      <c r="E56" s="436"/>
      <c r="F56" s="436"/>
      <c r="G56" s="436"/>
      <c r="H56" s="436"/>
      <c r="I56" s="436"/>
      <c r="J56" s="436"/>
      <c r="K56" s="436"/>
    </row>
  </sheetData>
  <mergeCells count="25">
    <mergeCell ref="A53:K56"/>
    <mergeCell ref="A2:K2"/>
    <mergeCell ref="D3:K3"/>
    <mergeCell ref="D4:G4"/>
    <mergeCell ref="H4:K4"/>
    <mergeCell ref="B6:B8"/>
    <mergeCell ref="B9:B11"/>
    <mergeCell ref="B12:B14"/>
    <mergeCell ref="A6:A14"/>
    <mergeCell ref="B15:B18"/>
    <mergeCell ref="B19:B22"/>
    <mergeCell ref="B23:B26"/>
    <mergeCell ref="A15:A27"/>
    <mergeCell ref="B27:C27"/>
    <mergeCell ref="B45:B47"/>
    <mergeCell ref="A37:A47"/>
    <mergeCell ref="A51:C51"/>
    <mergeCell ref="A28:A36"/>
    <mergeCell ref="B28:B30"/>
    <mergeCell ref="B31:B33"/>
    <mergeCell ref="B34:B36"/>
    <mergeCell ref="B37:B39"/>
    <mergeCell ref="B40:B42"/>
    <mergeCell ref="B43:C43"/>
    <mergeCell ref="B44:C4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activeCell="E1" sqref="E1"/>
    </sheetView>
  </sheetViews>
  <sheetFormatPr defaultRowHeight="11.25"/>
  <cols>
    <col min="1" max="1" width="8.28515625" style="12" customWidth="1"/>
    <col min="2" max="7" width="7.28515625" style="12" customWidth="1"/>
    <col min="8" max="8" width="6.7109375" style="12" customWidth="1"/>
    <col min="9" max="10" width="8.28515625" style="12" customWidth="1"/>
    <col min="11" max="11" width="8" style="12" customWidth="1"/>
    <col min="12" max="12" width="7.7109375" style="12" customWidth="1"/>
    <col min="13" max="16" width="7.42578125" style="12" customWidth="1"/>
    <col min="17" max="17" width="6.7109375" style="12" customWidth="1"/>
    <col min="18" max="18" width="8.28515625" style="12" customWidth="1"/>
    <col min="19" max="19" width="8.140625" style="12" customWidth="1"/>
    <col min="20" max="20" width="9.28515625" style="12" bestFit="1" customWidth="1"/>
    <col min="21" max="21" width="11.42578125" style="12" bestFit="1" customWidth="1"/>
    <col min="22" max="260" width="9.140625" style="12"/>
    <col min="261" max="273" width="10.7109375" style="12" customWidth="1"/>
    <col min="274" max="516" width="9.140625" style="12"/>
    <col min="517" max="529" width="10.7109375" style="12" customWidth="1"/>
    <col min="530" max="772" width="9.140625" style="12"/>
    <col min="773" max="785" width="10.7109375" style="12" customWidth="1"/>
    <col min="786" max="1028" width="9.140625" style="12"/>
    <col min="1029" max="1041" width="10.7109375" style="12" customWidth="1"/>
    <col min="1042" max="1284" width="9.140625" style="12"/>
    <col min="1285" max="1297" width="10.7109375" style="12" customWidth="1"/>
    <col min="1298" max="1540" width="9.140625" style="12"/>
    <col min="1541" max="1553" width="10.7109375" style="12" customWidth="1"/>
    <col min="1554" max="1796" width="9.140625" style="12"/>
    <col min="1797" max="1809" width="10.7109375" style="12" customWidth="1"/>
    <col min="1810" max="2052" width="9.140625" style="12"/>
    <col min="2053" max="2065" width="10.7109375" style="12" customWidth="1"/>
    <col min="2066" max="2308" width="9.140625" style="12"/>
    <col min="2309" max="2321" width="10.7109375" style="12" customWidth="1"/>
    <col min="2322" max="2564" width="9.140625" style="12"/>
    <col min="2565" max="2577" width="10.7109375" style="12" customWidth="1"/>
    <col min="2578" max="2820" width="9.140625" style="12"/>
    <col min="2821" max="2833" width="10.7109375" style="12" customWidth="1"/>
    <col min="2834" max="3076" width="9.140625" style="12"/>
    <col min="3077" max="3089" width="10.7109375" style="12" customWidth="1"/>
    <col min="3090" max="3332" width="9.140625" style="12"/>
    <col min="3333" max="3345" width="10.7109375" style="12" customWidth="1"/>
    <col min="3346" max="3588" width="9.140625" style="12"/>
    <col min="3589" max="3601" width="10.7109375" style="12" customWidth="1"/>
    <col min="3602" max="3844" width="9.140625" style="12"/>
    <col min="3845" max="3857" width="10.7109375" style="12" customWidth="1"/>
    <col min="3858" max="4100" width="9.140625" style="12"/>
    <col min="4101" max="4113" width="10.7109375" style="12" customWidth="1"/>
    <col min="4114" max="4356" width="9.140625" style="12"/>
    <col min="4357" max="4369" width="10.7109375" style="12" customWidth="1"/>
    <col min="4370" max="4612" width="9.140625" style="12"/>
    <col min="4613" max="4625" width="10.7109375" style="12" customWidth="1"/>
    <col min="4626" max="4868" width="9.140625" style="12"/>
    <col min="4869" max="4881" width="10.7109375" style="12" customWidth="1"/>
    <col min="4882" max="5124" width="9.140625" style="12"/>
    <col min="5125" max="5137" width="10.7109375" style="12" customWidth="1"/>
    <col min="5138" max="5380" width="9.140625" style="12"/>
    <col min="5381" max="5393" width="10.7109375" style="12" customWidth="1"/>
    <col min="5394" max="5636" width="9.140625" style="12"/>
    <col min="5637" max="5649" width="10.7109375" style="12" customWidth="1"/>
    <col min="5650" max="5892" width="9.140625" style="12"/>
    <col min="5893" max="5905" width="10.7109375" style="12" customWidth="1"/>
    <col min="5906" max="6148" width="9.140625" style="12"/>
    <col min="6149" max="6161" width="10.7109375" style="12" customWidth="1"/>
    <col min="6162" max="6404" width="9.140625" style="12"/>
    <col min="6405" max="6417" width="10.7109375" style="12" customWidth="1"/>
    <col min="6418" max="6660" width="9.140625" style="12"/>
    <col min="6661" max="6673" width="10.7109375" style="12" customWidth="1"/>
    <col min="6674" max="6916" width="9.140625" style="12"/>
    <col min="6917" max="6929" width="10.7109375" style="12" customWidth="1"/>
    <col min="6930" max="7172" width="9.140625" style="12"/>
    <col min="7173" max="7185" width="10.7109375" style="12" customWidth="1"/>
    <col min="7186" max="7428" width="9.140625" style="12"/>
    <col min="7429" max="7441" width="10.7109375" style="12" customWidth="1"/>
    <col min="7442" max="7684" width="9.140625" style="12"/>
    <col min="7685" max="7697" width="10.7109375" style="12" customWidth="1"/>
    <col min="7698" max="7940" width="9.140625" style="12"/>
    <col min="7941" max="7953" width="10.7109375" style="12" customWidth="1"/>
    <col min="7954" max="8196" width="9.140625" style="12"/>
    <col min="8197" max="8209" width="10.7109375" style="12" customWidth="1"/>
    <col min="8210" max="8452" width="9.140625" style="12"/>
    <col min="8453" max="8465" width="10.7109375" style="12" customWidth="1"/>
    <col min="8466" max="8708" width="9.140625" style="12"/>
    <col min="8709" max="8721" width="10.7109375" style="12" customWidth="1"/>
    <col min="8722" max="8964" width="9.140625" style="12"/>
    <col min="8965" max="8977" width="10.7109375" style="12" customWidth="1"/>
    <col min="8978" max="9220" width="9.140625" style="12"/>
    <col min="9221" max="9233" width="10.7109375" style="12" customWidth="1"/>
    <col min="9234" max="9476" width="9.140625" style="12"/>
    <col min="9477" max="9489" width="10.7109375" style="12" customWidth="1"/>
    <col min="9490" max="9732" width="9.140625" style="12"/>
    <col min="9733" max="9745" width="10.7109375" style="12" customWidth="1"/>
    <col min="9746" max="9988" width="9.140625" style="12"/>
    <col min="9989" max="10001" width="10.7109375" style="12" customWidth="1"/>
    <col min="10002" max="10244" width="9.140625" style="12"/>
    <col min="10245" max="10257" width="10.7109375" style="12" customWidth="1"/>
    <col min="10258" max="10500" width="9.140625" style="12"/>
    <col min="10501" max="10513" width="10.7109375" style="12" customWidth="1"/>
    <col min="10514" max="10756" width="9.140625" style="12"/>
    <col min="10757" max="10769" width="10.7109375" style="12" customWidth="1"/>
    <col min="10770" max="11012" width="9.140625" style="12"/>
    <col min="11013" max="11025" width="10.7109375" style="12" customWidth="1"/>
    <col min="11026" max="11268" width="9.140625" style="12"/>
    <col min="11269" max="11281" width="10.7109375" style="12" customWidth="1"/>
    <col min="11282" max="11524" width="9.140625" style="12"/>
    <col min="11525" max="11537" width="10.7109375" style="12" customWidth="1"/>
    <col min="11538" max="11780" width="9.140625" style="12"/>
    <col min="11781" max="11793" width="10.7109375" style="12" customWidth="1"/>
    <col min="11794" max="12036" width="9.140625" style="12"/>
    <col min="12037" max="12049" width="10.7109375" style="12" customWidth="1"/>
    <col min="12050" max="12292" width="9.140625" style="12"/>
    <col min="12293" max="12305" width="10.7109375" style="12" customWidth="1"/>
    <col min="12306" max="12548" width="9.140625" style="12"/>
    <col min="12549" max="12561" width="10.7109375" style="12" customWidth="1"/>
    <col min="12562" max="12804" width="9.140625" style="12"/>
    <col min="12805" max="12817" width="10.7109375" style="12" customWidth="1"/>
    <col min="12818" max="13060" width="9.140625" style="12"/>
    <col min="13061" max="13073" width="10.7109375" style="12" customWidth="1"/>
    <col min="13074" max="13316" width="9.140625" style="12"/>
    <col min="13317" max="13329" width="10.7109375" style="12" customWidth="1"/>
    <col min="13330" max="13572" width="9.140625" style="12"/>
    <col min="13573" max="13585" width="10.7109375" style="12" customWidth="1"/>
    <col min="13586" max="13828" width="9.140625" style="12"/>
    <col min="13829" max="13841" width="10.7109375" style="12" customWidth="1"/>
    <col min="13842" max="14084" width="9.140625" style="12"/>
    <col min="14085" max="14097" width="10.7109375" style="12" customWidth="1"/>
    <col min="14098" max="14340" width="9.140625" style="12"/>
    <col min="14341" max="14353" width="10.7109375" style="12" customWidth="1"/>
    <col min="14354" max="14596" width="9.140625" style="12"/>
    <col min="14597" max="14609" width="10.7109375" style="12" customWidth="1"/>
    <col min="14610" max="14852" width="9.140625" style="12"/>
    <col min="14853" max="14865" width="10.7109375" style="12" customWidth="1"/>
    <col min="14866" max="15108" width="9.140625" style="12"/>
    <col min="15109" max="15121" width="10.7109375" style="12" customWidth="1"/>
    <col min="15122" max="15364" width="9.140625" style="12"/>
    <col min="15365" max="15377" width="10.7109375" style="12" customWidth="1"/>
    <col min="15378" max="15620" width="9.140625" style="12"/>
    <col min="15621" max="15633" width="10.7109375" style="12" customWidth="1"/>
    <col min="15634" max="15876" width="9.140625" style="12"/>
    <col min="15877" max="15889" width="10.7109375" style="12" customWidth="1"/>
    <col min="15890" max="16132" width="9.140625" style="12"/>
    <col min="16133" max="16145" width="10.7109375" style="12" customWidth="1"/>
    <col min="16146" max="16384" width="9.140625" style="12"/>
  </cols>
  <sheetData>
    <row r="1" spans="1:23" ht="18">
      <c r="A1" s="451" t="s">
        <v>297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</row>
    <row r="2" spans="1:23" ht="6" customHeight="1">
      <c r="A2" s="176"/>
      <c r="B2" s="449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</row>
    <row r="3" spans="1:23" ht="15.95" customHeight="1">
      <c r="A3" s="206">
        <f>'3.1'!A4</f>
        <v>2022</v>
      </c>
      <c r="B3" s="457" t="s">
        <v>264</v>
      </c>
      <c r="C3" s="458"/>
      <c r="D3" s="458"/>
      <c r="E3" s="458"/>
      <c r="F3" s="458"/>
      <c r="G3" s="458"/>
      <c r="H3" s="458"/>
      <c r="I3" s="458"/>
      <c r="J3" s="459"/>
      <c r="K3" s="458" t="s">
        <v>222</v>
      </c>
      <c r="L3" s="458"/>
      <c r="M3" s="458"/>
      <c r="N3" s="458"/>
      <c r="O3" s="458"/>
      <c r="P3" s="458"/>
      <c r="Q3" s="458"/>
      <c r="R3" s="458"/>
      <c r="S3" s="458"/>
    </row>
    <row r="4" spans="1:23" ht="34.5" customHeight="1">
      <c r="A4" s="192"/>
      <c r="B4" s="446" t="s">
        <v>193</v>
      </c>
      <c r="C4" s="447"/>
      <c r="D4" s="447"/>
      <c r="E4" s="446" t="s">
        <v>194</v>
      </c>
      <c r="F4" s="447"/>
      <c r="G4" s="452"/>
      <c r="H4" s="453" t="s">
        <v>251</v>
      </c>
      <c r="I4" s="453" t="s">
        <v>190</v>
      </c>
      <c r="J4" s="455" t="s">
        <v>64</v>
      </c>
      <c r="K4" s="446" t="s">
        <v>193</v>
      </c>
      <c r="L4" s="447"/>
      <c r="M4" s="447"/>
      <c r="N4" s="446" t="s">
        <v>194</v>
      </c>
      <c r="O4" s="447"/>
      <c r="P4" s="452"/>
      <c r="Q4" s="453" t="s">
        <v>251</v>
      </c>
      <c r="R4" s="453" t="s">
        <v>190</v>
      </c>
      <c r="S4" s="453" t="s">
        <v>64</v>
      </c>
    </row>
    <row r="5" spans="1:23" ht="33.75">
      <c r="A5" s="193"/>
      <c r="B5" s="194" t="s">
        <v>21</v>
      </c>
      <c r="C5" s="195" t="s">
        <v>22</v>
      </c>
      <c r="D5" s="195" t="s">
        <v>192</v>
      </c>
      <c r="E5" s="194" t="s">
        <v>26</v>
      </c>
      <c r="F5" s="195" t="s">
        <v>27</v>
      </c>
      <c r="G5" s="196" t="s">
        <v>191</v>
      </c>
      <c r="H5" s="454"/>
      <c r="I5" s="454"/>
      <c r="J5" s="456"/>
      <c r="K5" s="195" t="s">
        <v>21</v>
      </c>
      <c r="L5" s="195" t="s">
        <v>22</v>
      </c>
      <c r="M5" s="195" t="s">
        <v>192</v>
      </c>
      <c r="N5" s="194" t="s">
        <v>26</v>
      </c>
      <c r="O5" s="195" t="s">
        <v>27</v>
      </c>
      <c r="P5" s="196" t="s">
        <v>191</v>
      </c>
      <c r="Q5" s="454"/>
      <c r="R5" s="454"/>
      <c r="S5" s="454"/>
    </row>
    <row r="6" spans="1:23" ht="12" customHeight="1">
      <c r="A6" s="177" t="s">
        <v>161</v>
      </c>
      <c r="B6" s="184">
        <v>3368.4318376071833</v>
      </c>
      <c r="C6" s="178">
        <v>2936.875920396245</v>
      </c>
      <c r="D6" s="179">
        <v>431.55591721093833</v>
      </c>
      <c r="E6" s="190">
        <v>678.60557000000006</v>
      </c>
      <c r="F6" s="179">
        <v>2.2123170000000001</v>
      </c>
      <c r="G6" s="186">
        <v>676.39325300000007</v>
      </c>
      <c r="H6" s="179">
        <v>12.437685999999999</v>
      </c>
      <c r="I6" s="179">
        <v>13.875976986970054</v>
      </c>
      <c r="J6" s="186">
        <v>1134.2628331979085</v>
      </c>
      <c r="K6" s="178">
        <v>35946.549281425003</v>
      </c>
      <c r="L6" s="178">
        <v>31350.171766865897</v>
      </c>
      <c r="M6" s="179">
        <v>4596.3775145591062</v>
      </c>
      <c r="N6" s="190">
        <v>7240.7298269999992</v>
      </c>
      <c r="O6" s="179">
        <v>23.541039282000007</v>
      </c>
      <c r="P6" s="186">
        <v>7217.1887877179988</v>
      </c>
      <c r="Q6" s="179">
        <v>134.89672163059998</v>
      </c>
      <c r="R6" s="179">
        <v>170.32658545830287</v>
      </c>
      <c r="S6" s="179">
        <v>12118.789609366004</v>
      </c>
      <c r="T6" s="56"/>
      <c r="U6" s="57"/>
      <c r="V6" s="57"/>
      <c r="W6" s="57"/>
    </row>
    <row r="7" spans="1:23" ht="12" customHeight="1">
      <c r="A7" s="177" t="s">
        <v>162</v>
      </c>
      <c r="B7" s="184">
        <v>3030.8876179384415</v>
      </c>
      <c r="C7" s="179">
        <v>2527.7966007449631</v>
      </c>
      <c r="D7" s="179">
        <v>503.09101719347836</v>
      </c>
      <c r="E7" s="190">
        <v>384.90369700000002</v>
      </c>
      <c r="F7" s="179">
        <v>13.730227999999999</v>
      </c>
      <c r="G7" s="186">
        <v>371.17346900000001</v>
      </c>
      <c r="H7" s="179">
        <v>10.942409000000001</v>
      </c>
      <c r="I7" s="179">
        <v>5.2935049002591983</v>
      </c>
      <c r="J7" s="186">
        <v>890.50040009373777</v>
      </c>
      <c r="K7" s="178">
        <v>32344.353733057</v>
      </c>
      <c r="L7" s="179">
        <v>26981.2211958148</v>
      </c>
      <c r="M7" s="179">
        <v>5363.1325372421998</v>
      </c>
      <c r="N7" s="190">
        <v>4108.8620759999994</v>
      </c>
      <c r="O7" s="179">
        <v>146.79278078699997</v>
      </c>
      <c r="P7" s="186">
        <v>3962.0692952129994</v>
      </c>
      <c r="Q7" s="179">
        <v>118.67620429339999</v>
      </c>
      <c r="R7" s="179">
        <v>83.090755469398573</v>
      </c>
      <c r="S7" s="179">
        <v>9526.9687922179983</v>
      </c>
      <c r="T7" s="58"/>
      <c r="U7" s="57"/>
      <c r="V7" s="57"/>
      <c r="W7" s="57"/>
    </row>
    <row r="8" spans="1:23" ht="12" customHeight="1">
      <c r="A8" s="180" t="s">
        <v>163</v>
      </c>
      <c r="B8" s="185">
        <v>3740.0577454539725</v>
      </c>
      <c r="C8" s="182">
        <v>3041.2181782033535</v>
      </c>
      <c r="D8" s="182">
        <v>698.83956725061898</v>
      </c>
      <c r="E8" s="191">
        <v>267.33676600000001</v>
      </c>
      <c r="F8" s="182">
        <v>82.844617999999983</v>
      </c>
      <c r="G8" s="187">
        <v>184.49214800000004</v>
      </c>
      <c r="H8" s="182">
        <v>12.209565000000001</v>
      </c>
      <c r="I8" s="182">
        <v>27.078212184076548</v>
      </c>
      <c r="J8" s="187">
        <v>922.6194924346953</v>
      </c>
      <c r="K8" s="181">
        <v>39968.925224856801</v>
      </c>
      <c r="L8" s="182">
        <v>32474.878708074899</v>
      </c>
      <c r="M8" s="182">
        <v>7494.046516781902</v>
      </c>
      <c r="N8" s="191">
        <v>2860.9300859999998</v>
      </c>
      <c r="O8" s="182">
        <v>885.91493354699992</v>
      </c>
      <c r="P8" s="187">
        <v>1975.0151524529999</v>
      </c>
      <c r="Q8" s="182">
        <v>132.15311265240004</v>
      </c>
      <c r="R8" s="182">
        <v>308.23921136252767</v>
      </c>
      <c r="S8" s="182">
        <v>9909.4539932498319</v>
      </c>
      <c r="T8" s="59"/>
      <c r="U8" s="57"/>
      <c r="V8" s="57"/>
      <c r="W8" s="57"/>
    </row>
    <row r="9" spans="1:23" ht="12" customHeight="1">
      <c r="A9" s="177" t="s">
        <v>164</v>
      </c>
      <c r="B9" s="184">
        <v>3646.2681503652043</v>
      </c>
      <c r="C9" s="179">
        <v>2450.724807779794</v>
      </c>
      <c r="D9" s="179">
        <v>1195.5433425854103</v>
      </c>
      <c r="E9" s="190">
        <v>58.112975999999996</v>
      </c>
      <c r="F9" s="179">
        <v>583.95101499999998</v>
      </c>
      <c r="G9" s="186">
        <v>-525.83803899999998</v>
      </c>
      <c r="H9" s="179">
        <v>11.408387000000001</v>
      </c>
      <c r="I9" s="179">
        <v>-9.7515409764110803</v>
      </c>
      <c r="J9" s="186">
        <v>671.36214960899895</v>
      </c>
      <c r="K9" s="178">
        <v>38983.402848524005</v>
      </c>
      <c r="L9" s="179">
        <v>26179.454943267701</v>
      </c>
      <c r="M9" s="179">
        <v>12803.947905256304</v>
      </c>
      <c r="N9" s="190">
        <v>622.81438000000003</v>
      </c>
      <c r="O9" s="179">
        <v>6238.6961637600007</v>
      </c>
      <c r="P9" s="186">
        <v>-5615.8817837600009</v>
      </c>
      <c r="Q9" s="179">
        <v>123.4549095963</v>
      </c>
      <c r="R9" s="179">
        <v>-73.537115569694905</v>
      </c>
      <c r="S9" s="179">
        <v>7237.9839155229056</v>
      </c>
      <c r="T9" s="58"/>
      <c r="U9" s="57"/>
      <c r="V9" s="57"/>
      <c r="W9" s="57"/>
    </row>
    <row r="10" spans="1:23" ht="12" customHeight="1">
      <c r="A10" s="177" t="s">
        <v>165</v>
      </c>
      <c r="B10" s="184">
        <v>3600.6119231410016</v>
      </c>
      <c r="C10" s="179">
        <v>2382.2460097610528</v>
      </c>
      <c r="D10" s="179">
        <v>1218.3659133799488</v>
      </c>
      <c r="E10" s="190">
        <v>0</v>
      </c>
      <c r="F10" s="179">
        <v>843.36109899999997</v>
      </c>
      <c r="G10" s="186">
        <v>-843.36109899999997</v>
      </c>
      <c r="H10" s="179">
        <v>12.335933000000001</v>
      </c>
      <c r="I10" s="179">
        <v>1.5554247744700989</v>
      </c>
      <c r="J10" s="186">
        <v>388.89617215441922</v>
      </c>
      <c r="K10" s="178">
        <v>38454.287771183997</v>
      </c>
      <c r="L10" s="179">
        <v>25445.635566104804</v>
      </c>
      <c r="M10" s="179">
        <v>13008.652205079194</v>
      </c>
      <c r="N10" s="190">
        <v>0</v>
      </c>
      <c r="O10" s="179">
        <v>9010.155727571002</v>
      </c>
      <c r="P10" s="186">
        <v>-9010.155727571002</v>
      </c>
      <c r="Q10" s="179">
        <v>133.47845841560002</v>
      </c>
      <c r="R10" s="179">
        <v>47.682356765184551</v>
      </c>
      <c r="S10" s="179">
        <v>4179.6572926889776</v>
      </c>
      <c r="T10" s="58"/>
      <c r="U10" s="57"/>
      <c r="V10" s="57"/>
      <c r="W10" s="57"/>
    </row>
    <row r="11" spans="1:23" ht="12" customHeight="1">
      <c r="A11" s="180" t="s">
        <v>166</v>
      </c>
      <c r="B11" s="185">
        <v>2992.0868665099147</v>
      </c>
      <c r="C11" s="182">
        <v>2183.7793839814467</v>
      </c>
      <c r="D11" s="182">
        <v>808.30748252846797</v>
      </c>
      <c r="E11" s="191">
        <v>1.0541230000000001</v>
      </c>
      <c r="F11" s="182">
        <v>488.84463900000003</v>
      </c>
      <c r="G11" s="187">
        <v>-487.79051600000003</v>
      </c>
      <c r="H11" s="182">
        <v>12.345179000000002</v>
      </c>
      <c r="I11" s="182">
        <v>3.4923493485855288</v>
      </c>
      <c r="J11" s="187">
        <v>336.35449487705364</v>
      </c>
      <c r="K11" s="181">
        <v>32016.791148502998</v>
      </c>
      <c r="L11" s="182">
        <v>23344.806600269101</v>
      </c>
      <c r="M11" s="182">
        <v>8671.9845482338969</v>
      </c>
      <c r="N11" s="191">
        <v>11.281193999999999</v>
      </c>
      <c r="O11" s="182">
        <v>5233.3445628020008</v>
      </c>
      <c r="P11" s="187">
        <v>-5222.0633688020007</v>
      </c>
      <c r="Q11" s="182">
        <v>133.70256810759997</v>
      </c>
      <c r="R11" s="182">
        <v>65.899671437519132</v>
      </c>
      <c r="S11" s="182">
        <v>3649.5234189770149</v>
      </c>
      <c r="T11" s="58"/>
      <c r="U11" s="57"/>
      <c r="V11" s="57"/>
      <c r="W11" s="57"/>
    </row>
    <row r="12" spans="1:23" ht="12" customHeight="1">
      <c r="A12" s="177" t="s">
        <v>167</v>
      </c>
      <c r="B12" s="184"/>
      <c r="C12" s="179"/>
      <c r="D12" s="179"/>
      <c r="E12" s="190"/>
      <c r="F12" s="179"/>
      <c r="G12" s="186"/>
      <c r="H12" s="179"/>
      <c r="I12" s="179"/>
      <c r="J12" s="186"/>
      <c r="K12" s="178"/>
      <c r="L12" s="179"/>
      <c r="M12" s="179"/>
      <c r="N12" s="190"/>
      <c r="O12" s="179"/>
      <c r="P12" s="186"/>
      <c r="Q12" s="179"/>
      <c r="R12" s="179"/>
      <c r="S12" s="179"/>
      <c r="T12" s="58"/>
      <c r="U12" s="57"/>
      <c r="V12" s="57"/>
      <c r="W12" s="57"/>
    </row>
    <row r="13" spans="1:23" ht="12" customHeight="1">
      <c r="A13" s="177" t="s">
        <v>168</v>
      </c>
      <c r="B13" s="184"/>
      <c r="C13" s="179"/>
      <c r="D13" s="179"/>
      <c r="E13" s="190"/>
      <c r="F13" s="179"/>
      <c r="G13" s="186"/>
      <c r="H13" s="179"/>
      <c r="I13" s="179"/>
      <c r="J13" s="186"/>
      <c r="K13" s="178"/>
      <c r="L13" s="179"/>
      <c r="M13" s="179"/>
      <c r="N13" s="190"/>
      <c r="O13" s="179"/>
      <c r="P13" s="186"/>
      <c r="Q13" s="179"/>
      <c r="R13" s="179"/>
      <c r="S13" s="179"/>
      <c r="T13" s="58"/>
      <c r="U13" s="57"/>
      <c r="V13" s="57"/>
      <c r="W13" s="57"/>
    </row>
    <row r="14" spans="1:23" ht="12" customHeight="1">
      <c r="A14" s="180" t="s">
        <v>169</v>
      </c>
      <c r="B14" s="185"/>
      <c r="C14" s="182"/>
      <c r="D14" s="182"/>
      <c r="E14" s="191"/>
      <c r="F14" s="182"/>
      <c r="G14" s="187"/>
      <c r="H14" s="182"/>
      <c r="I14" s="182"/>
      <c r="J14" s="187"/>
      <c r="K14" s="181"/>
      <c r="L14" s="182"/>
      <c r="M14" s="182"/>
      <c r="N14" s="191"/>
      <c r="O14" s="182"/>
      <c r="P14" s="187"/>
      <c r="Q14" s="182"/>
      <c r="R14" s="182"/>
      <c r="S14" s="182"/>
      <c r="T14" s="58"/>
      <c r="U14" s="57"/>
      <c r="V14" s="57"/>
      <c r="W14" s="57"/>
    </row>
    <row r="15" spans="1:23" ht="12" customHeight="1">
      <c r="A15" s="177" t="s">
        <v>170</v>
      </c>
      <c r="B15" s="184"/>
      <c r="C15" s="179"/>
      <c r="D15" s="179"/>
      <c r="E15" s="190"/>
      <c r="F15" s="179"/>
      <c r="G15" s="186"/>
      <c r="H15" s="179"/>
      <c r="I15" s="179"/>
      <c r="J15" s="186"/>
      <c r="K15" s="178"/>
      <c r="L15" s="179"/>
      <c r="M15" s="179"/>
      <c r="N15" s="190"/>
      <c r="O15" s="179"/>
      <c r="P15" s="186"/>
      <c r="Q15" s="179"/>
      <c r="R15" s="179"/>
      <c r="S15" s="179"/>
      <c r="T15" s="58"/>
      <c r="U15" s="57"/>
      <c r="V15" s="57"/>
      <c r="W15" s="57"/>
    </row>
    <row r="16" spans="1:23" ht="12" customHeight="1">
      <c r="A16" s="177" t="s">
        <v>171</v>
      </c>
      <c r="B16" s="184"/>
      <c r="C16" s="179"/>
      <c r="D16" s="179"/>
      <c r="E16" s="190"/>
      <c r="F16" s="179"/>
      <c r="G16" s="186"/>
      <c r="H16" s="179"/>
      <c r="I16" s="179"/>
      <c r="J16" s="186"/>
      <c r="K16" s="178"/>
      <c r="L16" s="179"/>
      <c r="M16" s="179"/>
      <c r="N16" s="190"/>
      <c r="O16" s="179"/>
      <c r="P16" s="186"/>
      <c r="Q16" s="179"/>
      <c r="R16" s="179"/>
      <c r="S16" s="179"/>
      <c r="T16" s="58"/>
      <c r="U16" s="57"/>
      <c r="V16" s="57"/>
      <c r="W16" s="57"/>
    </row>
    <row r="17" spans="1:23" ht="12" customHeight="1">
      <c r="A17" s="180" t="s">
        <v>172</v>
      </c>
      <c r="B17" s="185"/>
      <c r="C17" s="182"/>
      <c r="D17" s="182"/>
      <c r="E17" s="191"/>
      <c r="F17" s="182"/>
      <c r="G17" s="187"/>
      <c r="H17" s="182"/>
      <c r="I17" s="182"/>
      <c r="J17" s="187"/>
      <c r="K17" s="181"/>
      <c r="L17" s="182"/>
      <c r="M17" s="182"/>
      <c r="N17" s="191"/>
      <c r="O17" s="182"/>
      <c r="P17" s="187"/>
      <c r="Q17" s="182"/>
      <c r="R17" s="182"/>
      <c r="S17" s="182"/>
      <c r="T17" s="58"/>
      <c r="U17" s="57"/>
      <c r="V17" s="57"/>
      <c r="W17" s="57"/>
    </row>
    <row r="18" spans="1:23" ht="12" customHeight="1">
      <c r="A18" s="177" t="s">
        <v>48</v>
      </c>
      <c r="B18" s="184">
        <f>SUM(B6:B8)</f>
        <v>10139.377200999597</v>
      </c>
      <c r="C18" s="178">
        <f>SUM(C6:C8)</f>
        <v>8505.8906993445617</v>
      </c>
      <c r="D18" s="178">
        <f>SUM(D6:D8)</f>
        <v>1633.4865016550357</v>
      </c>
      <c r="E18" s="184">
        <f t="shared" ref="E18:J18" si="0">SUM(E6:E8)</f>
        <v>1330.8460330000003</v>
      </c>
      <c r="F18" s="178">
        <f t="shared" si="0"/>
        <v>98.787162999999978</v>
      </c>
      <c r="G18" s="188">
        <f>SUM(G6:G8)</f>
        <v>1232.0588700000001</v>
      </c>
      <c r="H18" s="178">
        <f t="shared" si="0"/>
        <v>35.589660000000002</v>
      </c>
      <c r="I18" s="178">
        <f t="shared" si="0"/>
        <v>46.247694071305801</v>
      </c>
      <c r="J18" s="188">
        <f t="shared" si="0"/>
        <v>2947.382725726342</v>
      </c>
      <c r="K18" s="178">
        <f>SUM(K6:K8)</f>
        <v>108259.82823933879</v>
      </c>
      <c r="L18" s="178">
        <f>SUM(L6:L8)</f>
        <v>90806.271670755596</v>
      </c>
      <c r="M18" s="178">
        <f t="shared" ref="M18:S18" si="1">SUM(M6:M8)</f>
        <v>17453.556568583208</v>
      </c>
      <c r="N18" s="184">
        <f t="shared" si="1"/>
        <v>14210.521988999999</v>
      </c>
      <c r="O18" s="178">
        <f t="shared" si="1"/>
        <v>1056.2487536159999</v>
      </c>
      <c r="P18" s="188">
        <f t="shared" si="1"/>
        <v>13154.273235383998</v>
      </c>
      <c r="Q18" s="178">
        <f t="shared" si="1"/>
        <v>385.72603857640001</v>
      </c>
      <c r="R18" s="178">
        <f>SUM(R6:R8)</f>
        <v>561.65655229022911</v>
      </c>
      <c r="S18" s="178">
        <f t="shared" si="1"/>
        <v>31555.212394833834</v>
      </c>
    </row>
    <row r="19" spans="1:23" ht="12" customHeight="1">
      <c r="A19" s="177" t="s">
        <v>56</v>
      </c>
      <c r="B19" s="184">
        <f>SUM(B9:B11)</f>
        <v>10238.96694001612</v>
      </c>
      <c r="C19" s="178">
        <f>SUM(C9:C11)</f>
        <v>7016.7502015222935</v>
      </c>
      <c r="D19" s="178">
        <f t="shared" ref="D19:J19" si="2">SUM(D9:D11)</f>
        <v>3222.2167384938271</v>
      </c>
      <c r="E19" s="184">
        <f t="shared" si="2"/>
        <v>59.167098999999993</v>
      </c>
      <c r="F19" s="178">
        <f t="shared" si="2"/>
        <v>1916.1567529999998</v>
      </c>
      <c r="G19" s="188">
        <f t="shared" si="2"/>
        <v>-1856.989654</v>
      </c>
      <c r="H19" s="178">
        <f t="shared" si="2"/>
        <v>36.089499000000004</v>
      </c>
      <c r="I19" s="178">
        <f t="shared" si="2"/>
        <v>-4.703766853355452</v>
      </c>
      <c r="J19" s="188">
        <f t="shared" si="2"/>
        <v>1396.6128166404719</v>
      </c>
      <c r="K19" s="178">
        <f>SUM(K9:K11)</f>
        <v>109454.481768211</v>
      </c>
      <c r="L19" s="178">
        <f t="shared" ref="L19:S19" si="3">SUM(L9:L11)</f>
        <v>74969.897109641606</v>
      </c>
      <c r="M19" s="178">
        <f t="shared" si="3"/>
        <v>34484.584658569394</v>
      </c>
      <c r="N19" s="184">
        <f t="shared" si="3"/>
        <v>634.09557400000006</v>
      </c>
      <c r="O19" s="178">
        <f>SUM(O9:O11)</f>
        <v>20482.196454133005</v>
      </c>
      <c r="P19" s="188">
        <f t="shared" si="3"/>
        <v>-19848.100880133003</v>
      </c>
      <c r="Q19" s="178">
        <f t="shared" si="3"/>
        <v>390.6359361195</v>
      </c>
      <c r="R19" s="178">
        <f t="shared" si="3"/>
        <v>40.044912633008778</v>
      </c>
      <c r="S19" s="178">
        <f t="shared" si="3"/>
        <v>15067.164627188899</v>
      </c>
    </row>
    <row r="20" spans="1:23" ht="12" customHeight="1">
      <c r="A20" s="177" t="s">
        <v>63</v>
      </c>
      <c r="B20" s="398">
        <f>SUM(B12:B14)</f>
        <v>0</v>
      </c>
      <c r="C20" s="254">
        <f>SUM(C12:C14)</f>
        <v>0</v>
      </c>
      <c r="D20" s="254">
        <f t="shared" ref="D20:J20" si="4">SUM(D12:D14)</f>
        <v>0</v>
      </c>
      <c r="E20" s="398">
        <f t="shared" si="4"/>
        <v>0</v>
      </c>
      <c r="F20" s="254">
        <f t="shared" si="4"/>
        <v>0</v>
      </c>
      <c r="G20" s="401">
        <f t="shared" si="4"/>
        <v>0</v>
      </c>
      <c r="H20" s="254">
        <f t="shared" si="4"/>
        <v>0</v>
      </c>
      <c r="I20" s="254">
        <f>SUM(I12:I14)</f>
        <v>0</v>
      </c>
      <c r="J20" s="401">
        <f t="shared" si="4"/>
        <v>0</v>
      </c>
      <c r="K20" s="254">
        <f>SUM(K12:K14)</f>
        <v>0</v>
      </c>
      <c r="L20" s="254">
        <f t="shared" ref="L20:S20" si="5">SUM(L12:L14)</f>
        <v>0</v>
      </c>
      <c r="M20" s="254">
        <f t="shared" si="5"/>
        <v>0</v>
      </c>
      <c r="N20" s="398">
        <f t="shared" si="5"/>
        <v>0</v>
      </c>
      <c r="O20" s="254">
        <f t="shared" si="5"/>
        <v>0</v>
      </c>
      <c r="P20" s="401">
        <f t="shared" si="5"/>
        <v>0</v>
      </c>
      <c r="Q20" s="254">
        <f t="shared" si="5"/>
        <v>0</v>
      </c>
      <c r="R20" s="254">
        <f t="shared" si="5"/>
        <v>0</v>
      </c>
      <c r="S20" s="254">
        <f t="shared" si="5"/>
        <v>0</v>
      </c>
    </row>
    <row r="21" spans="1:23" ht="12" customHeight="1">
      <c r="A21" s="180" t="s">
        <v>57</v>
      </c>
      <c r="B21" s="400">
        <f>SUM(B15:B17)</f>
        <v>0</v>
      </c>
      <c r="C21" s="399">
        <f>SUM(C15:C17)</f>
        <v>0</v>
      </c>
      <c r="D21" s="399">
        <f t="shared" ref="D21:J21" si="6">SUM(D15:D17)</f>
        <v>0</v>
      </c>
      <c r="E21" s="400">
        <f t="shared" si="6"/>
        <v>0</v>
      </c>
      <c r="F21" s="399">
        <f t="shared" si="6"/>
        <v>0</v>
      </c>
      <c r="G21" s="402">
        <f t="shared" si="6"/>
        <v>0</v>
      </c>
      <c r="H21" s="399">
        <f t="shared" si="6"/>
        <v>0</v>
      </c>
      <c r="I21" s="399">
        <f t="shared" si="6"/>
        <v>0</v>
      </c>
      <c r="J21" s="402">
        <f t="shared" si="6"/>
        <v>0</v>
      </c>
      <c r="K21" s="399">
        <f>SUM(K15:K17)</f>
        <v>0</v>
      </c>
      <c r="L21" s="399">
        <f t="shared" ref="L21:R21" si="7">SUM(L15:L17)</f>
        <v>0</v>
      </c>
      <c r="M21" s="399">
        <f t="shared" si="7"/>
        <v>0</v>
      </c>
      <c r="N21" s="400">
        <f t="shared" si="7"/>
        <v>0</v>
      </c>
      <c r="O21" s="399">
        <f t="shared" si="7"/>
        <v>0</v>
      </c>
      <c r="P21" s="402">
        <f t="shared" si="7"/>
        <v>0</v>
      </c>
      <c r="Q21" s="399">
        <f t="shared" si="7"/>
        <v>0</v>
      </c>
      <c r="R21" s="399">
        <f t="shared" si="7"/>
        <v>0</v>
      </c>
      <c r="S21" s="399">
        <f>SUM(S15:S17)</f>
        <v>0</v>
      </c>
    </row>
    <row r="22" spans="1:23" ht="12" customHeight="1">
      <c r="A22" s="177" t="s">
        <v>58</v>
      </c>
      <c r="B22" s="184">
        <f>SUM(B6:B11)</f>
        <v>20378.344141015717</v>
      </c>
      <c r="C22" s="178">
        <f>SUM(C6:C11)</f>
        <v>15522.640900866856</v>
      </c>
      <c r="D22" s="178">
        <f t="shared" ref="D22:J22" si="8">SUM(D6:D11)</f>
        <v>4855.7032401488632</v>
      </c>
      <c r="E22" s="184">
        <f t="shared" si="8"/>
        <v>1390.013132</v>
      </c>
      <c r="F22" s="178">
        <f t="shared" si="8"/>
        <v>2014.9439159999997</v>
      </c>
      <c r="G22" s="188">
        <f t="shared" si="8"/>
        <v>-624.9307839999999</v>
      </c>
      <c r="H22" s="178">
        <f t="shared" si="8"/>
        <v>71.679158999999999</v>
      </c>
      <c r="I22" s="178">
        <f t="shared" si="8"/>
        <v>41.543927217950348</v>
      </c>
      <c r="J22" s="188">
        <f t="shared" si="8"/>
        <v>4343.9955423668143</v>
      </c>
      <c r="K22" s="178">
        <f>SUM(K6:K11)</f>
        <v>217714.31000754979</v>
      </c>
      <c r="L22" s="178">
        <f t="shared" ref="L22:S22" si="9">SUM(L6:L11)</f>
        <v>165776.16878039722</v>
      </c>
      <c r="M22" s="178">
        <f t="shared" si="9"/>
        <v>51938.141227152606</v>
      </c>
      <c r="N22" s="184">
        <f t="shared" si="9"/>
        <v>14844.617562999998</v>
      </c>
      <c r="O22" s="178">
        <f t="shared" si="9"/>
        <v>21538.445207749002</v>
      </c>
      <c r="P22" s="188">
        <f t="shared" si="9"/>
        <v>-6693.8276447490052</v>
      </c>
      <c r="Q22" s="178">
        <f t="shared" si="9"/>
        <v>776.36197469590002</v>
      </c>
      <c r="R22" s="178">
        <f t="shared" si="9"/>
        <v>601.70146492323795</v>
      </c>
      <c r="S22" s="178">
        <f t="shared" si="9"/>
        <v>46622.377022022731</v>
      </c>
    </row>
    <row r="23" spans="1:23" ht="12" customHeight="1">
      <c r="A23" s="180" t="s">
        <v>59</v>
      </c>
      <c r="B23" s="400">
        <f>SUM(B12:B17)</f>
        <v>0</v>
      </c>
      <c r="C23" s="399">
        <f>SUM(C12:C17)</f>
        <v>0</v>
      </c>
      <c r="D23" s="399">
        <f t="shared" ref="D23:J23" si="10">SUM(D12:D17)</f>
        <v>0</v>
      </c>
      <c r="E23" s="400">
        <f t="shared" si="10"/>
        <v>0</v>
      </c>
      <c r="F23" s="399">
        <f t="shared" si="10"/>
        <v>0</v>
      </c>
      <c r="G23" s="402">
        <f t="shared" si="10"/>
        <v>0</v>
      </c>
      <c r="H23" s="399">
        <f t="shared" si="10"/>
        <v>0</v>
      </c>
      <c r="I23" s="399">
        <f t="shared" si="10"/>
        <v>0</v>
      </c>
      <c r="J23" s="402">
        <f t="shared" si="10"/>
        <v>0</v>
      </c>
      <c r="K23" s="399">
        <f>SUM(K12:K17)</f>
        <v>0</v>
      </c>
      <c r="L23" s="399">
        <f t="shared" ref="L23:S23" si="11">SUM(L12:L17)</f>
        <v>0</v>
      </c>
      <c r="M23" s="399">
        <f t="shared" si="11"/>
        <v>0</v>
      </c>
      <c r="N23" s="400">
        <f t="shared" si="11"/>
        <v>0</v>
      </c>
      <c r="O23" s="399">
        <f t="shared" si="11"/>
        <v>0</v>
      </c>
      <c r="P23" s="402">
        <f t="shared" si="11"/>
        <v>0</v>
      </c>
      <c r="Q23" s="399">
        <f t="shared" si="11"/>
        <v>0</v>
      </c>
      <c r="R23" s="399">
        <f t="shared" si="11"/>
        <v>0</v>
      </c>
      <c r="S23" s="399">
        <f t="shared" si="11"/>
        <v>0</v>
      </c>
    </row>
    <row r="24" spans="1:23" ht="12" customHeight="1">
      <c r="A24" s="183" t="s">
        <v>173</v>
      </c>
      <c r="B24" s="403">
        <f>SUM(B6:B17)</f>
        <v>20378.344141015717</v>
      </c>
      <c r="C24" s="404">
        <f>SUM(C6:C17)</f>
        <v>15522.640900866856</v>
      </c>
      <c r="D24" s="404">
        <f t="shared" ref="D24:J24" si="12">SUM(D6:D17)</f>
        <v>4855.7032401488632</v>
      </c>
      <c r="E24" s="403">
        <f t="shared" si="12"/>
        <v>1390.013132</v>
      </c>
      <c r="F24" s="404">
        <f t="shared" si="12"/>
        <v>2014.9439159999997</v>
      </c>
      <c r="G24" s="405">
        <f t="shared" si="12"/>
        <v>-624.9307839999999</v>
      </c>
      <c r="H24" s="404">
        <f t="shared" si="12"/>
        <v>71.679158999999999</v>
      </c>
      <c r="I24" s="404">
        <f t="shared" si="12"/>
        <v>41.543927217950348</v>
      </c>
      <c r="J24" s="405">
        <f t="shared" si="12"/>
        <v>4343.9955423668143</v>
      </c>
      <c r="K24" s="404">
        <f>SUM(K6:K17)</f>
        <v>217714.31000754979</v>
      </c>
      <c r="L24" s="404">
        <f t="shared" ref="L24:S24" si="13">SUM(L6:L17)</f>
        <v>165776.16878039722</v>
      </c>
      <c r="M24" s="404">
        <f t="shared" si="13"/>
        <v>51938.141227152606</v>
      </c>
      <c r="N24" s="403">
        <f t="shared" si="13"/>
        <v>14844.617562999998</v>
      </c>
      <c r="O24" s="404">
        <f t="shared" si="13"/>
        <v>21538.445207749002</v>
      </c>
      <c r="P24" s="405">
        <f t="shared" si="13"/>
        <v>-6693.8276447490052</v>
      </c>
      <c r="Q24" s="404">
        <f t="shared" si="13"/>
        <v>776.36197469590002</v>
      </c>
      <c r="R24" s="404">
        <f t="shared" si="13"/>
        <v>601.70146492323795</v>
      </c>
      <c r="S24" s="404">
        <f t="shared" si="13"/>
        <v>46622.377022022731</v>
      </c>
    </row>
    <row r="25" spans="1:23" ht="8.1" customHeight="1"/>
    <row r="26" spans="1:23" ht="13.5" customHeight="1">
      <c r="A26" s="448" t="s">
        <v>252</v>
      </c>
      <c r="B26" s="448"/>
      <c r="C26" s="448"/>
      <c r="D26" s="448"/>
      <c r="E26" s="448"/>
      <c r="F26" s="448"/>
      <c r="G26" s="448"/>
      <c r="H26" s="448"/>
      <c r="I26" s="448"/>
      <c r="J26" s="60"/>
      <c r="K26" s="448" t="s">
        <v>253</v>
      </c>
      <c r="L26" s="448"/>
      <c r="M26" s="448"/>
      <c r="N26" s="448"/>
      <c r="O26" s="448"/>
      <c r="P26" s="448"/>
      <c r="Q26" s="448"/>
      <c r="R26" s="448"/>
      <c r="S26" s="448"/>
    </row>
    <row r="27" spans="1:23" ht="8.1" customHeight="1">
      <c r="D27" s="61"/>
      <c r="E27" s="62" t="s">
        <v>200</v>
      </c>
      <c r="F27" s="62" t="s">
        <v>201</v>
      </c>
      <c r="G27" s="63"/>
      <c r="H27" s="63"/>
      <c r="L27" s="63"/>
      <c r="M27" s="62"/>
      <c r="N27" s="62" t="s">
        <v>202</v>
      </c>
      <c r="O27" s="61" t="s">
        <v>203</v>
      </c>
    </row>
    <row r="28" spans="1:23" ht="8.1" customHeight="1">
      <c r="D28" s="61" t="str">
        <f>A6</f>
        <v>Leden</v>
      </c>
      <c r="E28" s="62">
        <f>B6</f>
        <v>3368.4318376071833</v>
      </c>
      <c r="F28" s="62">
        <f>C6*-1</f>
        <v>-2936.875920396245</v>
      </c>
      <c r="G28" s="63"/>
      <c r="L28" s="63"/>
      <c r="M28" s="62" t="str">
        <f>A6</f>
        <v>Leden</v>
      </c>
      <c r="N28" s="62">
        <f>E6</f>
        <v>678.60557000000006</v>
      </c>
      <c r="O28" s="62">
        <f>F6*-1</f>
        <v>-2.2123170000000001</v>
      </c>
    </row>
    <row r="29" spans="1:23" ht="8.1" customHeight="1">
      <c r="D29" s="61" t="str">
        <f t="shared" ref="D29:D39" si="14">A7</f>
        <v>Únor</v>
      </c>
      <c r="E29" s="62">
        <f t="shared" ref="E29:E39" si="15">B7</f>
        <v>3030.8876179384415</v>
      </c>
      <c r="F29" s="62">
        <f t="shared" ref="F29:F39" si="16">C7*-1</f>
        <v>-2527.7966007449631</v>
      </c>
      <c r="G29" s="63"/>
      <c r="L29" s="63"/>
      <c r="M29" s="62" t="str">
        <f t="shared" ref="M29:M39" si="17">A7</f>
        <v>Únor</v>
      </c>
      <c r="N29" s="62">
        <f t="shared" ref="N29:N39" si="18">E7</f>
        <v>384.90369700000002</v>
      </c>
      <c r="O29" s="62">
        <f t="shared" ref="O29:O39" si="19">F7*-1</f>
        <v>-13.730227999999999</v>
      </c>
    </row>
    <row r="30" spans="1:23" ht="8.1" customHeight="1">
      <c r="D30" s="61" t="str">
        <f t="shared" si="14"/>
        <v>Březen</v>
      </c>
      <c r="E30" s="62">
        <f t="shared" si="15"/>
        <v>3740.0577454539725</v>
      </c>
      <c r="F30" s="62">
        <f t="shared" si="16"/>
        <v>-3041.2181782033535</v>
      </c>
      <c r="G30" s="63"/>
      <c r="L30" s="63"/>
      <c r="M30" s="62" t="str">
        <f t="shared" si="17"/>
        <v>Březen</v>
      </c>
      <c r="N30" s="62">
        <f t="shared" si="18"/>
        <v>267.33676600000001</v>
      </c>
      <c r="O30" s="62">
        <f t="shared" si="19"/>
        <v>-82.844617999999983</v>
      </c>
    </row>
    <row r="31" spans="1:23" ht="8.1" customHeight="1">
      <c r="D31" s="61" t="str">
        <f t="shared" si="14"/>
        <v>Duben</v>
      </c>
      <c r="E31" s="62">
        <f t="shared" si="15"/>
        <v>3646.2681503652043</v>
      </c>
      <c r="F31" s="62">
        <f t="shared" si="16"/>
        <v>-2450.724807779794</v>
      </c>
      <c r="G31" s="63"/>
      <c r="L31" s="63"/>
      <c r="M31" s="62" t="str">
        <f t="shared" si="17"/>
        <v>Duben</v>
      </c>
      <c r="N31" s="62">
        <f t="shared" si="18"/>
        <v>58.112975999999996</v>
      </c>
      <c r="O31" s="62">
        <f t="shared" si="19"/>
        <v>-583.95101499999998</v>
      </c>
    </row>
    <row r="32" spans="1:23" ht="8.1" customHeight="1">
      <c r="D32" s="61" t="str">
        <f t="shared" si="14"/>
        <v>Květen</v>
      </c>
      <c r="E32" s="62">
        <f t="shared" si="15"/>
        <v>3600.6119231410016</v>
      </c>
      <c r="F32" s="62">
        <f t="shared" si="16"/>
        <v>-2382.2460097610528</v>
      </c>
      <c r="G32" s="63"/>
      <c r="L32" s="63"/>
      <c r="M32" s="62" t="str">
        <f t="shared" si="17"/>
        <v>Květen</v>
      </c>
      <c r="N32" s="62">
        <f t="shared" si="18"/>
        <v>0</v>
      </c>
      <c r="O32" s="62">
        <f t="shared" si="19"/>
        <v>-843.36109899999997</v>
      </c>
    </row>
    <row r="33" spans="4:15" ht="8.1" customHeight="1">
      <c r="D33" s="61" t="str">
        <f t="shared" si="14"/>
        <v>Červen</v>
      </c>
      <c r="E33" s="62">
        <f t="shared" si="15"/>
        <v>2992.0868665099147</v>
      </c>
      <c r="F33" s="62">
        <f t="shared" si="16"/>
        <v>-2183.7793839814467</v>
      </c>
      <c r="G33" s="63"/>
      <c r="L33" s="63"/>
      <c r="M33" s="62" t="str">
        <f t="shared" si="17"/>
        <v>Červen</v>
      </c>
      <c r="N33" s="62">
        <f t="shared" si="18"/>
        <v>1.0541230000000001</v>
      </c>
      <c r="O33" s="62">
        <f t="shared" si="19"/>
        <v>-488.84463900000003</v>
      </c>
    </row>
    <row r="34" spans="4:15" ht="8.1" customHeight="1">
      <c r="D34" s="61" t="str">
        <f t="shared" si="14"/>
        <v>Červenec</v>
      </c>
      <c r="E34" s="62">
        <f t="shared" si="15"/>
        <v>0</v>
      </c>
      <c r="F34" s="62">
        <f t="shared" si="16"/>
        <v>0</v>
      </c>
      <c r="G34" s="63"/>
      <c r="L34" s="63"/>
      <c r="M34" s="62" t="str">
        <f t="shared" si="17"/>
        <v>Červenec</v>
      </c>
      <c r="N34" s="62">
        <f t="shared" si="18"/>
        <v>0</v>
      </c>
      <c r="O34" s="62">
        <f t="shared" si="19"/>
        <v>0</v>
      </c>
    </row>
    <row r="35" spans="4:15" ht="8.1" customHeight="1">
      <c r="D35" s="61" t="str">
        <f t="shared" si="14"/>
        <v>Srpen</v>
      </c>
      <c r="E35" s="62">
        <f t="shared" si="15"/>
        <v>0</v>
      </c>
      <c r="F35" s="62">
        <f t="shared" si="16"/>
        <v>0</v>
      </c>
      <c r="G35" s="63"/>
      <c r="L35" s="63"/>
      <c r="M35" s="62" t="str">
        <f t="shared" si="17"/>
        <v>Srpen</v>
      </c>
      <c r="N35" s="62">
        <f t="shared" si="18"/>
        <v>0</v>
      </c>
      <c r="O35" s="62">
        <f t="shared" si="19"/>
        <v>0</v>
      </c>
    </row>
    <row r="36" spans="4:15" ht="8.1" customHeight="1">
      <c r="D36" s="61" t="str">
        <f t="shared" si="14"/>
        <v>Září</v>
      </c>
      <c r="E36" s="62">
        <f t="shared" si="15"/>
        <v>0</v>
      </c>
      <c r="F36" s="62">
        <f t="shared" si="16"/>
        <v>0</v>
      </c>
      <c r="G36" s="63"/>
      <c r="L36" s="63"/>
      <c r="M36" s="62" t="str">
        <f t="shared" si="17"/>
        <v>Září</v>
      </c>
      <c r="N36" s="62">
        <f t="shared" si="18"/>
        <v>0</v>
      </c>
      <c r="O36" s="62">
        <f t="shared" si="19"/>
        <v>0</v>
      </c>
    </row>
    <row r="37" spans="4:15" ht="8.1" customHeight="1">
      <c r="D37" s="61" t="str">
        <f t="shared" si="14"/>
        <v>Říjen</v>
      </c>
      <c r="E37" s="62">
        <f t="shared" si="15"/>
        <v>0</v>
      </c>
      <c r="F37" s="62">
        <f t="shared" si="16"/>
        <v>0</v>
      </c>
      <c r="G37" s="63"/>
      <c r="L37" s="63"/>
      <c r="M37" s="62" t="str">
        <f t="shared" si="17"/>
        <v>Říjen</v>
      </c>
      <c r="N37" s="62">
        <f t="shared" si="18"/>
        <v>0</v>
      </c>
      <c r="O37" s="62">
        <f t="shared" si="19"/>
        <v>0</v>
      </c>
    </row>
    <row r="38" spans="4:15" ht="8.1" customHeight="1">
      <c r="D38" s="61" t="str">
        <f t="shared" si="14"/>
        <v>Listopad</v>
      </c>
      <c r="E38" s="62">
        <f t="shared" si="15"/>
        <v>0</v>
      </c>
      <c r="F38" s="62">
        <f t="shared" si="16"/>
        <v>0</v>
      </c>
      <c r="G38" s="63"/>
      <c r="L38" s="63"/>
      <c r="M38" s="62" t="str">
        <f t="shared" si="17"/>
        <v>Listopad</v>
      </c>
      <c r="N38" s="62">
        <f t="shared" si="18"/>
        <v>0</v>
      </c>
      <c r="O38" s="62">
        <f t="shared" si="19"/>
        <v>0</v>
      </c>
    </row>
    <row r="39" spans="4:15" ht="8.1" customHeight="1">
      <c r="D39" s="61" t="str">
        <f t="shared" si="14"/>
        <v>Prosinec</v>
      </c>
      <c r="E39" s="62">
        <f t="shared" si="15"/>
        <v>0</v>
      </c>
      <c r="F39" s="62">
        <f t="shared" si="16"/>
        <v>0</v>
      </c>
      <c r="M39" s="62" t="str">
        <f t="shared" si="17"/>
        <v>Prosinec</v>
      </c>
      <c r="N39" s="62">
        <f t="shared" si="18"/>
        <v>0</v>
      </c>
      <c r="O39" s="62">
        <f t="shared" si="19"/>
        <v>0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B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6"/>
  <sheetViews>
    <sheetView showGridLines="0" zoomScaleNormal="100" zoomScaleSheetLayoutView="100" workbookViewId="0">
      <selection activeCell="E1" sqref="E1"/>
    </sheetView>
  </sheetViews>
  <sheetFormatPr defaultRowHeight="11.25"/>
  <cols>
    <col min="1" max="1" width="8.140625" style="12" customWidth="1"/>
    <col min="2" max="3" width="7.7109375" style="12" customWidth="1"/>
    <col min="4" max="4" width="7.28515625" style="12" customWidth="1"/>
    <col min="5" max="6" width="7.7109375" style="12" customWidth="1"/>
    <col min="7" max="7" width="7.42578125" style="12" customWidth="1"/>
    <col min="8" max="8" width="9.140625" style="12" customWidth="1"/>
    <col min="9" max="12" width="7.7109375" style="12" customWidth="1"/>
    <col min="13" max="13" width="9" style="12" customWidth="1"/>
    <col min="14" max="18" width="4.7109375" style="12" customWidth="1"/>
    <col min="19" max="20" width="6.7109375" style="12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20.25">
      <c r="A1" s="69" t="s">
        <v>292</v>
      </c>
    </row>
    <row r="2" spans="1:22" ht="18">
      <c r="A2" s="408" t="s">
        <v>298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6" customHeight="1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9"/>
      <c r="L3" s="208"/>
      <c r="M3" s="208"/>
      <c r="N3" s="208"/>
      <c r="O3" s="208"/>
      <c r="P3" s="208"/>
      <c r="Q3" s="208"/>
      <c r="R3" s="208"/>
    </row>
    <row r="4" spans="1:22" ht="15.95" customHeight="1">
      <c r="A4" s="206">
        <f>'3.1'!A4</f>
        <v>2022</v>
      </c>
      <c r="B4" s="457" t="s">
        <v>264</v>
      </c>
      <c r="C4" s="460"/>
      <c r="D4" s="460"/>
      <c r="E4" s="460"/>
      <c r="F4" s="460"/>
      <c r="G4" s="460"/>
      <c r="H4" s="459"/>
      <c r="I4" s="457" t="s">
        <v>222</v>
      </c>
      <c r="J4" s="460"/>
      <c r="K4" s="460"/>
      <c r="L4" s="460"/>
      <c r="M4" s="460"/>
      <c r="N4" s="457" t="s">
        <v>234</v>
      </c>
      <c r="O4" s="460"/>
      <c r="P4" s="460"/>
      <c r="Q4" s="460"/>
      <c r="R4" s="459"/>
      <c r="S4" s="245" t="s">
        <v>264</v>
      </c>
      <c r="T4" s="245" t="s">
        <v>222</v>
      </c>
    </row>
    <row r="5" spans="1:22" ht="36.75" customHeight="1">
      <c r="A5" s="220"/>
      <c r="B5" s="461" t="s">
        <v>155</v>
      </c>
      <c r="C5" s="454"/>
      <c r="D5" s="454"/>
      <c r="E5" s="454" t="s">
        <v>156</v>
      </c>
      <c r="F5" s="454"/>
      <c r="G5" s="454"/>
      <c r="H5" s="198" t="s">
        <v>153</v>
      </c>
      <c r="I5" s="461" t="s">
        <v>155</v>
      </c>
      <c r="J5" s="454"/>
      <c r="K5" s="454" t="s">
        <v>156</v>
      </c>
      <c r="L5" s="454"/>
      <c r="M5" s="197" t="s">
        <v>153</v>
      </c>
      <c r="N5" s="461" t="s">
        <v>267</v>
      </c>
      <c r="O5" s="454"/>
      <c r="P5" s="454"/>
      <c r="Q5" s="454"/>
      <c r="R5" s="456"/>
      <c r="S5" s="453" t="s">
        <v>154</v>
      </c>
      <c r="T5" s="453"/>
    </row>
    <row r="6" spans="1:22" ht="44.25" customHeight="1">
      <c r="A6" s="229"/>
      <c r="B6" s="248">
        <f>A4</f>
        <v>2022</v>
      </c>
      <c r="C6" s="249">
        <f>B6-1</f>
        <v>2021</v>
      </c>
      <c r="D6" s="195" t="s">
        <v>268</v>
      </c>
      <c r="E6" s="249">
        <f>B6</f>
        <v>2022</v>
      </c>
      <c r="F6" s="249">
        <f>C6</f>
        <v>2021</v>
      </c>
      <c r="G6" s="195" t="s">
        <v>269</v>
      </c>
      <c r="H6" s="250">
        <f>B6</f>
        <v>2022</v>
      </c>
      <c r="I6" s="248">
        <f>B6</f>
        <v>2022</v>
      </c>
      <c r="J6" s="249">
        <f>C6</f>
        <v>2021</v>
      </c>
      <c r="K6" s="249">
        <f>B6</f>
        <v>2022</v>
      </c>
      <c r="L6" s="249">
        <f>C6</f>
        <v>2021</v>
      </c>
      <c r="M6" s="249">
        <f>B6</f>
        <v>2022</v>
      </c>
      <c r="N6" s="230" t="s">
        <v>62</v>
      </c>
      <c r="O6" s="231" t="s">
        <v>174</v>
      </c>
      <c r="P6" s="231" t="s">
        <v>175</v>
      </c>
      <c r="Q6" s="231" t="s">
        <v>114</v>
      </c>
      <c r="R6" s="232" t="s">
        <v>116</v>
      </c>
      <c r="S6" s="454"/>
      <c r="T6" s="454"/>
    </row>
    <row r="7" spans="1:22" ht="12" customHeight="1">
      <c r="A7" s="177" t="s">
        <v>161</v>
      </c>
      <c r="B7" s="184">
        <v>1134.2625732048143</v>
      </c>
      <c r="C7" s="178">
        <v>1273.1091500516641</v>
      </c>
      <c r="D7" s="212">
        <v>-0.10906101557844841</v>
      </c>
      <c r="E7" s="179">
        <v>1205.7431048765241</v>
      </c>
      <c r="F7" s="179">
        <v>1283.925619090659</v>
      </c>
      <c r="G7" s="212">
        <v>-6.089333607153017E-2</v>
      </c>
      <c r="H7" s="186">
        <v>1205.7431048765241</v>
      </c>
      <c r="I7" s="190">
        <v>12118.789925745998</v>
      </c>
      <c r="J7" s="179">
        <v>13598.778336891666</v>
      </c>
      <c r="K7" s="179">
        <v>12882.508633895299</v>
      </c>
      <c r="L7" s="178">
        <v>13714.314985766725</v>
      </c>
      <c r="M7" s="178">
        <v>12882.508633895299</v>
      </c>
      <c r="N7" s="184">
        <v>0.78709677419354818</v>
      </c>
      <c r="O7" s="178">
        <v>8.6</v>
      </c>
      <c r="P7" s="178">
        <v>-3.8</v>
      </c>
      <c r="Q7" s="178">
        <v>-1.2258064516129035</v>
      </c>
      <c r="R7" s="188">
        <v>2.0129032258064514</v>
      </c>
      <c r="S7" s="210">
        <v>74.624275932857174</v>
      </c>
      <c r="T7" s="210">
        <v>797.307178999999</v>
      </c>
      <c r="U7" s="57"/>
      <c r="V7" s="68"/>
    </row>
    <row r="8" spans="1:22" ht="12" customHeight="1">
      <c r="A8" s="177" t="s">
        <v>162</v>
      </c>
      <c r="B8" s="184">
        <v>890.50037327489224</v>
      </c>
      <c r="C8" s="179">
        <v>1165.2067587806339</v>
      </c>
      <c r="D8" s="212">
        <v>-0.23575763136940306</v>
      </c>
      <c r="E8" s="179">
        <v>992.34776233082323</v>
      </c>
      <c r="F8" s="179">
        <v>1146.9243592637986</v>
      </c>
      <c r="G8" s="212">
        <v>-0.13477488352605643</v>
      </c>
      <c r="H8" s="186">
        <v>992.34776233082323</v>
      </c>
      <c r="I8" s="190">
        <v>9526.9687340309974</v>
      </c>
      <c r="J8" s="179">
        <v>12450.501212999245</v>
      </c>
      <c r="K8" s="179">
        <v>10616.577363402139</v>
      </c>
      <c r="L8" s="178">
        <v>12255.149584933597</v>
      </c>
      <c r="M8" s="178">
        <v>10616.577363402139</v>
      </c>
      <c r="N8" s="190">
        <v>3.0892857142857144</v>
      </c>
      <c r="O8" s="179">
        <v>6.7</v>
      </c>
      <c r="P8" s="179">
        <v>-2</v>
      </c>
      <c r="Q8" s="179">
        <v>-0.15517241379310354</v>
      </c>
      <c r="R8" s="188">
        <v>3.2444581280788181</v>
      </c>
      <c r="S8" s="210">
        <v>41.797281820219396</v>
      </c>
      <c r="T8" s="210">
        <v>447.16588500000057</v>
      </c>
      <c r="U8" s="57"/>
      <c r="V8" s="68"/>
    </row>
    <row r="9" spans="1:22" ht="12" customHeight="1">
      <c r="A9" s="180" t="s">
        <v>163</v>
      </c>
      <c r="B9" s="185">
        <v>922.61982519439664</v>
      </c>
      <c r="C9" s="182">
        <v>1091.1742333659163</v>
      </c>
      <c r="D9" s="215">
        <v>-0.15447066382018967</v>
      </c>
      <c r="E9" s="182">
        <v>915.4910560358029</v>
      </c>
      <c r="F9" s="182">
        <v>1071.0224170552283</v>
      </c>
      <c r="G9" s="215">
        <v>-0.1452176523504132</v>
      </c>
      <c r="H9" s="187">
        <v>915.4910560358029</v>
      </c>
      <c r="I9" s="191">
        <v>9909.4544420370003</v>
      </c>
      <c r="J9" s="182">
        <v>11642.422582350146</v>
      </c>
      <c r="K9" s="182">
        <v>9832.8874625771787</v>
      </c>
      <c r="L9" s="181">
        <v>11427.410209333224</v>
      </c>
      <c r="M9" s="189">
        <v>9832.8874625771787</v>
      </c>
      <c r="N9" s="191">
        <v>3.3161290322580643</v>
      </c>
      <c r="O9" s="182">
        <v>9.8000000000000007</v>
      </c>
      <c r="P9" s="182">
        <v>-2.1</v>
      </c>
      <c r="Q9" s="182">
        <v>3.512903225806451</v>
      </c>
      <c r="R9" s="189">
        <v>-0.19677419354838666</v>
      </c>
      <c r="S9" s="216">
        <v>71.652965030747765</v>
      </c>
      <c r="T9" s="216">
        <v>769.59327900000153</v>
      </c>
      <c r="U9" s="57"/>
      <c r="V9" s="68"/>
    </row>
    <row r="10" spans="1:22" ht="12" customHeight="1">
      <c r="A10" s="177" t="s">
        <v>164</v>
      </c>
      <c r="B10" s="184">
        <v>671.36203982845257</v>
      </c>
      <c r="C10" s="179">
        <v>882.21591334015864</v>
      </c>
      <c r="D10" s="212">
        <v>-0.23900484033822514</v>
      </c>
      <c r="E10" s="179">
        <v>605.2961340668877</v>
      </c>
      <c r="F10" s="179">
        <v>783.3973331043785</v>
      </c>
      <c r="G10" s="212">
        <v>-0.22734465833796871</v>
      </c>
      <c r="H10" s="186">
        <v>605.2961340668877</v>
      </c>
      <c r="I10" s="190">
        <v>7237.9839086889997</v>
      </c>
      <c r="J10" s="179">
        <v>9418.4088102613405</v>
      </c>
      <c r="K10" s="179">
        <v>6525.7244503833781</v>
      </c>
      <c r="L10" s="178">
        <v>8363.4360165986054</v>
      </c>
      <c r="M10" s="178">
        <v>6525.7244503833781</v>
      </c>
      <c r="N10" s="184">
        <v>6.6166666666666663</v>
      </c>
      <c r="O10" s="178">
        <v>13.3</v>
      </c>
      <c r="P10" s="178">
        <v>-1</v>
      </c>
      <c r="Q10" s="178">
        <v>8.6366666666666667</v>
      </c>
      <c r="R10" s="188">
        <v>-2.0200000000000005</v>
      </c>
      <c r="S10" s="210">
        <v>20.144951341097272</v>
      </c>
      <c r="T10" s="210">
        <v>217.18357799999998</v>
      </c>
      <c r="U10" s="57"/>
      <c r="V10" s="68"/>
    </row>
    <row r="11" spans="1:22" ht="12" customHeight="1">
      <c r="A11" s="177" t="s">
        <v>165</v>
      </c>
      <c r="B11" s="184">
        <v>388.89642773175905</v>
      </c>
      <c r="C11" s="179">
        <v>583.12096512511641</v>
      </c>
      <c r="D11" s="212">
        <v>-0.33307760998043329</v>
      </c>
      <c r="E11" s="179">
        <v>408.72629326716236</v>
      </c>
      <c r="F11" s="179">
        <v>531.23739759003411</v>
      </c>
      <c r="G11" s="212">
        <v>-0.23061460823098126</v>
      </c>
      <c r="H11" s="186">
        <v>408.72629326716236</v>
      </c>
      <c r="I11" s="190">
        <v>4179.6571014479996</v>
      </c>
      <c r="J11" s="179">
        <v>6226.3806927155729</v>
      </c>
      <c r="K11" s="179">
        <v>4392.7782113260655</v>
      </c>
      <c r="L11" s="178">
        <v>5672.3844166593235</v>
      </c>
      <c r="M11" s="178">
        <v>4392.7782113260655</v>
      </c>
      <c r="N11" s="190">
        <v>14.500000000000002</v>
      </c>
      <c r="O11" s="179">
        <v>20.6</v>
      </c>
      <c r="P11" s="179">
        <v>9.6999999999999993</v>
      </c>
      <c r="Q11" s="179">
        <v>13.522580645161288</v>
      </c>
      <c r="R11" s="188">
        <v>0.97741935483871423</v>
      </c>
      <c r="S11" s="210">
        <v>41.189720334021821</v>
      </c>
      <c r="T11" s="210">
        <v>442.68606199999959</v>
      </c>
      <c r="U11" s="57"/>
      <c r="V11" s="68"/>
    </row>
    <row r="12" spans="1:22" ht="12" customHeight="1">
      <c r="A12" s="180" t="s">
        <v>166</v>
      </c>
      <c r="B12" s="185">
        <v>336.35371810523372</v>
      </c>
      <c r="C12" s="182">
        <v>415.25958095448908</v>
      </c>
      <c r="D12" s="215">
        <v>-0.19001575512812346</v>
      </c>
      <c r="E12" s="182">
        <v>343.04053123321125</v>
      </c>
      <c r="F12" s="182">
        <v>423.47888333731743</v>
      </c>
      <c r="G12" s="215">
        <v>-0.18994654814944784</v>
      </c>
      <c r="H12" s="187">
        <v>343.04053123321125</v>
      </c>
      <c r="I12" s="191">
        <v>3649.5234233930014</v>
      </c>
      <c r="J12" s="182">
        <v>4436.5117991174047</v>
      </c>
      <c r="K12" s="182">
        <v>3722.0770472264999</v>
      </c>
      <c r="L12" s="181">
        <v>4524.3244196428977</v>
      </c>
      <c r="M12" s="189">
        <v>3722.0770472264999</v>
      </c>
      <c r="N12" s="191">
        <v>18.956666666666667</v>
      </c>
      <c r="O12" s="182">
        <v>25</v>
      </c>
      <c r="P12" s="182">
        <v>14.7</v>
      </c>
      <c r="Q12" s="182">
        <v>16.59</v>
      </c>
      <c r="R12" s="189">
        <v>2.3666666666666671</v>
      </c>
      <c r="S12" s="216">
        <v>54.094859195698191</v>
      </c>
      <c r="T12" s="216">
        <v>586.94163000000049</v>
      </c>
      <c r="U12" s="66"/>
      <c r="V12" s="68"/>
    </row>
    <row r="13" spans="1:22" ht="12" customHeight="1">
      <c r="A13" s="177" t="s">
        <v>167</v>
      </c>
      <c r="B13" s="184"/>
      <c r="C13" s="179">
        <v>382.26749122851908</v>
      </c>
      <c r="D13" s="212"/>
      <c r="E13" s="179"/>
      <c r="F13" s="179">
        <v>385.01381832880293</v>
      </c>
      <c r="G13" s="212"/>
      <c r="H13" s="186">
        <v>280</v>
      </c>
      <c r="I13" s="190"/>
      <c r="J13" s="179">
        <v>4081.9397439643967</v>
      </c>
      <c r="K13" s="179"/>
      <c r="L13" s="178">
        <v>4111.2656531714492</v>
      </c>
      <c r="M13" s="178">
        <v>2980</v>
      </c>
      <c r="N13" s="184"/>
      <c r="O13" s="178"/>
      <c r="P13" s="178"/>
      <c r="Q13" s="178">
        <v>18.522580645161291</v>
      </c>
      <c r="R13" s="188"/>
      <c r="S13" s="210"/>
      <c r="T13" s="210"/>
      <c r="U13" s="57"/>
      <c r="V13" s="65"/>
    </row>
    <row r="14" spans="1:22" ht="12" customHeight="1">
      <c r="A14" s="177" t="s">
        <v>168</v>
      </c>
      <c r="B14" s="184"/>
      <c r="C14" s="179">
        <v>363.44071679746889</v>
      </c>
      <c r="D14" s="212"/>
      <c r="E14" s="179"/>
      <c r="F14" s="179">
        <v>355.73549433169762</v>
      </c>
      <c r="G14" s="212"/>
      <c r="H14" s="186">
        <v>290</v>
      </c>
      <c r="I14" s="190"/>
      <c r="J14" s="179">
        <v>3873.7501156336721</v>
      </c>
      <c r="K14" s="179"/>
      <c r="L14" s="178">
        <v>3791.6236365732707</v>
      </c>
      <c r="M14" s="178">
        <v>3090</v>
      </c>
      <c r="N14" s="190"/>
      <c r="O14" s="179"/>
      <c r="P14" s="179"/>
      <c r="Q14" s="179">
        <v>18.119354838709679</v>
      </c>
      <c r="R14" s="188"/>
      <c r="S14" s="210"/>
      <c r="T14" s="210"/>
      <c r="U14" s="57"/>
      <c r="V14" s="65"/>
    </row>
    <row r="15" spans="1:22" ht="12" customHeight="1">
      <c r="A15" s="180" t="s">
        <v>169</v>
      </c>
      <c r="B15" s="185"/>
      <c r="C15" s="182">
        <v>429.16409860486493</v>
      </c>
      <c r="D15" s="215"/>
      <c r="E15" s="182"/>
      <c r="F15" s="182">
        <v>453.30654023794932</v>
      </c>
      <c r="G15" s="215"/>
      <c r="H15" s="187">
        <v>400</v>
      </c>
      <c r="I15" s="191"/>
      <c r="J15" s="182">
        <v>4575.0590896934445</v>
      </c>
      <c r="K15" s="182"/>
      <c r="L15" s="181">
        <v>4832.4270694473416</v>
      </c>
      <c r="M15" s="181">
        <v>4260</v>
      </c>
      <c r="N15" s="191"/>
      <c r="O15" s="182"/>
      <c r="P15" s="182"/>
      <c r="Q15" s="182">
        <v>13.223333333333333</v>
      </c>
      <c r="R15" s="189"/>
      <c r="S15" s="216"/>
      <c r="T15" s="216"/>
      <c r="U15" s="57"/>
      <c r="V15" s="65"/>
    </row>
    <row r="16" spans="1:22" ht="12" customHeight="1">
      <c r="A16" s="177" t="s">
        <v>170</v>
      </c>
      <c r="B16" s="184"/>
      <c r="C16" s="179">
        <v>710.64530506306801</v>
      </c>
      <c r="D16" s="212"/>
      <c r="E16" s="179"/>
      <c r="F16" s="179">
        <v>706.09674405398198</v>
      </c>
      <c r="G16" s="212"/>
      <c r="H16" s="186">
        <v>670</v>
      </c>
      <c r="I16" s="190"/>
      <c r="J16" s="179">
        <v>7601.8089078956318</v>
      </c>
      <c r="K16" s="179"/>
      <c r="L16" s="178">
        <v>7553.1527198498834</v>
      </c>
      <c r="M16" s="178">
        <v>7140</v>
      </c>
      <c r="N16" s="184"/>
      <c r="O16" s="178"/>
      <c r="P16" s="178"/>
      <c r="Q16" s="178">
        <v>8.3548387096774199</v>
      </c>
      <c r="R16" s="188"/>
      <c r="S16" s="210"/>
      <c r="T16" s="210"/>
      <c r="U16" s="57"/>
      <c r="V16" s="65"/>
    </row>
    <row r="17" spans="1:22" ht="12" customHeight="1">
      <c r="A17" s="177" t="s">
        <v>171</v>
      </c>
      <c r="B17" s="184"/>
      <c r="C17" s="179">
        <v>976.24192688788401</v>
      </c>
      <c r="D17" s="212"/>
      <c r="E17" s="179"/>
      <c r="F17" s="179">
        <v>986.6655418940195</v>
      </c>
      <c r="G17" s="212"/>
      <c r="H17" s="186">
        <v>890</v>
      </c>
      <c r="I17" s="190"/>
      <c r="J17" s="179">
        <v>10424.295084390295</v>
      </c>
      <c r="K17" s="179"/>
      <c r="L17" s="178">
        <v>10535.598272337184</v>
      </c>
      <c r="M17" s="178">
        <v>9480</v>
      </c>
      <c r="N17" s="190"/>
      <c r="O17" s="179"/>
      <c r="P17" s="179"/>
      <c r="Q17" s="179">
        <v>3.5466666666666664</v>
      </c>
      <c r="R17" s="188"/>
      <c r="S17" s="210"/>
      <c r="T17" s="210"/>
      <c r="U17" s="57"/>
      <c r="V17" s="65"/>
    </row>
    <row r="18" spans="1:22" ht="12" customHeight="1">
      <c r="A18" s="180" t="s">
        <v>172</v>
      </c>
      <c r="B18" s="185"/>
      <c r="C18" s="182">
        <v>1161.8881056025075</v>
      </c>
      <c r="D18" s="215"/>
      <c r="E18" s="182"/>
      <c r="F18" s="182">
        <v>1192.8079687562265</v>
      </c>
      <c r="G18" s="215"/>
      <c r="H18" s="187">
        <v>1090</v>
      </c>
      <c r="I18" s="191"/>
      <c r="J18" s="182">
        <v>12407.620587736272</v>
      </c>
      <c r="K18" s="182"/>
      <c r="L18" s="181">
        <v>12737.808949925529</v>
      </c>
      <c r="M18" s="181">
        <v>11610</v>
      </c>
      <c r="N18" s="191"/>
      <c r="O18" s="182"/>
      <c r="P18" s="182"/>
      <c r="Q18" s="182">
        <v>-0.38387096774193558</v>
      </c>
      <c r="R18" s="189"/>
      <c r="S18" s="216"/>
      <c r="T18" s="216"/>
      <c r="U18" s="57"/>
      <c r="V18" s="65"/>
    </row>
    <row r="19" spans="1:22" ht="12" customHeight="1">
      <c r="A19" s="177" t="s">
        <v>48</v>
      </c>
      <c r="B19" s="223">
        <f>SUM(B7:B9)</f>
        <v>2947.382771674103</v>
      </c>
      <c r="C19" s="213">
        <v>3529.4901421982145</v>
      </c>
      <c r="D19" s="212">
        <f>(B19-C19)/C19</f>
        <v>-0.16492675912718857</v>
      </c>
      <c r="E19" s="213">
        <f t="shared" ref="E19" si="0">SUM(E7:E9)</f>
        <v>3113.5819232431504</v>
      </c>
      <c r="F19" s="213">
        <v>3501.8723954096859</v>
      </c>
      <c r="G19" s="212">
        <f t="shared" ref="G19:G25" si="1">(E19-F19)/F19</f>
        <v>-0.1108808169810851</v>
      </c>
      <c r="H19" s="413">
        <f>SUM(H7:H9)</f>
        <v>3113.5819232431504</v>
      </c>
      <c r="I19" s="223">
        <f>SUM(I7:I9)</f>
        <v>31555.213101813995</v>
      </c>
      <c r="J19" s="213">
        <v>37691.702132241058</v>
      </c>
      <c r="K19" s="213">
        <f>SUM(K7:K9)</f>
        <v>33331.973459874614</v>
      </c>
      <c r="L19" s="213">
        <v>37396.874780033548</v>
      </c>
      <c r="M19" s="413">
        <f>SUM(M7:M9)</f>
        <v>33331.973459874614</v>
      </c>
      <c r="N19" s="223">
        <f>AVERAGE(N7:N9)</f>
        <v>2.3975038402457756</v>
      </c>
      <c r="O19" s="213">
        <f>MAX(O7:O9)</f>
        <v>9.8000000000000007</v>
      </c>
      <c r="P19" s="213">
        <f>MIN(P7:P9)</f>
        <v>-3.8</v>
      </c>
      <c r="Q19" s="213">
        <f>AVERAGE(Q7:Q9)</f>
        <v>0.71064145346681462</v>
      </c>
      <c r="R19" s="226">
        <f>N19-Q19</f>
        <v>1.6868623867789609</v>
      </c>
      <c r="S19" s="213">
        <f>SUM(S7:S9)</f>
        <v>188.07452278382434</v>
      </c>
      <c r="T19" s="213">
        <f>SUM(T7:T9)</f>
        <v>2014.0663430000011</v>
      </c>
      <c r="U19" s="63"/>
      <c r="V19" s="65"/>
    </row>
    <row r="20" spans="1:22" ht="12" customHeight="1">
      <c r="A20" s="177" t="s">
        <v>56</v>
      </c>
      <c r="B20" s="223">
        <f>SUM(B10:B12)</f>
        <v>1396.6121856654454</v>
      </c>
      <c r="C20" s="213">
        <v>1880.5964594197642</v>
      </c>
      <c r="D20" s="212">
        <f>(B20-C20)/C20</f>
        <v>-0.25735679301642755</v>
      </c>
      <c r="E20" s="213">
        <f t="shared" ref="E20:I20" si="2">SUM(E10:E12)</f>
        <v>1357.0629585672614</v>
      </c>
      <c r="F20" s="213">
        <v>1738.1136140317301</v>
      </c>
      <c r="G20" s="212">
        <f>(E20-F20)/F20</f>
        <v>-0.21923230586784442</v>
      </c>
      <c r="H20" s="226">
        <f>SUM(H10:H12)</f>
        <v>1357.0629585672614</v>
      </c>
      <c r="I20" s="223">
        <f t="shared" si="2"/>
        <v>15067.164433530001</v>
      </c>
      <c r="J20" s="213">
        <v>20081.301302094318</v>
      </c>
      <c r="K20" s="213">
        <f>SUM(K10:K12)</f>
        <v>14640.579708935944</v>
      </c>
      <c r="L20" s="213">
        <v>18560.144852900827</v>
      </c>
      <c r="M20" s="226">
        <f>SUM(M10:M12)</f>
        <v>14640.579708935944</v>
      </c>
      <c r="N20" s="223">
        <f>AVERAGE(N10:N12)</f>
        <v>13.357777777777779</v>
      </c>
      <c r="O20" s="213">
        <f>MAX(O10:O12)</f>
        <v>25</v>
      </c>
      <c r="P20" s="213">
        <f>MIN(P10:P12)</f>
        <v>-1</v>
      </c>
      <c r="Q20" s="213">
        <f>AVERAGE(Q10:Q12)</f>
        <v>12.916415770609319</v>
      </c>
      <c r="R20" s="226">
        <f t="shared" ref="R20:R25" si="3">N20-Q20</f>
        <v>0.44136200716845941</v>
      </c>
      <c r="S20" s="213">
        <f>SUM(S10:S12)</f>
        <v>115.42953087081729</v>
      </c>
      <c r="T20" s="213">
        <f>SUM(T10:T12)</f>
        <v>1246.8112700000001</v>
      </c>
      <c r="V20" s="65"/>
    </row>
    <row r="21" spans="1:22" ht="12" customHeight="1">
      <c r="A21" s="177" t="s">
        <v>63</v>
      </c>
      <c r="B21" s="233">
        <f>SUM(B13:B15)</f>
        <v>0</v>
      </c>
      <c r="C21" s="213">
        <v>1174.8723066308528</v>
      </c>
      <c r="D21" s="236">
        <f t="shared" ref="D21:D25" si="4">(B21-C21)/C21</f>
        <v>-1</v>
      </c>
      <c r="E21" s="239">
        <f t="shared" ref="E21:K21" si="5">SUM(E13:E15)</f>
        <v>0</v>
      </c>
      <c r="F21" s="213">
        <v>1194.0558528984498</v>
      </c>
      <c r="G21" s="236">
        <f t="shared" si="1"/>
        <v>-1</v>
      </c>
      <c r="H21" s="226">
        <f>SUM(H13:H15)</f>
        <v>970</v>
      </c>
      <c r="I21" s="233">
        <f t="shared" si="5"/>
        <v>0</v>
      </c>
      <c r="J21" s="213">
        <v>12530.748949291514</v>
      </c>
      <c r="K21" s="239">
        <f t="shared" si="5"/>
        <v>0</v>
      </c>
      <c r="L21" s="213">
        <v>12735.316359192062</v>
      </c>
      <c r="M21" s="226">
        <f>SUM(M13:M15)</f>
        <v>10330</v>
      </c>
      <c r="N21" s="233" t="e">
        <f>AVERAGE(N13:N15)</f>
        <v>#DIV/0!</v>
      </c>
      <c r="O21" s="239">
        <f>MAX(O13:O15)</f>
        <v>0</v>
      </c>
      <c r="P21" s="239">
        <f>MIN(P13:P15)</f>
        <v>0</v>
      </c>
      <c r="Q21" s="213">
        <f>AVERAGE(Q13:Q15)</f>
        <v>16.621756272401431</v>
      </c>
      <c r="R21" s="242" t="e">
        <f>N21-Q21</f>
        <v>#DIV/0!</v>
      </c>
      <c r="S21" s="239">
        <f t="shared" ref="S21:T21" si="6">SUM(S13:S15)</f>
        <v>0</v>
      </c>
      <c r="T21" s="239">
        <f t="shared" si="6"/>
        <v>0</v>
      </c>
      <c r="V21" s="65"/>
    </row>
    <row r="22" spans="1:22" ht="12" customHeight="1">
      <c r="A22" s="180" t="s">
        <v>57</v>
      </c>
      <c r="B22" s="234">
        <f>SUM(B16:B18)</f>
        <v>0</v>
      </c>
      <c r="C22" s="217">
        <v>2848.7753375534594</v>
      </c>
      <c r="D22" s="237">
        <f t="shared" si="4"/>
        <v>-1</v>
      </c>
      <c r="E22" s="240">
        <f t="shared" ref="E22:K22" si="7">SUM(E16:E18)</f>
        <v>0</v>
      </c>
      <c r="F22" s="217">
        <v>2885.5702547042283</v>
      </c>
      <c r="G22" s="237">
        <f t="shared" si="1"/>
        <v>-1</v>
      </c>
      <c r="H22" s="227">
        <f>SUM(H16:H18)</f>
        <v>2650</v>
      </c>
      <c r="I22" s="234">
        <f t="shared" si="7"/>
        <v>0</v>
      </c>
      <c r="J22" s="217">
        <v>30433.724580022201</v>
      </c>
      <c r="K22" s="240">
        <f t="shared" si="7"/>
        <v>0</v>
      </c>
      <c r="L22" s="217">
        <v>30826.559942112595</v>
      </c>
      <c r="M22" s="227">
        <f>SUM(M16:M18)</f>
        <v>28230</v>
      </c>
      <c r="N22" s="234" t="e">
        <f>AVERAGE(N16:N18)</f>
        <v>#DIV/0!</v>
      </c>
      <c r="O22" s="240">
        <f>MAX(O16:O18)</f>
        <v>0</v>
      </c>
      <c r="P22" s="240">
        <f>MIN(P16:P18)</f>
        <v>0</v>
      </c>
      <c r="Q22" s="217">
        <f>AVERAGE(Q16:Q18)</f>
        <v>3.83921146953405</v>
      </c>
      <c r="R22" s="243" t="e">
        <f t="shared" si="3"/>
        <v>#DIV/0!</v>
      </c>
      <c r="S22" s="240">
        <f t="shared" ref="S22:T22" si="8">SUM(S16:S18)</f>
        <v>0</v>
      </c>
      <c r="T22" s="240">
        <f t="shared" si="8"/>
        <v>0</v>
      </c>
      <c r="V22" s="65"/>
    </row>
    <row r="23" spans="1:22" ht="12" customHeight="1">
      <c r="A23" s="177" t="s">
        <v>58</v>
      </c>
      <c r="B23" s="223">
        <f>SUM(B7:B12)</f>
        <v>4343.9949573395479</v>
      </c>
      <c r="C23" s="213">
        <v>5410.0866016179789</v>
      </c>
      <c r="D23" s="212">
        <f t="shared" si="4"/>
        <v>-0.1970562992392022</v>
      </c>
      <c r="E23" s="213">
        <f t="shared" ref="E23:K23" si="9">SUM(E7:E12)</f>
        <v>4470.6448818104118</v>
      </c>
      <c r="F23" s="213">
        <v>5239.9860094414153</v>
      </c>
      <c r="G23" s="212">
        <f>(E23-F23)/F23</f>
        <v>-0.14682121788966676</v>
      </c>
      <c r="H23" s="226">
        <f>SUM(H7:H12)</f>
        <v>4470.6448818104118</v>
      </c>
      <c r="I23" s="223">
        <f t="shared" si="9"/>
        <v>46622.377535344</v>
      </c>
      <c r="J23" s="213">
        <v>57773.003434335376</v>
      </c>
      <c r="K23" s="213">
        <f t="shared" si="9"/>
        <v>47972.553168810555</v>
      </c>
      <c r="L23" s="213">
        <v>55957.019632934382</v>
      </c>
      <c r="M23" s="226">
        <f>SUM(M7:M12)</f>
        <v>47972.553168810555</v>
      </c>
      <c r="N23" s="223">
        <f>AVERAGE(N7:N12)</f>
        <v>7.8776408090117771</v>
      </c>
      <c r="O23" s="213">
        <f>MAX(O7:O12)</f>
        <v>25</v>
      </c>
      <c r="P23" s="213">
        <f>MIN(P7:P12)</f>
        <v>-3.8</v>
      </c>
      <c r="Q23" s="213">
        <f>AVERAGE(Q7:Q12)</f>
        <v>6.8135286120380663</v>
      </c>
      <c r="R23" s="226">
        <f t="shared" si="3"/>
        <v>1.0641121969737108</v>
      </c>
      <c r="S23" s="213">
        <f>SUM(S7:S12)</f>
        <v>303.50405365464161</v>
      </c>
      <c r="T23" s="213">
        <f>SUM(T7:T12)</f>
        <v>3260.8776130000015</v>
      </c>
      <c r="V23" s="65"/>
    </row>
    <row r="24" spans="1:22" ht="12" customHeight="1">
      <c r="A24" s="180" t="s">
        <v>59</v>
      </c>
      <c r="B24" s="234">
        <f>SUM(B13:B18)</f>
        <v>0</v>
      </c>
      <c r="C24" s="217">
        <v>4023.6476441843124</v>
      </c>
      <c r="D24" s="237">
        <f t="shared" si="4"/>
        <v>-1</v>
      </c>
      <c r="E24" s="240">
        <f t="shared" ref="E24:K24" si="10">SUM(E13:E18)</f>
        <v>0</v>
      </c>
      <c r="F24" s="217">
        <v>4079.6261076026776</v>
      </c>
      <c r="G24" s="237">
        <f t="shared" si="1"/>
        <v>-1</v>
      </c>
      <c r="H24" s="227">
        <f>SUM(H13:H18)</f>
        <v>3620</v>
      </c>
      <c r="I24" s="234">
        <f t="shared" si="10"/>
        <v>0</v>
      </c>
      <c r="J24" s="217">
        <v>42964.473529313713</v>
      </c>
      <c r="K24" s="240">
        <f t="shared" si="10"/>
        <v>0</v>
      </c>
      <c r="L24" s="217">
        <v>43561.876301304655</v>
      </c>
      <c r="M24" s="227">
        <f>SUM(M13:M18)</f>
        <v>38560</v>
      </c>
      <c r="N24" s="234" t="e">
        <f>AVERAGE(N13:N18)</f>
        <v>#DIV/0!</v>
      </c>
      <c r="O24" s="240">
        <f>MAX(O13:O18)</f>
        <v>0</v>
      </c>
      <c r="P24" s="240">
        <f>MIN(P13:P18)</f>
        <v>0</v>
      </c>
      <c r="Q24" s="217">
        <f>AVERAGE(Q13:Q18)</f>
        <v>10.230483870967742</v>
      </c>
      <c r="R24" s="243" t="e">
        <f t="shared" si="3"/>
        <v>#DIV/0!</v>
      </c>
      <c r="S24" s="240">
        <f t="shared" ref="S24:T24" si="11">SUM(S13:S18)</f>
        <v>0</v>
      </c>
      <c r="T24" s="240">
        <f t="shared" si="11"/>
        <v>0</v>
      </c>
      <c r="V24" s="65"/>
    </row>
    <row r="25" spans="1:22" ht="12" customHeight="1">
      <c r="A25" s="218" t="s">
        <v>173</v>
      </c>
      <c r="B25" s="235">
        <f>SUM(B7:B18)</f>
        <v>4343.9949573395479</v>
      </c>
      <c r="C25" s="219">
        <v>9433.7342458022922</v>
      </c>
      <c r="D25" s="238">
        <f t="shared" si="4"/>
        <v>-0.53952540487638967</v>
      </c>
      <c r="E25" s="241">
        <f t="shared" ref="E25:K25" si="12">SUM(E7:E18)</f>
        <v>4470.6448818104118</v>
      </c>
      <c r="F25" s="219">
        <v>9319.6121170440929</v>
      </c>
      <c r="G25" s="238">
        <f t="shared" si="1"/>
        <v>-0.52029710832768339</v>
      </c>
      <c r="H25" s="228">
        <f>SUM(H7:H18)</f>
        <v>8090.6448818104118</v>
      </c>
      <c r="I25" s="235">
        <f t="shared" si="12"/>
        <v>46622.377535344</v>
      </c>
      <c r="J25" s="219">
        <v>100737.47696364907</v>
      </c>
      <c r="K25" s="241">
        <f t="shared" si="12"/>
        <v>47972.553168810555</v>
      </c>
      <c r="L25" s="219">
        <v>99518.895934239044</v>
      </c>
      <c r="M25" s="228">
        <f>SUM(M7:M18)</f>
        <v>86532.553168810555</v>
      </c>
      <c r="N25" s="235">
        <f>AVERAGE(N7:N18)</f>
        <v>7.8776408090117771</v>
      </c>
      <c r="O25" s="241">
        <f>MAX(O7:O18)</f>
        <v>25</v>
      </c>
      <c r="P25" s="241">
        <f>MIN(P7:P18)</f>
        <v>-3.8</v>
      </c>
      <c r="Q25" s="219">
        <f>AVERAGE(Q7:Q18)</f>
        <v>8.5220062415029041</v>
      </c>
      <c r="R25" s="244">
        <f t="shared" si="3"/>
        <v>-0.64436543249112699</v>
      </c>
      <c r="S25" s="241">
        <f t="shared" ref="S25:T25" si="13">SUM(S7:S18)</f>
        <v>303.50405365464161</v>
      </c>
      <c r="T25" s="241">
        <f t="shared" si="13"/>
        <v>3260.8776130000015</v>
      </c>
      <c r="V25" s="65"/>
    </row>
    <row r="26" spans="1:22" ht="11.25" customHeight="1">
      <c r="A26" s="463" t="s">
        <v>316</v>
      </c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</row>
    <row r="27" spans="1:22" ht="15" customHeight="1">
      <c r="A27" s="462" t="s">
        <v>254</v>
      </c>
      <c r="B27" s="462"/>
      <c r="C27" s="462"/>
      <c r="D27" s="462"/>
      <c r="E27" s="462"/>
      <c r="F27" s="462"/>
      <c r="G27" s="462"/>
      <c r="H27" s="462"/>
      <c r="I27" s="462"/>
      <c r="J27" s="462" t="s">
        <v>157</v>
      </c>
      <c r="K27" s="462"/>
      <c r="L27" s="462"/>
      <c r="M27" s="462"/>
      <c r="N27" s="462"/>
      <c r="O27" s="462"/>
      <c r="P27" s="462"/>
      <c r="Q27" s="462"/>
      <c r="R27" s="462"/>
      <c r="S27" s="462"/>
      <c r="T27" s="462"/>
    </row>
    <row r="28" spans="1:22" ht="8.1" customHeight="1">
      <c r="A28" s="61"/>
      <c r="B28" s="61"/>
      <c r="C28" s="61"/>
      <c r="D28" s="61"/>
      <c r="E28" s="61" t="s">
        <v>138</v>
      </c>
      <c r="F28" s="61" t="s">
        <v>133</v>
      </c>
      <c r="G28" s="61"/>
      <c r="H28" s="61"/>
      <c r="I28" s="61"/>
      <c r="J28" s="61"/>
      <c r="K28" s="61"/>
      <c r="L28" s="61"/>
      <c r="M28" s="61"/>
      <c r="N28" s="62" t="str">
        <f>N6</f>
        <v>Průměr</v>
      </c>
      <c r="O28" s="62" t="str">
        <f>Q6</f>
        <v>Normál</v>
      </c>
      <c r="P28" s="62"/>
      <c r="Q28" s="61"/>
      <c r="R28" s="61"/>
      <c r="S28" s="61"/>
      <c r="T28" s="61"/>
    </row>
    <row r="29" spans="1:22" ht="6.95" customHeight="1">
      <c r="A29" s="61"/>
      <c r="B29" s="61"/>
      <c r="C29" s="61"/>
      <c r="D29" s="61" t="str">
        <f>A7</f>
        <v>Leden</v>
      </c>
      <c r="E29" s="62">
        <f>B7</f>
        <v>1134.2625732048143</v>
      </c>
      <c r="F29" s="62">
        <f>E7</f>
        <v>1205.7431048765241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0.78709677419354818</v>
      </c>
      <c r="O29" s="62">
        <f>Q7</f>
        <v>-1.2258064516129035</v>
      </c>
      <c r="P29" s="62"/>
      <c r="Q29" s="61"/>
      <c r="R29" s="61"/>
      <c r="S29" s="61"/>
      <c r="T29" s="61"/>
    </row>
    <row r="30" spans="1:22" ht="6.95" customHeight="1">
      <c r="A30" s="61"/>
      <c r="B30" s="61"/>
      <c r="C30" s="61"/>
      <c r="D30" s="61" t="str">
        <f t="shared" ref="D30:D39" si="14">A8</f>
        <v>Únor</v>
      </c>
      <c r="E30" s="62">
        <f t="shared" ref="E30:E40" si="15">B8</f>
        <v>890.50037327489224</v>
      </c>
      <c r="F30" s="62">
        <f t="shared" ref="F30:F40" si="16">E8</f>
        <v>992.34776233082323</v>
      </c>
      <c r="G30" s="62"/>
      <c r="H30" s="62"/>
      <c r="I30" s="61"/>
      <c r="J30" s="61"/>
      <c r="K30" s="61"/>
      <c r="L30" s="61"/>
      <c r="M30" s="61" t="str">
        <f t="shared" ref="M30:M40" si="17">A8</f>
        <v>Únor</v>
      </c>
      <c r="N30" s="62">
        <f t="shared" ref="N30:N40" si="18">N8</f>
        <v>3.0892857142857144</v>
      </c>
      <c r="O30" s="62">
        <f t="shared" ref="O30:O40" si="19">Q8</f>
        <v>-0.15517241379310354</v>
      </c>
      <c r="P30" s="62"/>
      <c r="Q30" s="61"/>
      <c r="R30" s="61"/>
      <c r="S30" s="61"/>
      <c r="T30" s="61"/>
    </row>
    <row r="31" spans="1:22" ht="6.95" customHeight="1">
      <c r="A31" s="61"/>
      <c r="B31" s="61"/>
      <c r="C31" s="61"/>
      <c r="D31" s="61" t="str">
        <f t="shared" si="14"/>
        <v>Březen</v>
      </c>
      <c r="E31" s="62">
        <f t="shared" si="15"/>
        <v>922.61982519439664</v>
      </c>
      <c r="F31" s="62">
        <f t="shared" si="16"/>
        <v>915.4910560358029</v>
      </c>
      <c r="G31" s="62"/>
      <c r="H31" s="62"/>
      <c r="I31" s="61"/>
      <c r="J31" s="61"/>
      <c r="K31" s="61"/>
      <c r="L31" s="61"/>
      <c r="M31" s="61" t="str">
        <f t="shared" si="17"/>
        <v>Březen</v>
      </c>
      <c r="N31" s="62">
        <f t="shared" si="18"/>
        <v>3.3161290322580643</v>
      </c>
      <c r="O31" s="62">
        <f t="shared" si="19"/>
        <v>3.512903225806451</v>
      </c>
      <c r="P31" s="62"/>
      <c r="Q31" s="61"/>
      <c r="R31" s="61"/>
      <c r="S31" s="61"/>
      <c r="T31" s="61"/>
    </row>
    <row r="32" spans="1:22" ht="6.95" customHeight="1">
      <c r="A32" s="61"/>
      <c r="B32" s="61"/>
      <c r="C32" s="61"/>
      <c r="D32" s="61" t="str">
        <f t="shared" si="14"/>
        <v>Duben</v>
      </c>
      <c r="E32" s="62">
        <f t="shared" si="15"/>
        <v>671.36203982845257</v>
      </c>
      <c r="F32" s="62">
        <f t="shared" si="16"/>
        <v>605.2961340668877</v>
      </c>
      <c r="G32" s="62"/>
      <c r="H32" s="62"/>
      <c r="I32" s="61"/>
      <c r="J32" s="61"/>
      <c r="K32" s="61"/>
      <c r="L32" s="61"/>
      <c r="M32" s="61" t="str">
        <f t="shared" si="17"/>
        <v>Duben</v>
      </c>
      <c r="N32" s="62">
        <f t="shared" si="18"/>
        <v>6.6166666666666663</v>
      </c>
      <c r="O32" s="62">
        <f t="shared" si="19"/>
        <v>8.6366666666666667</v>
      </c>
      <c r="P32" s="62"/>
      <c r="Q32" s="61"/>
      <c r="R32" s="61"/>
      <c r="S32" s="61"/>
      <c r="T32" s="61"/>
    </row>
    <row r="33" spans="1:20" ht="6.95" customHeight="1">
      <c r="A33" s="61"/>
      <c r="B33" s="61"/>
      <c r="C33" s="61"/>
      <c r="D33" s="61" t="str">
        <f t="shared" si="14"/>
        <v>Květen</v>
      </c>
      <c r="E33" s="62">
        <f t="shared" si="15"/>
        <v>388.89642773175905</v>
      </c>
      <c r="F33" s="62">
        <f t="shared" si="16"/>
        <v>408.72629326716236</v>
      </c>
      <c r="G33" s="62"/>
      <c r="H33" s="62"/>
      <c r="I33" s="61"/>
      <c r="J33" s="61"/>
      <c r="K33" s="61"/>
      <c r="L33" s="61"/>
      <c r="M33" s="61" t="str">
        <f t="shared" si="17"/>
        <v>Květen</v>
      </c>
      <c r="N33" s="62">
        <f t="shared" si="18"/>
        <v>14.500000000000002</v>
      </c>
      <c r="O33" s="62">
        <f t="shared" si="19"/>
        <v>13.522580645161288</v>
      </c>
      <c r="P33" s="62"/>
      <c r="Q33" s="61"/>
      <c r="R33" s="61"/>
      <c r="S33" s="61"/>
      <c r="T33" s="61"/>
    </row>
    <row r="34" spans="1:20" ht="6.95" customHeight="1">
      <c r="A34" s="61"/>
      <c r="B34" s="61"/>
      <c r="C34" s="61"/>
      <c r="D34" s="61" t="str">
        <f t="shared" si="14"/>
        <v>Červen</v>
      </c>
      <c r="E34" s="62">
        <f t="shared" si="15"/>
        <v>336.35371810523372</v>
      </c>
      <c r="F34" s="62">
        <f t="shared" si="16"/>
        <v>343.04053123321125</v>
      </c>
      <c r="G34" s="62"/>
      <c r="H34" s="62"/>
      <c r="I34" s="61"/>
      <c r="J34" s="61"/>
      <c r="K34" s="61"/>
      <c r="L34" s="61"/>
      <c r="M34" s="61" t="str">
        <f t="shared" si="17"/>
        <v>Červen</v>
      </c>
      <c r="N34" s="62">
        <f t="shared" si="18"/>
        <v>18.956666666666667</v>
      </c>
      <c r="O34" s="62">
        <f t="shared" si="19"/>
        <v>16.59</v>
      </c>
      <c r="P34" s="62"/>
      <c r="Q34" s="61"/>
      <c r="R34" s="61"/>
      <c r="S34" s="61"/>
      <c r="T34" s="61"/>
    </row>
    <row r="35" spans="1:20" ht="6.95" customHeight="1">
      <c r="A35" s="61"/>
      <c r="B35" s="61"/>
      <c r="C35" s="61"/>
      <c r="D35" s="61" t="str">
        <f t="shared" si="14"/>
        <v>Červenec</v>
      </c>
      <c r="E35" s="62">
        <f t="shared" si="15"/>
        <v>0</v>
      </c>
      <c r="F35" s="62">
        <f t="shared" si="16"/>
        <v>0</v>
      </c>
      <c r="G35" s="62"/>
      <c r="H35" s="62"/>
      <c r="I35" s="61"/>
      <c r="J35" s="61"/>
      <c r="K35" s="61"/>
      <c r="L35" s="61"/>
      <c r="M35" s="61" t="str">
        <f t="shared" si="17"/>
        <v>Červenec</v>
      </c>
      <c r="N35" s="62">
        <f t="shared" si="18"/>
        <v>0</v>
      </c>
      <c r="O35" s="62">
        <f t="shared" si="19"/>
        <v>18.522580645161291</v>
      </c>
      <c r="P35" s="62"/>
      <c r="Q35" s="61"/>
      <c r="R35" s="61"/>
      <c r="S35" s="61"/>
      <c r="T35" s="61"/>
    </row>
    <row r="36" spans="1:20" ht="6.95" customHeight="1">
      <c r="A36" s="61"/>
      <c r="B36" s="61"/>
      <c r="C36" s="61"/>
      <c r="D36" s="61" t="str">
        <f t="shared" si="14"/>
        <v>Srpen</v>
      </c>
      <c r="E36" s="62">
        <f t="shared" si="15"/>
        <v>0</v>
      </c>
      <c r="F36" s="62">
        <f t="shared" si="16"/>
        <v>0</v>
      </c>
      <c r="G36" s="62"/>
      <c r="H36" s="62"/>
      <c r="I36" s="61"/>
      <c r="J36" s="61"/>
      <c r="K36" s="61"/>
      <c r="L36" s="61"/>
      <c r="M36" s="61" t="str">
        <f t="shared" si="17"/>
        <v>Srpen</v>
      </c>
      <c r="N36" s="62">
        <f t="shared" si="18"/>
        <v>0</v>
      </c>
      <c r="O36" s="62">
        <f t="shared" si="19"/>
        <v>18.119354838709679</v>
      </c>
      <c r="P36" s="62"/>
      <c r="Q36" s="61"/>
      <c r="R36" s="61"/>
      <c r="S36" s="61"/>
      <c r="T36" s="61"/>
    </row>
    <row r="37" spans="1:20" ht="6.95" customHeight="1">
      <c r="A37" s="61"/>
      <c r="B37" s="61"/>
      <c r="C37" s="61"/>
      <c r="D37" s="61" t="str">
        <f t="shared" si="14"/>
        <v>Září</v>
      </c>
      <c r="E37" s="62">
        <f t="shared" si="15"/>
        <v>0</v>
      </c>
      <c r="F37" s="62">
        <f t="shared" si="16"/>
        <v>0</v>
      </c>
      <c r="G37" s="62"/>
      <c r="H37" s="62"/>
      <c r="I37" s="61"/>
      <c r="J37" s="61"/>
      <c r="K37" s="61"/>
      <c r="L37" s="61"/>
      <c r="M37" s="61" t="str">
        <f t="shared" si="17"/>
        <v>Září</v>
      </c>
      <c r="N37" s="62">
        <f t="shared" si="18"/>
        <v>0</v>
      </c>
      <c r="O37" s="62">
        <f t="shared" si="19"/>
        <v>13.223333333333333</v>
      </c>
      <c r="P37" s="62"/>
      <c r="Q37" s="61"/>
      <c r="R37" s="61"/>
      <c r="S37" s="61"/>
      <c r="T37" s="61"/>
    </row>
    <row r="38" spans="1:20" ht="6.95" customHeight="1">
      <c r="A38" s="61"/>
      <c r="B38" s="61"/>
      <c r="C38" s="61"/>
      <c r="D38" s="61" t="str">
        <f t="shared" si="14"/>
        <v>Říjen</v>
      </c>
      <c r="E38" s="62">
        <f t="shared" si="15"/>
        <v>0</v>
      </c>
      <c r="F38" s="62">
        <f t="shared" si="16"/>
        <v>0</v>
      </c>
      <c r="G38" s="62"/>
      <c r="H38" s="62"/>
      <c r="I38" s="61"/>
      <c r="J38" s="61"/>
      <c r="K38" s="61"/>
      <c r="L38" s="61"/>
      <c r="M38" s="61" t="str">
        <f t="shared" si="17"/>
        <v>Říjen</v>
      </c>
      <c r="N38" s="62">
        <f t="shared" si="18"/>
        <v>0</v>
      </c>
      <c r="O38" s="62">
        <f t="shared" si="19"/>
        <v>8.3548387096774199</v>
      </c>
      <c r="P38" s="62"/>
      <c r="Q38" s="61"/>
      <c r="R38" s="61"/>
      <c r="S38" s="61"/>
      <c r="T38" s="61"/>
    </row>
    <row r="39" spans="1:20" ht="6.95" customHeight="1">
      <c r="A39" s="61"/>
      <c r="B39" s="61"/>
      <c r="C39" s="61"/>
      <c r="D39" s="61" t="str">
        <f t="shared" si="14"/>
        <v>Listopad</v>
      </c>
      <c r="E39" s="62">
        <f t="shared" si="15"/>
        <v>0</v>
      </c>
      <c r="F39" s="62">
        <f t="shared" si="16"/>
        <v>0</v>
      </c>
      <c r="G39" s="61"/>
      <c r="H39" s="61"/>
      <c r="I39" s="61"/>
      <c r="J39" s="61"/>
      <c r="K39" s="61"/>
      <c r="L39" s="61"/>
      <c r="M39" s="61" t="str">
        <f t="shared" si="17"/>
        <v>Listopad</v>
      </c>
      <c r="N39" s="62">
        <f t="shared" si="18"/>
        <v>0</v>
      </c>
      <c r="O39" s="62">
        <f t="shared" si="19"/>
        <v>3.5466666666666664</v>
      </c>
      <c r="P39" s="61"/>
      <c r="Q39" s="61"/>
      <c r="R39" s="61"/>
      <c r="S39" s="61"/>
      <c r="T39" s="61"/>
    </row>
    <row r="40" spans="1:20" ht="6.95" customHeight="1">
      <c r="A40" s="61"/>
      <c r="B40" s="61"/>
      <c r="C40" s="61"/>
      <c r="D40" s="61" t="str">
        <f>A18</f>
        <v>Prosinec</v>
      </c>
      <c r="E40" s="62">
        <f t="shared" si="15"/>
        <v>0</v>
      </c>
      <c r="F40" s="62">
        <f t="shared" si="16"/>
        <v>0</v>
      </c>
      <c r="G40" s="61"/>
      <c r="H40" s="61"/>
      <c r="I40" s="61"/>
      <c r="J40" s="61"/>
      <c r="K40" s="61"/>
      <c r="L40" s="61"/>
      <c r="M40" s="61" t="str">
        <f t="shared" si="17"/>
        <v>Prosinec</v>
      </c>
      <c r="N40" s="62">
        <f t="shared" si="18"/>
        <v>0</v>
      </c>
      <c r="O40" s="62">
        <f t="shared" si="19"/>
        <v>-0.38387096774193558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A27:I27"/>
    <mergeCell ref="J27:T27"/>
    <mergeCell ref="A26:T26"/>
    <mergeCell ref="B5:D5"/>
    <mergeCell ref="E5:G5"/>
    <mergeCell ref="S5:T6"/>
    <mergeCell ref="I4:M4"/>
    <mergeCell ref="N4:R4"/>
    <mergeCell ref="N5:R5"/>
    <mergeCell ref="B4:H4"/>
    <mergeCell ref="I5:J5"/>
    <mergeCell ref="K5:L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G22 C19:G19 J19 L19 C20 L20 B24:G24 C23:F23 I21:L22 I20:J20 I24:L24 I23:L23 N19:R19 N20 N21:T22 N24:T24 N23:R23 P20:R20 E20:F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activeCell="E1" sqref="E1"/>
    </sheetView>
  </sheetViews>
  <sheetFormatPr defaultRowHeight="11.25"/>
  <cols>
    <col min="1" max="1" width="8.28515625" style="12" customWidth="1"/>
    <col min="2" max="3" width="5.42578125" style="12" customWidth="1"/>
    <col min="4" max="4" width="6.5703125" style="12" customWidth="1"/>
    <col min="5" max="5" width="7.7109375" style="12" customWidth="1"/>
    <col min="6" max="6" width="4.140625" style="12" customWidth="1"/>
    <col min="7" max="7" width="7.7109375" style="12" customWidth="1"/>
    <col min="8" max="13" width="6.7109375" style="12" customWidth="1"/>
    <col min="14" max="14" width="7.5703125" style="12" customWidth="1"/>
    <col min="15" max="18" width="7.28515625" style="12" customWidth="1"/>
    <col min="19" max="20" width="6.7109375" style="12" customWidth="1"/>
    <col min="21" max="21" width="8" style="12" customWidth="1"/>
    <col min="22" max="22" width="9.28515625" style="12" bestFit="1" customWidth="1"/>
    <col min="23" max="23" width="11.42578125" style="12" bestFit="1" customWidth="1"/>
    <col min="24" max="262" width="9.140625" style="12"/>
    <col min="263" max="275" width="10.7109375" style="12" customWidth="1"/>
    <col min="276" max="518" width="9.140625" style="12"/>
    <col min="519" max="531" width="10.7109375" style="12" customWidth="1"/>
    <col min="532" max="774" width="9.140625" style="12"/>
    <col min="775" max="787" width="10.7109375" style="12" customWidth="1"/>
    <col min="788" max="1030" width="9.140625" style="12"/>
    <col min="1031" max="1043" width="10.7109375" style="12" customWidth="1"/>
    <col min="1044" max="1286" width="9.140625" style="12"/>
    <col min="1287" max="1299" width="10.7109375" style="12" customWidth="1"/>
    <col min="1300" max="1542" width="9.140625" style="12"/>
    <col min="1543" max="1555" width="10.7109375" style="12" customWidth="1"/>
    <col min="1556" max="1798" width="9.140625" style="12"/>
    <col min="1799" max="1811" width="10.7109375" style="12" customWidth="1"/>
    <col min="1812" max="2054" width="9.140625" style="12"/>
    <col min="2055" max="2067" width="10.7109375" style="12" customWidth="1"/>
    <col min="2068" max="2310" width="9.140625" style="12"/>
    <col min="2311" max="2323" width="10.7109375" style="12" customWidth="1"/>
    <col min="2324" max="2566" width="9.140625" style="12"/>
    <col min="2567" max="2579" width="10.7109375" style="12" customWidth="1"/>
    <col min="2580" max="2822" width="9.140625" style="12"/>
    <col min="2823" max="2835" width="10.7109375" style="12" customWidth="1"/>
    <col min="2836" max="3078" width="9.140625" style="12"/>
    <col min="3079" max="3091" width="10.7109375" style="12" customWidth="1"/>
    <col min="3092" max="3334" width="9.140625" style="12"/>
    <col min="3335" max="3347" width="10.7109375" style="12" customWidth="1"/>
    <col min="3348" max="3590" width="9.140625" style="12"/>
    <col min="3591" max="3603" width="10.7109375" style="12" customWidth="1"/>
    <col min="3604" max="3846" width="9.140625" style="12"/>
    <col min="3847" max="3859" width="10.7109375" style="12" customWidth="1"/>
    <col min="3860" max="4102" width="9.140625" style="12"/>
    <col min="4103" max="4115" width="10.7109375" style="12" customWidth="1"/>
    <col min="4116" max="4358" width="9.140625" style="12"/>
    <col min="4359" max="4371" width="10.7109375" style="12" customWidth="1"/>
    <col min="4372" max="4614" width="9.140625" style="12"/>
    <col min="4615" max="4627" width="10.7109375" style="12" customWidth="1"/>
    <col min="4628" max="4870" width="9.140625" style="12"/>
    <col min="4871" max="4883" width="10.7109375" style="12" customWidth="1"/>
    <col min="4884" max="5126" width="9.140625" style="12"/>
    <col min="5127" max="5139" width="10.7109375" style="12" customWidth="1"/>
    <col min="5140" max="5382" width="9.140625" style="12"/>
    <col min="5383" max="5395" width="10.7109375" style="12" customWidth="1"/>
    <col min="5396" max="5638" width="9.140625" style="12"/>
    <col min="5639" max="5651" width="10.7109375" style="12" customWidth="1"/>
    <col min="5652" max="5894" width="9.140625" style="12"/>
    <col min="5895" max="5907" width="10.7109375" style="12" customWidth="1"/>
    <col min="5908" max="6150" width="9.140625" style="12"/>
    <col min="6151" max="6163" width="10.7109375" style="12" customWidth="1"/>
    <col min="6164" max="6406" width="9.140625" style="12"/>
    <col min="6407" max="6419" width="10.7109375" style="12" customWidth="1"/>
    <col min="6420" max="6662" width="9.140625" style="12"/>
    <col min="6663" max="6675" width="10.7109375" style="12" customWidth="1"/>
    <col min="6676" max="6918" width="9.140625" style="12"/>
    <col min="6919" max="6931" width="10.7109375" style="12" customWidth="1"/>
    <col min="6932" max="7174" width="9.140625" style="12"/>
    <col min="7175" max="7187" width="10.7109375" style="12" customWidth="1"/>
    <col min="7188" max="7430" width="9.140625" style="12"/>
    <col min="7431" max="7443" width="10.7109375" style="12" customWidth="1"/>
    <col min="7444" max="7686" width="9.140625" style="12"/>
    <col min="7687" max="7699" width="10.7109375" style="12" customWidth="1"/>
    <col min="7700" max="7942" width="9.140625" style="12"/>
    <col min="7943" max="7955" width="10.7109375" style="12" customWidth="1"/>
    <col min="7956" max="8198" width="9.140625" style="12"/>
    <col min="8199" max="8211" width="10.7109375" style="12" customWidth="1"/>
    <col min="8212" max="8454" width="9.140625" style="12"/>
    <col min="8455" max="8467" width="10.7109375" style="12" customWidth="1"/>
    <col min="8468" max="8710" width="9.140625" style="12"/>
    <col min="8711" max="8723" width="10.7109375" style="12" customWidth="1"/>
    <col min="8724" max="8966" width="9.140625" style="12"/>
    <col min="8967" max="8979" width="10.7109375" style="12" customWidth="1"/>
    <col min="8980" max="9222" width="9.140625" style="12"/>
    <col min="9223" max="9235" width="10.7109375" style="12" customWidth="1"/>
    <col min="9236" max="9478" width="9.140625" style="12"/>
    <col min="9479" max="9491" width="10.7109375" style="12" customWidth="1"/>
    <col min="9492" max="9734" width="9.140625" style="12"/>
    <col min="9735" max="9747" width="10.7109375" style="12" customWidth="1"/>
    <col min="9748" max="9990" width="9.140625" style="12"/>
    <col min="9991" max="10003" width="10.7109375" style="12" customWidth="1"/>
    <col min="10004" max="10246" width="9.140625" style="12"/>
    <col min="10247" max="10259" width="10.7109375" style="12" customWidth="1"/>
    <col min="10260" max="10502" width="9.140625" style="12"/>
    <col min="10503" max="10515" width="10.7109375" style="12" customWidth="1"/>
    <col min="10516" max="10758" width="9.140625" style="12"/>
    <col min="10759" max="10771" width="10.7109375" style="12" customWidth="1"/>
    <col min="10772" max="11014" width="9.140625" style="12"/>
    <col min="11015" max="11027" width="10.7109375" style="12" customWidth="1"/>
    <col min="11028" max="11270" width="9.140625" style="12"/>
    <col min="11271" max="11283" width="10.7109375" style="12" customWidth="1"/>
    <col min="11284" max="11526" width="9.140625" style="12"/>
    <col min="11527" max="11539" width="10.7109375" style="12" customWidth="1"/>
    <col min="11540" max="11782" width="9.140625" style="12"/>
    <col min="11783" max="11795" width="10.7109375" style="12" customWidth="1"/>
    <col min="11796" max="12038" width="9.140625" style="12"/>
    <col min="12039" max="12051" width="10.7109375" style="12" customWidth="1"/>
    <col min="12052" max="12294" width="9.140625" style="12"/>
    <col min="12295" max="12307" width="10.7109375" style="12" customWidth="1"/>
    <col min="12308" max="12550" width="9.140625" style="12"/>
    <col min="12551" max="12563" width="10.7109375" style="12" customWidth="1"/>
    <col min="12564" max="12806" width="9.140625" style="12"/>
    <col min="12807" max="12819" width="10.7109375" style="12" customWidth="1"/>
    <col min="12820" max="13062" width="9.140625" style="12"/>
    <col min="13063" max="13075" width="10.7109375" style="12" customWidth="1"/>
    <col min="13076" max="13318" width="9.140625" style="12"/>
    <col min="13319" max="13331" width="10.7109375" style="12" customWidth="1"/>
    <col min="13332" max="13574" width="9.140625" style="12"/>
    <col min="13575" max="13587" width="10.7109375" style="12" customWidth="1"/>
    <col min="13588" max="13830" width="9.140625" style="12"/>
    <col min="13831" max="13843" width="10.7109375" style="12" customWidth="1"/>
    <col min="13844" max="14086" width="9.140625" style="12"/>
    <col min="14087" max="14099" width="10.7109375" style="12" customWidth="1"/>
    <col min="14100" max="14342" width="9.140625" style="12"/>
    <col min="14343" max="14355" width="10.7109375" style="12" customWidth="1"/>
    <col min="14356" max="14598" width="9.140625" style="12"/>
    <col min="14599" max="14611" width="10.7109375" style="12" customWidth="1"/>
    <col min="14612" max="14854" width="9.140625" style="12"/>
    <col min="14855" max="14867" width="10.7109375" style="12" customWidth="1"/>
    <col min="14868" max="15110" width="9.140625" style="12"/>
    <col min="15111" max="15123" width="10.7109375" style="12" customWidth="1"/>
    <col min="15124" max="15366" width="9.140625" style="12"/>
    <col min="15367" max="15379" width="10.7109375" style="12" customWidth="1"/>
    <col min="15380" max="15622" width="9.140625" style="12"/>
    <col min="15623" max="15635" width="10.7109375" style="12" customWidth="1"/>
    <col min="15636" max="15878" width="9.140625" style="12"/>
    <col min="15879" max="15891" width="10.7109375" style="12" customWidth="1"/>
    <col min="15892" max="16134" width="9.140625" style="12"/>
    <col min="16135" max="16147" width="10.7109375" style="12" customWidth="1"/>
    <col min="16148" max="16384" width="9.140625" style="12"/>
  </cols>
  <sheetData>
    <row r="1" spans="1:36" ht="18">
      <c r="A1" s="451" t="s">
        <v>299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</row>
    <row r="2" spans="1:36" ht="6" customHeight="1">
      <c r="A2" s="256"/>
      <c r="B2" s="465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</row>
    <row r="3" spans="1:36" ht="18" customHeight="1">
      <c r="A3" s="267">
        <f>'3.1'!A4</f>
        <v>2022</v>
      </c>
      <c r="B3" s="457" t="s">
        <v>160</v>
      </c>
      <c r="C3" s="460"/>
      <c r="D3" s="460"/>
      <c r="E3" s="460"/>
      <c r="F3" s="460"/>
      <c r="G3" s="459"/>
      <c r="H3" s="460" t="s">
        <v>60</v>
      </c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</row>
    <row r="4" spans="1:36" ht="18" customHeight="1">
      <c r="A4" s="211"/>
      <c r="B4" s="264"/>
      <c r="C4" s="265"/>
      <c r="D4" s="265"/>
      <c r="E4" s="265"/>
      <c r="F4" s="265"/>
      <c r="G4" s="266"/>
      <c r="H4" s="268" t="s">
        <v>264</v>
      </c>
      <c r="I4" s="268"/>
      <c r="J4" s="268"/>
      <c r="K4" s="268"/>
      <c r="L4" s="268"/>
      <c r="M4" s="467" t="s">
        <v>270</v>
      </c>
      <c r="N4" s="268"/>
      <c r="O4" s="269" t="s">
        <v>222</v>
      </c>
      <c r="P4" s="268"/>
      <c r="Q4" s="268"/>
      <c r="R4" s="268"/>
      <c r="S4" s="268"/>
      <c r="T4" s="467" t="s">
        <v>270</v>
      </c>
      <c r="U4" s="268"/>
    </row>
    <row r="5" spans="1:36" ht="16.5" customHeight="1">
      <c r="A5" s="214"/>
      <c r="B5" s="248" t="s">
        <v>4</v>
      </c>
      <c r="C5" s="249" t="s">
        <v>5</v>
      </c>
      <c r="D5" s="195" t="s">
        <v>6</v>
      </c>
      <c r="E5" s="249" t="s">
        <v>7</v>
      </c>
      <c r="F5" s="249" t="s">
        <v>93</v>
      </c>
      <c r="G5" s="250" t="s">
        <v>0</v>
      </c>
      <c r="H5" s="249" t="s">
        <v>4</v>
      </c>
      <c r="I5" s="249" t="s">
        <v>5</v>
      </c>
      <c r="J5" s="195" t="s">
        <v>6</v>
      </c>
      <c r="K5" s="249" t="s">
        <v>7</v>
      </c>
      <c r="L5" s="249" t="s">
        <v>93</v>
      </c>
      <c r="M5" s="468"/>
      <c r="N5" s="249" t="s">
        <v>0</v>
      </c>
      <c r="O5" s="248" t="s">
        <v>4</v>
      </c>
      <c r="P5" s="249" t="s">
        <v>5</v>
      </c>
      <c r="Q5" s="195" t="s">
        <v>6</v>
      </c>
      <c r="R5" s="249" t="s">
        <v>7</v>
      </c>
      <c r="S5" s="249" t="s">
        <v>93</v>
      </c>
      <c r="T5" s="468"/>
      <c r="U5" s="249" t="s">
        <v>0</v>
      </c>
    </row>
    <row r="6" spans="1:36" ht="12.95" customHeight="1">
      <c r="A6" s="177" t="s">
        <v>161</v>
      </c>
      <c r="B6" s="259">
        <v>1589</v>
      </c>
      <c r="C6" s="252">
        <v>6422</v>
      </c>
      <c r="D6" s="255">
        <v>206565</v>
      </c>
      <c r="E6" s="255">
        <v>2603081</v>
      </c>
      <c r="F6" s="255">
        <v>269</v>
      </c>
      <c r="G6" s="261">
        <v>2817926</v>
      </c>
      <c r="H6" s="178">
        <v>417.8761824965423</v>
      </c>
      <c r="I6" s="178">
        <v>113.89226187318174</v>
      </c>
      <c r="J6" s="179">
        <v>194.25971169325581</v>
      </c>
      <c r="K6" s="179">
        <v>376.53221797080107</v>
      </c>
      <c r="L6" s="179">
        <v>8.1911284262710922</v>
      </c>
      <c r="M6" s="179">
        <v>23.511330737856248</v>
      </c>
      <c r="N6" s="179">
        <v>1134.2628331979081</v>
      </c>
      <c r="O6" s="184">
        <v>4464.9772652500005</v>
      </c>
      <c r="P6" s="178">
        <v>1216.8533480500002</v>
      </c>
      <c r="Q6" s="179">
        <v>2075.4122010419997</v>
      </c>
      <c r="R6" s="179">
        <v>4022.5961266499999</v>
      </c>
      <c r="S6" s="179">
        <v>87.494825248000012</v>
      </c>
      <c r="T6" s="179">
        <v>251.45584312599999</v>
      </c>
      <c r="U6" s="179">
        <v>12118.789609366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2.95" customHeight="1">
      <c r="A7" s="177" t="s">
        <v>162</v>
      </c>
      <c r="B7" s="259">
        <v>1604</v>
      </c>
      <c r="C7" s="255">
        <v>6404</v>
      </c>
      <c r="D7" s="255">
        <v>206570</v>
      </c>
      <c r="E7" s="255">
        <v>2601500</v>
      </c>
      <c r="F7" s="255">
        <v>267</v>
      </c>
      <c r="G7" s="261">
        <v>2816345</v>
      </c>
      <c r="H7" s="178">
        <v>333.16496980097912</v>
      </c>
      <c r="I7" s="179">
        <v>88.552413955088454</v>
      </c>
      <c r="J7" s="179">
        <v>149.38257536260662</v>
      </c>
      <c r="K7" s="179">
        <v>289.3871280833709</v>
      </c>
      <c r="L7" s="179">
        <v>7.9088505263358826</v>
      </c>
      <c r="M7" s="179">
        <v>22.104462365356802</v>
      </c>
      <c r="N7" s="179">
        <v>890.50040009373788</v>
      </c>
      <c r="O7" s="184">
        <v>3563.7369240569997</v>
      </c>
      <c r="P7" s="179">
        <v>947.62199068999973</v>
      </c>
      <c r="Q7" s="179">
        <v>1598.3664674999998</v>
      </c>
      <c r="R7" s="179">
        <v>3095.9852085000002</v>
      </c>
      <c r="S7" s="179">
        <v>84.59846069000001</v>
      </c>
      <c r="T7" s="179">
        <v>236.65974078100004</v>
      </c>
      <c r="U7" s="179">
        <v>9526.9687922179983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2.95" customHeight="1">
      <c r="A8" s="180" t="s">
        <v>163</v>
      </c>
      <c r="B8" s="260">
        <v>1590</v>
      </c>
      <c r="C8" s="258">
        <v>6333</v>
      </c>
      <c r="D8" s="258">
        <v>206703</v>
      </c>
      <c r="E8" s="258">
        <v>2598845</v>
      </c>
      <c r="F8" s="258">
        <v>266</v>
      </c>
      <c r="G8" s="262">
        <v>2813737</v>
      </c>
      <c r="H8" s="181">
        <v>379.5177550534919</v>
      </c>
      <c r="I8" s="182">
        <v>89.034741068460633</v>
      </c>
      <c r="J8" s="182">
        <v>148.29408307661922</v>
      </c>
      <c r="K8" s="182">
        <v>278.02440668042067</v>
      </c>
      <c r="L8" s="182">
        <v>8.4542786574713151</v>
      </c>
      <c r="M8" s="182">
        <v>19.294227898231501</v>
      </c>
      <c r="N8" s="182">
        <v>922.61949243469508</v>
      </c>
      <c r="O8" s="185">
        <v>4077.0794042900002</v>
      </c>
      <c r="P8" s="182">
        <v>956.47539709999967</v>
      </c>
      <c r="Q8" s="182">
        <v>1592.6357480540948</v>
      </c>
      <c r="R8" s="182">
        <v>2985.2951682687376</v>
      </c>
      <c r="S8" s="182">
        <v>90.752821179999984</v>
      </c>
      <c r="T8" s="182">
        <v>207.21545435699989</v>
      </c>
      <c r="U8" s="182">
        <v>9909.4539932498319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2.95" customHeight="1">
      <c r="A9" s="177" t="s">
        <v>164</v>
      </c>
      <c r="B9" s="259">
        <v>1597</v>
      </c>
      <c r="C9" s="255">
        <v>6325</v>
      </c>
      <c r="D9" s="255">
        <v>206580</v>
      </c>
      <c r="E9" s="255">
        <v>2595254</v>
      </c>
      <c r="F9" s="255">
        <v>267</v>
      </c>
      <c r="G9" s="261">
        <v>2810023</v>
      </c>
      <c r="H9" s="178">
        <v>282.6245843377099</v>
      </c>
      <c r="I9" s="179">
        <v>65.722493463260207</v>
      </c>
      <c r="J9" s="179">
        <v>106.42392799712559</v>
      </c>
      <c r="K9" s="179">
        <v>202.24702490695273</v>
      </c>
      <c r="L9" s="179">
        <v>7.5344390691538381</v>
      </c>
      <c r="M9" s="179">
        <v>6.8096798347968086</v>
      </c>
      <c r="N9" s="179">
        <v>671.36214960899906</v>
      </c>
      <c r="O9" s="184">
        <v>3045.8723572199992</v>
      </c>
      <c r="P9" s="179">
        <v>709.00925124999992</v>
      </c>
      <c r="Q9" s="179">
        <v>1147.6814270952573</v>
      </c>
      <c r="R9" s="179">
        <v>2180.5954954686508</v>
      </c>
      <c r="S9" s="179">
        <v>81.220817919999988</v>
      </c>
      <c r="T9" s="179">
        <v>73.604566568999928</v>
      </c>
      <c r="U9" s="179">
        <v>7237.9839155229074</v>
      </c>
      <c r="V9" s="58"/>
      <c r="W9" s="57"/>
      <c r="X9" s="57"/>
      <c r="Y9" s="57"/>
    </row>
    <row r="10" spans="1:36" ht="12.95" customHeight="1">
      <c r="A10" s="177" t="s">
        <v>165</v>
      </c>
      <c r="B10" s="259">
        <v>1593</v>
      </c>
      <c r="C10" s="255">
        <v>6336</v>
      </c>
      <c r="D10" s="255">
        <v>206441</v>
      </c>
      <c r="E10" s="255">
        <v>2591925</v>
      </c>
      <c r="F10" s="255">
        <v>267</v>
      </c>
      <c r="G10" s="261">
        <v>2806562</v>
      </c>
      <c r="H10" s="178">
        <v>258.94452558089102</v>
      </c>
      <c r="I10" s="179">
        <v>31.625946046684192</v>
      </c>
      <c r="J10" s="179">
        <v>32.38876027348585</v>
      </c>
      <c r="K10" s="179">
        <v>53.285019932516519</v>
      </c>
      <c r="L10" s="179">
        <v>8.0277099220274248</v>
      </c>
      <c r="M10" s="179">
        <v>4.6242103988143199</v>
      </c>
      <c r="N10" s="179">
        <v>388.89617215441922</v>
      </c>
      <c r="O10" s="184">
        <v>2782.5941548759997</v>
      </c>
      <c r="P10" s="179">
        <v>339.93987856999991</v>
      </c>
      <c r="Q10" s="179">
        <v>348.16597261510276</v>
      </c>
      <c r="R10" s="179">
        <v>572.75985395987436</v>
      </c>
      <c r="S10" s="179">
        <v>86.268259439999994</v>
      </c>
      <c r="T10" s="179">
        <v>49.929173227999947</v>
      </c>
      <c r="U10" s="179">
        <v>4179.6572926889767</v>
      </c>
      <c r="V10" s="58"/>
      <c r="W10" s="57"/>
      <c r="X10" s="57"/>
      <c r="Y10" s="57"/>
    </row>
    <row r="11" spans="1:36" ht="12.95" customHeight="1">
      <c r="A11" s="180" t="s">
        <v>166</v>
      </c>
      <c r="B11" s="260">
        <v>1591</v>
      </c>
      <c r="C11" s="258">
        <v>6324</v>
      </c>
      <c r="D11" s="258">
        <v>205977</v>
      </c>
      <c r="E11" s="258">
        <v>2588055</v>
      </c>
      <c r="F11" s="258">
        <v>269</v>
      </c>
      <c r="G11" s="262">
        <v>2802216</v>
      </c>
      <c r="H11" s="181">
        <v>251.40916096732676</v>
      </c>
      <c r="I11" s="182">
        <v>24.137694260499966</v>
      </c>
      <c r="J11" s="182">
        <v>19.747869799824556</v>
      </c>
      <c r="K11" s="182">
        <v>31.423549326765514</v>
      </c>
      <c r="L11" s="182">
        <v>7.9767455237439293</v>
      </c>
      <c r="M11" s="182">
        <v>1.6594749988929134</v>
      </c>
      <c r="N11" s="182">
        <v>336.35449487705364</v>
      </c>
      <c r="O11" s="185">
        <v>2727.8744485210004</v>
      </c>
      <c r="P11" s="182">
        <v>261.7555653500001</v>
      </c>
      <c r="Q11" s="182">
        <v>214.22030429838711</v>
      </c>
      <c r="R11" s="182">
        <v>340.87825455462865</v>
      </c>
      <c r="S11" s="182">
        <v>86.487387070000011</v>
      </c>
      <c r="T11" s="182">
        <v>18.30745918299996</v>
      </c>
      <c r="U11" s="182">
        <v>3649.5234189770167</v>
      </c>
      <c r="V11" s="58"/>
      <c r="W11" s="57"/>
      <c r="X11" s="57"/>
      <c r="Y11" s="57"/>
    </row>
    <row r="12" spans="1:36" ht="12.95" customHeight="1">
      <c r="A12" s="177" t="s">
        <v>167</v>
      </c>
      <c r="B12" s="259"/>
      <c r="C12" s="255"/>
      <c r="D12" s="255"/>
      <c r="E12" s="255"/>
      <c r="F12" s="255"/>
      <c r="G12" s="261"/>
      <c r="H12" s="178"/>
      <c r="I12" s="179"/>
      <c r="J12" s="179"/>
      <c r="K12" s="179"/>
      <c r="L12" s="179"/>
      <c r="M12" s="179"/>
      <c r="N12" s="179"/>
      <c r="O12" s="184"/>
      <c r="P12" s="179"/>
      <c r="Q12" s="179"/>
      <c r="R12" s="179"/>
      <c r="S12" s="179"/>
      <c r="T12" s="179"/>
      <c r="U12" s="179"/>
      <c r="V12" s="58"/>
      <c r="W12" s="57"/>
      <c r="X12" s="57"/>
      <c r="Y12" s="57"/>
    </row>
    <row r="13" spans="1:36" ht="12.95" customHeight="1">
      <c r="A13" s="177" t="s">
        <v>168</v>
      </c>
      <c r="B13" s="259"/>
      <c r="C13" s="255"/>
      <c r="D13" s="255"/>
      <c r="E13" s="255"/>
      <c r="F13" s="255"/>
      <c r="G13" s="261"/>
      <c r="H13" s="178"/>
      <c r="I13" s="179"/>
      <c r="J13" s="179"/>
      <c r="K13" s="179"/>
      <c r="L13" s="179"/>
      <c r="M13" s="179"/>
      <c r="N13" s="179"/>
      <c r="O13" s="184"/>
      <c r="P13" s="179"/>
      <c r="Q13" s="179"/>
      <c r="R13" s="179"/>
      <c r="S13" s="179"/>
      <c r="T13" s="179"/>
      <c r="U13" s="179"/>
      <c r="V13" s="58"/>
      <c r="W13" s="57"/>
      <c r="X13" s="57"/>
      <c r="Y13" s="57"/>
    </row>
    <row r="14" spans="1:36" ht="12.95" customHeight="1">
      <c r="A14" s="180" t="s">
        <v>169</v>
      </c>
      <c r="B14" s="260"/>
      <c r="C14" s="258"/>
      <c r="D14" s="258"/>
      <c r="E14" s="258"/>
      <c r="F14" s="258"/>
      <c r="G14" s="262"/>
      <c r="H14" s="181"/>
      <c r="I14" s="182"/>
      <c r="J14" s="182"/>
      <c r="K14" s="182"/>
      <c r="L14" s="182"/>
      <c r="M14" s="182"/>
      <c r="N14" s="182"/>
      <c r="O14" s="185"/>
      <c r="P14" s="182"/>
      <c r="Q14" s="182"/>
      <c r="R14" s="182"/>
      <c r="S14" s="182"/>
      <c r="T14" s="182"/>
      <c r="U14" s="182"/>
      <c r="V14" s="58"/>
      <c r="W14" s="57"/>
      <c r="X14" s="57"/>
      <c r="Y14" s="57"/>
    </row>
    <row r="15" spans="1:36" ht="12.95" customHeight="1">
      <c r="A15" s="177" t="s">
        <v>170</v>
      </c>
      <c r="B15" s="259"/>
      <c r="C15" s="255"/>
      <c r="D15" s="255"/>
      <c r="E15" s="255"/>
      <c r="F15" s="255"/>
      <c r="G15" s="261"/>
      <c r="H15" s="178"/>
      <c r="I15" s="179"/>
      <c r="J15" s="179"/>
      <c r="K15" s="179"/>
      <c r="L15" s="179"/>
      <c r="M15" s="179"/>
      <c r="N15" s="179"/>
      <c r="O15" s="184"/>
      <c r="P15" s="179"/>
      <c r="Q15" s="179"/>
      <c r="R15" s="179"/>
      <c r="S15" s="179"/>
      <c r="T15" s="179"/>
      <c r="U15" s="179"/>
      <c r="V15" s="58"/>
      <c r="W15" s="57"/>
      <c r="X15" s="57"/>
      <c r="Y15" s="57"/>
    </row>
    <row r="16" spans="1:36" ht="12.95" customHeight="1">
      <c r="A16" s="177" t="s">
        <v>171</v>
      </c>
      <c r="B16" s="259"/>
      <c r="C16" s="255"/>
      <c r="D16" s="255"/>
      <c r="E16" s="255"/>
      <c r="F16" s="255"/>
      <c r="G16" s="261"/>
      <c r="H16" s="178"/>
      <c r="I16" s="179"/>
      <c r="J16" s="179"/>
      <c r="K16" s="179"/>
      <c r="L16" s="179"/>
      <c r="M16" s="179"/>
      <c r="N16" s="179"/>
      <c r="O16" s="184"/>
      <c r="P16" s="179"/>
      <c r="Q16" s="179"/>
      <c r="R16" s="179"/>
      <c r="S16" s="179"/>
      <c r="T16" s="179"/>
      <c r="U16" s="179"/>
      <c r="V16" s="58"/>
      <c r="W16" s="57"/>
      <c r="X16" s="57"/>
      <c r="Y16" s="57"/>
    </row>
    <row r="17" spans="1:25" ht="12.95" customHeight="1">
      <c r="A17" s="180" t="s">
        <v>172</v>
      </c>
      <c r="B17" s="260"/>
      <c r="C17" s="258"/>
      <c r="D17" s="258"/>
      <c r="E17" s="258"/>
      <c r="F17" s="258"/>
      <c r="G17" s="262"/>
      <c r="H17" s="181"/>
      <c r="I17" s="182"/>
      <c r="J17" s="182"/>
      <c r="K17" s="182"/>
      <c r="L17" s="182"/>
      <c r="M17" s="182"/>
      <c r="N17" s="182"/>
      <c r="O17" s="185"/>
      <c r="P17" s="182"/>
      <c r="Q17" s="182"/>
      <c r="R17" s="182"/>
      <c r="S17" s="182"/>
      <c r="T17" s="182"/>
      <c r="U17" s="182"/>
      <c r="V17" s="58"/>
      <c r="W17" s="57"/>
      <c r="X17" s="57"/>
      <c r="Y17" s="57"/>
    </row>
    <row r="18" spans="1:25" ht="12.95" customHeight="1">
      <c r="A18" s="177" t="s">
        <v>48</v>
      </c>
      <c r="B18" s="259">
        <f>B8</f>
        <v>1590</v>
      </c>
      <c r="C18" s="252">
        <f t="shared" ref="C18:E18" si="0">C8</f>
        <v>6333</v>
      </c>
      <c r="D18" s="252">
        <f t="shared" si="0"/>
        <v>206703</v>
      </c>
      <c r="E18" s="252">
        <f t="shared" si="0"/>
        <v>2598845</v>
      </c>
      <c r="F18" s="252">
        <f t="shared" ref="F18" si="1">F8</f>
        <v>266</v>
      </c>
      <c r="G18" s="263">
        <f>G8</f>
        <v>2813737</v>
      </c>
      <c r="H18" s="178">
        <f>SUM(H6:H8)</f>
        <v>1130.5589073510132</v>
      </c>
      <c r="I18" s="178">
        <f>SUM(I6:I8)</f>
        <v>291.47941689673081</v>
      </c>
      <c r="J18" s="178">
        <f t="shared" ref="J18:K18" si="2">SUM(J6:J8)</f>
        <v>491.93637013248167</v>
      </c>
      <c r="K18" s="178">
        <f t="shared" si="2"/>
        <v>943.94375273459264</v>
      </c>
      <c r="L18" s="178">
        <f t="shared" ref="L18" si="3">SUM(L6:L8)</f>
        <v>24.554257610078288</v>
      </c>
      <c r="M18" s="178">
        <f t="shared" ref="M18" si="4">SUM(M6:M8)</f>
        <v>64.910021001444548</v>
      </c>
      <c r="N18" s="178">
        <f>SUM(N6:N8)</f>
        <v>2947.3827257263411</v>
      </c>
      <c r="O18" s="184">
        <f>SUM(O6:O8)</f>
        <v>12105.793593597</v>
      </c>
      <c r="P18" s="178">
        <f>SUM(P6:P8)</f>
        <v>3120.9507358399997</v>
      </c>
      <c r="Q18" s="178">
        <f t="shared" ref="Q18:U18" si="5">SUM(Q6:Q8)</f>
        <v>5266.4144165960943</v>
      </c>
      <c r="R18" s="178">
        <f t="shared" si="5"/>
        <v>10103.876503418738</v>
      </c>
      <c r="S18" s="178">
        <f t="shared" ref="S18" si="6">SUM(S6:S8)</f>
        <v>262.84610711799996</v>
      </c>
      <c r="T18" s="178">
        <f t="shared" ref="T18" si="7">SUM(T6:T8)</f>
        <v>695.33103826399997</v>
      </c>
      <c r="U18" s="178">
        <f t="shared" si="5"/>
        <v>31555.212394833827</v>
      </c>
    </row>
    <row r="19" spans="1:25" ht="12.95" customHeight="1">
      <c r="A19" s="177" t="s">
        <v>56</v>
      </c>
      <c r="B19" s="259">
        <f>B11</f>
        <v>1591</v>
      </c>
      <c r="C19" s="252">
        <f t="shared" ref="C19:G19" si="8">C11</f>
        <v>6324</v>
      </c>
      <c r="D19" s="252">
        <f t="shared" si="8"/>
        <v>205977</v>
      </c>
      <c r="E19" s="252">
        <f t="shared" si="8"/>
        <v>2588055</v>
      </c>
      <c r="F19" s="252">
        <f t="shared" ref="F19" si="9">F11</f>
        <v>269</v>
      </c>
      <c r="G19" s="263">
        <f t="shared" si="8"/>
        <v>2802216</v>
      </c>
      <c r="H19" s="178">
        <f>SUM(H9:H11)</f>
        <v>792.97827088592771</v>
      </c>
      <c r="I19" s="178">
        <f>SUM(I9:I11)</f>
        <v>121.48613377044437</v>
      </c>
      <c r="J19" s="178">
        <f t="shared" ref="J19:N19" si="10">SUM(J9:J11)</f>
        <v>158.560558070436</v>
      </c>
      <c r="K19" s="178">
        <f t="shared" si="10"/>
        <v>286.95559416623479</v>
      </c>
      <c r="L19" s="178">
        <f t="shared" ref="L19" si="11">SUM(L9:L11)</f>
        <v>23.538894514925193</v>
      </c>
      <c r="M19" s="178">
        <f t="shared" ref="M19" si="12">SUM(M9:M11)</f>
        <v>13.093365232504041</v>
      </c>
      <c r="N19" s="178">
        <f t="shared" si="10"/>
        <v>1396.6128166404719</v>
      </c>
      <c r="O19" s="184">
        <f>SUM(O9:O11)</f>
        <v>8556.3409606169989</v>
      </c>
      <c r="P19" s="178">
        <f>SUM(P9:P11)</f>
        <v>1310.7046951699999</v>
      </c>
      <c r="Q19" s="178">
        <f t="shared" ref="Q19:U19" si="13">SUM(Q9:Q11)</f>
        <v>1710.0677040087473</v>
      </c>
      <c r="R19" s="178">
        <f t="shared" si="13"/>
        <v>3094.2336039831539</v>
      </c>
      <c r="S19" s="178">
        <f t="shared" ref="S19" si="14">SUM(S9:S11)</f>
        <v>253.97646442999999</v>
      </c>
      <c r="T19" s="178">
        <f t="shared" ref="T19" si="15">SUM(T9:T11)</f>
        <v>141.84119897999983</v>
      </c>
      <c r="U19" s="178">
        <f t="shared" si="13"/>
        <v>15067.1646271889</v>
      </c>
    </row>
    <row r="20" spans="1:25" ht="12.95" customHeight="1">
      <c r="A20" s="177" t="s">
        <v>63</v>
      </c>
      <c r="B20" s="359">
        <f>B14</f>
        <v>0</v>
      </c>
      <c r="C20" s="253">
        <f t="shared" ref="C20:G20" si="16">C14</f>
        <v>0</v>
      </c>
      <c r="D20" s="253">
        <f t="shared" si="16"/>
        <v>0</v>
      </c>
      <c r="E20" s="253">
        <f t="shared" si="16"/>
        <v>0</v>
      </c>
      <c r="F20" s="253">
        <f t="shared" ref="F20" si="17">F14</f>
        <v>0</v>
      </c>
      <c r="G20" s="360">
        <f t="shared" si="16"/>
        <v>0</v>
      </c>
      <c r="H20" s="254">
        <f>SUM(H12:H14)</f>
        <v>0</v>
      </c>
      <c r="I20" s="254">
        <f>SUM(I12:I14)</f>
        <v>0</v>
      </c>
      <c r="J20" s="254">
        <f t="shared" ref="J20:N20" si="18">SUM(J12:J14)</f>
        <v>0</v>
      </c>
      <c r="K20" s="254">
        <f t="shared" si="18"/>
        <v>0</v>
      </c>
      <c r="L20" s="254">
        <f t="shared" ref="L20" si="19">SUM(L12:L14)</f>
        <v>0</v>
      </c>
      <c r="M20" s="254">
        <f t="shared" ref="M20" si="20">SUM(M12:M14)</f>
        <v>0</v>
      </c>
      <c r="N20" s="254">
        <f t="shared" si="18"/>
        <v>0</v>
      </c>
      <c r="O20" s="398">
        <f>SUM(O12:O14)</f>
        <v>0</v>
      </c>
      <c r="P20" s="254">
        <f>SUM(P12:P14)</f>
        <v>0</v>
      </c>
      <c r="Q20" s="254">
        <f t="shared" ref="Q20:U20" si="21">SUM(Q12:Q14)</f>
        <v>0</v>
      </c>
      <c r="R20" s="254">
        <f t="shared" si="21"/>
        <v>0</v>
      </c>
      <c r="S20" s="254">
        <f t="shared" ref="S20" si="22">SUM(S12:S14)</f>
        <v>0</v>
      </c>
      <c r="T20" s="254">
        <f t="shared" ref="T20" si="23">SUM(T12:T14)</f>
        <v>0</v>
      </c>
      <c r="U20" s="254">
        <f t="shared" si="21"/>
        <v>0</v>
      </c>
    </row>
    <row r="21" spans="1:25" ht="12.95" customHeight="1">
      <c r="A21" s="180" t="s">
        <v>57</v>
      </c>
      <c r="B21" s="361">
        <f>B17</f>
        <v>0</v>
      </c>
      <c r="C21" s="362">
        <f t="shared" ref="C21:E21" si="24">C17</f>
        <v>0</v>
      </c>
      <c r="D21" s="362">
        <f t="shared" si="24"/>
        <v>0</v>
      </c>
      <c r="E21" s="362">
        <f t="shared" si="24"/>
        <v>0</v>
      </c>
      <c r="F21" s="362">
        <f t="shared" ref="F21" si="25">F17</f>
        <v>0</v>
      </c>
      <c r="G21" s="363">
        <f>G17</f>
        <v>0</v>
      </c>
      <c r="H21" s="399">
        <f>SUM(H15:H17)</f>
        <v>0</v>
      </c>
      <c r="I21" s="399">
        <f>SUM(I15:I17)</f>
        <v>0</v>
      </c>
      <c r="J21" s="399">
        <f t="shared" ref="J21:N21" si="26">SUM(J15:J17)</f>
        <v>0</v>
      </c>
      <c r="K21" s="399">
        <f t="shared" si="26"/>
        <v>0</v>
      </c>
      <c r="L21" s="399">
        <f t="shared" ref="L21" si="27">SUM(L15:L17)</f>
        <v>0</v>
      </c>
      <c r="M21" s="399">
        <f t="shared" ref="M21" si="28">SUM(M15:M17)</f>
        <v>0</v>
      </c>
      <c r="N21" s="399">
        <f t="shared" si="26"/>
        <v>0</v>
      </c>
      <c r="O21" s="400">
        <f>SUM(O15:O17)</f>
        <v>0</v>
      </c>
      <c r="P21" s="399">
        <f>SUM(P15:P17)</f>
        <v>0</v>
      </c>
      <c r="Q21" s="399">
        <f t="shared" ref="Q21:U21" si="29">SUM(Q15:Q17)</f>
        <v>0</v>
      </c>
      <c r="R21" s="399">
        <f t="shared" si="29"/>
        <v>0</v>
      </c>
      <c r="S21" s="399">
        <f t="shared" ref="S21" si="30">SUM(S15:S17)</f>
        <v>0</v>
      </c>
      <c r="T21" s="399">
        <f t="shared" ref="T21" si="31">SUM(T15:T17)</f>
        <v>0</v>
      </c>
      <c r="U21" s="399">
        <f t="shared" si="29"/>
        <v>0</v>
      </c>
    </row>
    <row r="22" spans="1:25" ht="12.95" customHeight="1">
      <c r="A22" s="177" t="s">
        <v>58</v>
      </c>
      <c r="B22" s="259">
        <f>B11</f>
        <v>1591</v>
      </c>
      <c r="C22" s="252">
        <f t="shared" ref="C22:G22" si="32">C11</f>
        <v>6324</v>
      </c>
      <c r="D22" s="252">
        <f t="shared" si="32"/>
        <v>205977</v>
      </c>
      <c r="E22" s="252">
        <f t="shared" si="32"/>
        <v>2588055</v>
      </c>
      <c r="F22" s="252">
        <f t="shared" ref="F22" si="33">F11</f>
        <v>269</v>
      </c>
      <c r="G22" s="263">
        <f t="shared" si="32"/>
        <v>2802216</v>
      </c>
      <c r="H22" s="178">
        <f>SUM(H6:H11)</f>
        <v>1923.5371782369407</v>
      </c>
      <c r="I22" s="178">
        <f>SUM(I6:I11)</f>
        <v>412.96555066717519</v>
      </c>
      <c r="J22" s="178">
        <f t="shared" ref="J22:N22" si="34">SUM(J6:J11)</f>
        <v>650.49692820291773</v>
      </c>
      <c r="K22" s="178">
        <f t="shared" si="34"/>
        <v>1230.8993469008274</v>
      </c>
      <c r="L22" s="178">
        <f t="shared" ref="L22" si="35">SUM(L6:L11)</f>
        <v>48.093152125003485</v>
      </c>
      <c r="M22" s="178">
        <f t="shared" ref="M22" si="36">SUM(M6:M11)</f>
        <v>78.003386233948603</v>
      </c>
      <c r="N22" s="178">
        <f t="shared" si="34"/>
        <v>4343.9955423668125</v>
      </c>
      <c r="O22" s="184">
        <f>SUM(O6:O11)</f>
        <v>20662.134554214001</v>
      </c>
      <c r="P22" s="178">
        <f>SUM(P6:P11)</f>
        <v>4431.65543101</v>
      </c>
      <c r="Q22" s="178">
        <f t="shared" ref="Q22:U22" si="37">SUM(Q6:Q11)</f>
        <v>6976.4821206048418</v>
      </c>
      <c r="R22" s="178">
        <f t="shared" si="37"/>
        <v>13198.110107401893</v>
      </c>
      <c r="S22" s="178">
        <f t="shared" ref="S22" si="38">SUM(S6:S11)</f>
        <v>516.82257154800004</v>
      </c>
      <c r="T22" s="178">
        <f t="shared" ref="T22" si="39">SUM(T6:T11)</f>
        <v>837.1722372439998</v>
      </c>
      <c r="U22" s="178">
        <f t="shared" si="37"/>
        <v>46622.377022022731</v>
      </c>
    </row>
    <row r="23" spans="1:25" ht="12.95" customHeight="1">
      <c r="A23" s="180" t="s">
        <v>59</v>
      </c>
      <c r="B23" s="361">
        <f>B17</f>
        <v>0</v>
      </c>
      <c r="C23" s="362">
        <f t="shared" ref="C23:G23" si="40">C17</f>
        <v>0</v>
      </c>
      <c r="D23" s="362">
        <f t="shared" si="40"/>
        <v>0</v>
      </c>
      <c r="E23" s="362">
        <f t="shared" si="40"/>
        <v>0</v>
      </c>
      <c r="F23" s="362">
        <f t="shared" ref="F23" si="41">F17</f>
        <v>0</v>
      </c>
      <c r="G23" s="363">
        <f t="shared" si="40"/>
        <v>0</v>
      </c>
      <c r="H23" s="399">
        <f>SUM(H12:H17)</f>
        <v>0</v>
      </c>
      <c r="I23" s="399">
        <f>SUM(I12:I17)</f>
        <v>0</v>
      </c>
      <c r="J23" s="399">
        <f t="shared" ref="J23:N23" si="42">SUM(J12:J17)</f>
        <v>0</v>
      </c>
      <c r="K23" s="399">
        <f t="shared" si="42"/>
        <v>0</v>
      </c>
      <c r="L23" s="399">
        <f t="shared" ref="L23" si="43">SUM(L12:L17)</f>
        <v>0</v>
      </c>
      <c r="M23" s="399">
        <f t="shared" ref="M23" si="44">SUM(M12:M17)</f>
        <v>0</v>
      </c>
      <c r="N23" s="399">
        <f t="shared" si="42"/>
        <v>0</v>
      </c>
      <c r="O23" s="400">
        <f>SUM(O12:O17)</f>
        <v>0</v>
      </c>
      <c r="P23" s="399">
        <f>SUM(P12:P17)</f>
        <v>0</v>
      </c>
      <c r="Q23" s="399">
        <f t="shared" ref="Q23:U23" si="45">SUM(Q12:Q17)</f>
        <v>0</v>
      </c>
      <c r="R23" s="399">
        <f t="shared" si="45"/>
        <v>0</v>
      </c>
      <c r="S23" s="399">
        <f t="shared" ref="S23" si="46">SUM(S12:S17)</f>
        <v>0</v>
      </c>
      <c r="T23" s="399">
        <f t="shared" ref="T23" si="47">SUM(T12:T17)</f>
        <v>0</v>
      </c>
      <c r="U23" s="399">
        <f t="shared" si="45"/>
        <v>0</v>
      </c>
    </row>
    <row r="24" spans="1:25" ht="12.95" customHeight="1">
      <c r="A24" s="180" t="s">
        <v>173</v>
      </c>
      <c r="B24" s="361">
        <f>B17</f>
        <v>0</v>
      </c>
      <c r="C24" s="362">
        <f t="shared" ref="C24:G24" si="48">C17</f>
        <v>0</v>
      </c>
      <c r="D24" s="362">
        <f t="shared" si="48"/>
        <v>0</v>
      </c>
      <c r="E24" s="362">
        <f t="shared" si="48"/>
        <v>0</v>
      </c>
      <c r="F24" s="362">
        <f t="shared" ref="F24" si="49">F17</f>
        <v>0</v>
      </c>
      <c r="G24" s="363">
        <f t="shared" si="48"/>
        <v>0</v>
      </c>
      <c r="H24" s="399">
        <f>SUM(H6:H17)</f>
        <v>1923.5371782369407</v>
      </c>
      <c r="I24" s="399">
        <f>SUM(I6:I17)</f>
        <v>412.96555066717519</v>
      </c>
      <c r="J24" s="399">
        <f t="shared" ref="J24:N24" si="50">SUM(J6:J17)</f>
        <v>650.49692820291773</v>
      </c>
      <c r="K24" s="399">
        <f t="shared" si="50"/>
        <v>1230.8993469008274</v>
      </c>
      <c r="L24" s="399">
        <f t="shared" ref="L24" si="51">SUM(L6:L17)</f>
        <v>48.093152125003485</v>
      </c>
      <c r="M24" s="399">
        <f t="shared" ref="M24" si="52">SUM(M6:M17)</f>
        <v>78.003386233948603</v>
      </c>
      <c r="N24" s="399">
        <f t="shared" si="50"/>
        <v>4343.9955423668125</v>
      </c>
      <c r="O24" s="400">
        <f>SUM(O6:O17)</f>
        <v>20662.134554214001</v>
      </c>
      <c r="P24" s="399">
        <f>SUM(P6:P17)</f>
        <v>4431.65543101</v>
      </c>
      <c r="Q24" s="399">
        <f t="shared" ref="Q24:U24" si="53">SUM(Q6:Q17)</f>
        <v>6976.4821206048418</v>
      </c>
      <c r="R24" s="399">
        <f t="shared" si="53"/>
        <v>13198.110107401893</v>
      </c>
      <c r="S24" s="399">
        <f t="shared" ref="S24" si="54">SUM(S6:S17)</f>
        <v>516.82257154800004</v>
      </c>
      <c r="T24" s="399">
        <f t="shared" ref="T24" si="55">SUM(T6:T17)</f>
        <v>837.1722372439998</v>
      </c>
      <c r="U24" s="399">
        <f t="shared" si="53"/>
        <v>46622.377022022731</v>
      </c>
    </row>
    <row r="25" spans="1:25" ht="15" customHeight="1"/>
    <row r="26" spans="1:25" ht="26.1" customHeight="1">
      <c r="A26" s="448" t="s">
        <v>196</v>
      </c>
      <c r="B26" s="448"/>
      <c r="C26" s="448"/>
      <c r="D26" s="448"/>
      <c r="E26" s="448"/>
      <c r="F26" s="448"/>
      <c r="G26" s="448"/>
      <c r="H26" s="448"/>
      <c r="I26" s="448" t="s">
        <v>258</v>
      </c>
      <c r="J26" s="448"/>
      <c r="K26" s="448"/>
      <c r="L26" s="448"/>
      <c r="M26" s="448"/>
      <c r="N26" s="119"/>
      <c r="O26" s="119"/>
      <c r="P26" s="448" t="s">
        <v>259</v>
      </c>
      <c r="Q26" s="462"/>
      <c r="R26" s="462"/>
      <c r="S26" s="462"/>
      <c r="T26" s="462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409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B19</f>
        <v>1591</v>
      </c>
      <c r="C28" s="74">
        <f>C19</f>
        <v>6324</v>
      </c>
      <c r="D28" s="74">
        <f>D19</f>
        <v>205977</v>
      </c>
      <c r="E28" s="74">
        <f>E19</f>
        <v>2588055</v>
      </c>
      <c r="F28" s="74">
        <f>F19</f>
        <v>269</v>
      </c>
      <c r="G28" s="410"/>
      <c r="H28" s="73" t="str">
        <f>A18</f>
        <v>I. čtvrtletí</v>
      </c>
      <c r="I28" s="75">
        <f>H18</f>
        <v>1130.5589073510132</v>
      </c>
      <c r="J28" s="75">
        <f t="shared" ref="J28:M28" si="60">I18</f>
        <v>291.47941689673081</v>
      </c>
      <c r="K28" s="75">
        <f t="shared" si="60"/>
        <v>491.93637013248167</v>
      </c>
      <c r="L28" s="75">
        <f t="shared" si="60"/>
        <v>943.94375273459264</v>
      </c>
      <c r="M28" s="75">
        <f t="shared" si="60"/>
        <v>24.554257610078288</v>
      </c>
      <c r="N28" s="61"/>
      <c r="O28" s="72" t="str">
        <f>A18</f>
        <v>I. čtvrtletí</v>
      </c>
      <c r="P28" s="74">
        <f>O18</f>
        <v>12105.793593597</v>
      </c>
      <c r="Q28" s="74">
        <f t="shared" ref="Q28:T28" si="61">P18</f>
        <v>3120.9507358399997</v>
      </c>
      <c r="R28" s="74">
        <f t="shared" si="61"/>
        <v>5266.4144165960943</v>
      </c>
      <c r="S28" s="74">
        <f t="shared" si="61"/>
        <v>10103.876503418738</v>
      </c>
      <c r="T28" s="74">
        <f t="shared" si="61"/>
        <v>262.84610711799996</v>
      </c>
      <c r="U28" s="63"/>
    </row>
    <row r="29" spans="1:25" ht="12" customHeight="1">
      <c r="B29" s="61"/>
      <c r="C29" s="61"/>
      <c r="D29" s="61"/>
      <c r="E29" s="62"/>
      <c r="F29" s="62"/>
      <c r="G29" s="62"/>
      <c r="H29" s="73" t="str">
        <f t="shared" ref="H29:H31" si="62">A19</f>
        <v>II. čtvrtletí</v>
      </c>
      <c r="I29" s="75">
        <f t="shared" ref="I29:M29" si="63">H19</f>
        <v>792.97827088592771</v>
      </c>
      <c r="J29" s="75">
        <f t="shared" si="63"/>
        <v>121.48613377044437</v>
      </c>
      <c r="K29" s="75">
        <f t="shared" si="63"/>
        <v>158.560558070436</v>
      </c>
      <c r="L29" s="75">
        <f t="shared" si="63"/>
        <v>286.95559416623479</v>
      </c>
      <c r="M29" s="75">
        <f t="shared" si="63"/>
        <v>23.538894514925193</v>
      </c>
      <c r="N29" s="61"/>
      <c r="O29" s="72" t="str">
        <f t="shared" ref="O29:O31" si="64">A19</f>
        <v>II. čtvrtletí</v>
      </c>
      <c r="P29" s="74">
        <f t="shared" ref="P29:T29" si="65">O19</f>
        <v>8556.3409606169989</v>
      </c>
      <c r="Q29" s="74">
        <f t="shared" si="65"/>
        <v>1310.7046951699999</v>
      </c>
      <c r="R29" s="74">
        <f t="shared" si="65"/>
        <v>1710.0677040087473</v>
      </c>
      <c r="S29" s="74">
        <f t="shared" si="65"/>
        <v>3094.2336039831539</v>
      </c>
      <c r="T29" s="74">
        <f t="shared" si="65"/>
        <v>253.97646442999999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2"/>
        <v>III. čtvrtletí</v>
      </c>
      <c r="I30" s="75">
        <f t="shared" ref="I30:M30" si="66">H20</f>
        <v>0</v>
      </c>
      <c r="J30" s="75">
        <f t="shared" si="66"/>
        <v>0</v>
      </c>
      <c r="K30" s="75">
        <f t="shared" si="66"/>
        <v>0</v>
      </c>
      <c r="L30" s="75">
        <f t="shared" si="66"/>
        <v>0</v>
      </c>
      <c r="M30" s="75">
        <f t="shared" si="66"/>
        <v>0</v>
      </c>
      <c r="N30" s="61"/>
      <c r="O30" s="72" t="str">
        <f t="shared" si="64"/>
        <v>III. čtvrtletí</v>
      </c>
      <c r="P30" s="74">
        <f t="shared" ref="P30:T30" si="67">O20</f>
        <v>0</v>
      </c>
      <c r="Q30" s="74">
        <f t="shared" si="67"/>
        <v>0</v>
      </c>
      <c r="R30" s="74">
        <f t="shared" si="67"/>
        <v>0</v>
      </c>
      <c r="S30" s="74">
        <f t="shared" si="67"/>
        <v>0</v>
      </c>
      <c r="T30" s="74">
        <f t="shared" si="67"/>
        <v>0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2"/>
        <v>IV. čtvrtletí</v>
      </c>
      <c r="I31" s="75">
        <f t="shared" ref="I31:M31" si="68">H21</f>
        <v>0</v>
      </c>
      <c r="J31" s="75">
        <f t="shared" si="68"/>
        <v>0</v>
      </c>
      <c r="K31" s="75">
        <f t="shared" si="68"/>
        <v>0</v>
      </c>
      <c r="L31" s="75">
        <f t="shared" si="68"/>
        <v>0</v>
      </c>
      <c r="M31" s="75">
        <f t="shared" si="68"/>
        <v>0</v>
      </c>
      <c r="N31" s="61"/>
      <c r="O31" s="72" t="str">
        <f t="shared" si="64"/>
        <v>IV. čtvrtletí</v>
      </c>
      <c r="P31" s="74">
        <f t="shared" ref="P31:T31" si="69">O21</f>
        <v>0</v>
      </c>
      <c r="Q31" s="74">
        <f t="shared" si="69"/>
        <v>0</v>
      </c>
      <c r="R31" s="74">
        <f t="shared" si="69"/>
        <v>0</v>
      </c>
      <c r="S31" s="74">
        <f t="shared" si="69"/>
        <v>0</v>
      </c>
      <c r="T31" s="74">
        <f t="shared" si="69"/>
        <v>0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64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64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0:U23 H19:I19 J19:U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8</vt:i4>
      </vt:variant>
    </vt:vector>
  </HeadingPairs>
  <TitlesOfParts>
    <vt:vector size="41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2022-08-10T12:35:22Z</cp:lastPrinted>
  <dcterms:created xsi:type="dcterms:W3CDTF">2010-02-15T08:19:53Z</dcterms:created>
  <dcterms:modified xsi:type="dcterms:W3CDTF">2022-08-17T06:39:10Z</dcterms:modified>
</cp:coreProperties>
</file>