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010"/>
  </bookViews>
  <sheets>
    <sheet name="Titulní" sheetId="169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45621"/>
</workbook>
</file>

<file path=xl/calcChain.xml><?xml version="1.0" encoding="utf-8"?>
<calcChain xmlns="http://schemas.openxmlformats.org/spreadsheetml/2006/main">
  <c r="A1" i="163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A30" i="170"/>
  <c r="A27" i="170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6" i="170" l="1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A1" i="141" s="1"/>
  <c r="E34" i="170" s="1"/>
  <c r="C3" i="140"/>
  <c r="C3" i="139"/>
  <c r="H31" i="120"/>
  <c r="C3" i="120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D11" i="161" s="1"/>
  <c r="B9" i="161"/>
  <c r="C8" i="161"/>
  <c r="D8" i="161"/>
  <c r="B8" i="161"/>
  <c r="C7" i="161"/>
  <c r="D7" i="161"/>
  <c r="B7" i="161"/>
  <c r="H31" i="139" l="1"/>
  <c r="A1" i="139"/>
  <c r="E32" i="170" s="1"/>
  <c r="B31" i="140"/>
  <c r="A1" i="140"/>
  <c r="E33" i="170" s="1"/>
  <c r="B31" i="120"/>
  <c r="A1" i="120"/>
  <c r="E31" i="170" s="1"/>
  <c r="B34" i="170"/>
  <c r="A34" i="170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E21" i="170" s="1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C46" i="167" s="1"/>
  <c r="J34" i="167"/>
  <c r="I34" i="167"/>
  <c r="F34" i="167"/>
  <c r="E34" i="167"/>
  <c r="J33" i="167"/>
  <c r="I33" i="167"/>
  <c r="F33" i="167"/>
  <c r="E33" i="167"/>
  <c r="D33" i="167"/>
  <c r="J32" i="167"/>
  <c r="I32" i="167"/>
  <c r="F32" i="167"/>
  <c r="E32" i="167"/>
  <c r="D32" i="167"/>
  <c r="J31" i="167"/>
  <c r="I31" i="167"/>
  <c r="F31" i="167"/>
  <c r="E31" i="167"/>
  <c r="D31" i="167"/>
  <c r="J30" i="167"/>
  <c r="I30" i="167"/>
  <c r="F30" i="167"/>
  <c r="E30" i="167"/>
  <c r="D30" i="167"/>
  <c r="J29" i="167"/>
  <c r="I29" i="167"/>
  <c r="F29" i="167"/>
  <c r="E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E34" i="166"/>
  <c r="J33" i="166"/>
  <c r="I33" i="166"/>
  <c r="F33" i="166"/>
  <c r="E33" i="166"/>
  <c r="H33" i="166" s="1"/>
  <c r="D33" i="166"/>
  <c r="J32" i="166"/>
  <c r="I32" i="166"/>
  <c r="F32" i="166"/>
  <c r="E32" i="166"/>
  <c r="D32" i="166"/>
  <c r="J31" i="166"/>
  <c r="I31" i="166"/>
  <c r="F31" i="166"/>
  <c r="E31" i="166"/>
  <c r="D31" i="166"/>
  <c r="J30" i="166"/>
  <c r="I30" i="166"/>
  <c r="F30" i="166"/>
  <c r="E30" i="166"/>
  <c r="D30" i="166"/>
  <c r="J29" i="166"/>
  <c r="I29" i="166"/>
  <c r="F29" i="166"/>
  <c r="E29" i="166"/>
  <c r="H29" i="166" s="1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E34" i="165"/>
  <c r="J33" i="165"/>
  <c r="I33" i="165"/>
  <c r="F33" i="165"/>
  <c r="E33" i="165"/>
  <c r="D33" i="165"/>
  <c r="J32" i="165"/>
  <c r="I32" i="165"/>
  <c r="F32" i="165"/>
  <c r="E32" i="165"/>
  <c r="D32" i="165"/>
  <c r="J31" i="165"/>
  <c r="I31" i="165"/>
  <c r="F31" i="165"/>
  <c r="E31" i="165"/>
  <c r="D31" i="165"/>
  <c r="J30" i="165"/>
  <c r="I30" i="165"/>
  <c r="F30" i="165"/>
  <c r="E30" i="165"/>
  <c r="D30" i="165"/>
  <c r="J29" i="165"/>
  <c r="I29" i="165"/>
  <c r="F29" i="165"/>
  <c r="E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H29" i="167" l="1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E35" i="165"/>
  <c r="C7" i="163" s="1"/>
  <c r="G14" i="166"/>
  <c r="G28" i="166"/>
  <c r="D35" i="166"/>
  <c r="B9" i="163" s="1"/>
  <c r="H30" i="168"/>
  <c r="A21" i="170"/>
  <c r="B21" i="170"/>
  <c r="I4" i="168"/>
  <c r="D42" i="168" s="1"/>
  <c r="G38" i="168"/>
  <c r="D35" i="167"/>
  <c r="B8" i="163" s="1"/>
  <c r="I35" i="165"/>
  <c r="J44" i="165" s="1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J42" i="168"/>
  <c r="H43" i="168"/>
  <c r="H45" i="168"/>
  <c r="H34" i="167"/>
  <c r="I42" i="167"/>
  <c r="B44" i="167"/>
  <c r="E35" i="167"/>
  <c r="I35" i="167"/>
  <c r="K33" i="167" s="1"/>
  <c r="H43" i="167"/>
  <c r="H45" i="167"/>
  <c r="H34" i="166"/>
  <c r="I42" i="166"/>
  <c r="B44" i="166"/>
  <c r="E35" i="166"/>
  <c r="I35" i="166"/>
  <c r="K32" i="166" s="1"/>
  <c r="J42" i="166"/>
  <c r="H43" i="166"/>
  <c r="H45" i="166"/>
  <c r="K31" i="165"/>
  <c r="H30" i="165"/>
  <c r="D46" i="165"/>
  <c r="H31" i="165"/>
  <c r="J35" i="165"/>
  <c r="G14" i="165"/>
  <c r="F35" i="165"/>
  <c r="D7" i="163" s="1"/>
  <c r="C46" i="165"/>
  <c r="D35" i="165"/>
  <c r="B7" i="163" s="1"/>
  <c r="I45" i="165"/>
  <c r="D42" i="165"/>
  <c r="G32" i="165"/>
  <c r="H29" i="165"/>
  <c r="H43" i="165"/>
  <c r="H45" i="165"/>
  <c r="B7" i="146"/>
  <c r="E7" i="126" l="1"/>
  <c r="E10" i="126"/>
  <c r="E9" i="126"/>
  <c r="G31" i="165"/>
  <c r="G34" i="165"/>
  <c r="K33" i="165"/>
  <c r="I44" i="165"/>
  <c r="J43" i="165"/>
  <c r="G30" i="165"/>
  <c r="G33" i="165"/>
  <c r="G29" i="165"/>
  <c r="I43" i="165"/>
  <c r="I46" i="165" s="1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J46" i="165" s="1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1" i="107"/>
  <c r="G22" i="107"/>
  <c r="G23" i="107"/>
  <c r="G24" i="107"/>
  <c r="G25" i="107"/>
  <c r="E11" i="126" l="1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34" i="116" s="1"/>
  <c r="K29" i="116"/>
  <c r="K33" i="116" l="1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H34" i="116" s="1"/>
  <c r="F34" i="116"/>
  <c r="E33" i="116"/>
  <c r="D34" i="116"/>
  <c r="F39" i="145" l="1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G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G41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D23" i="141" s="1"/>
  <c r="E35" i="116"/>
  <c r="C23" i="141" s="1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E36" i="116" l="1"/>
  <c r="C11" i="163" s="1"/>
  <c r="D36" i="116"/>
  <c r="B11" i="163" s="1"/>
  <c r="F36" i="116"/>
  <c r="D11" i="163" s="1"/>
  <c r="H35" i="116"/>
  <c r="F23" i="141" s="1"/>
  <c r="H31" i="116"/>
  <c r="H33" i="116"/>
  <c r="H22" i="116"/>
  <c r="F11" i="161" s="1"/>
  <c r="C45" i="116"/>
  <c r="H32" i="116"/>
  <c r="H30" i="116"/>
  <c r="E10" i="163" l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H15" i="116"/>
  <c r="F11" i="126" s="1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<sst xmlns="http://schemas.openxmlformats.org/spreadsheetml/2006/main" count="1578" uniqueCount="320">
  <si>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</si>
  <si>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</si>
  <si>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</si>
  <si>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</si>
  <si>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</si>
  <si>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</si>
  <si>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</si>
  <si>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</si>
  <si>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</si>
  <si>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</si>
  <si>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</si>
  <si>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</si>
  <si>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</si>
  <si>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</si>
  <si>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</si>
  <si>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</si>
  <si>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</si>
  <si>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</si>
  <si>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</si>
  <si>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</si>
  <si>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</si>
  <si>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</si>
  <si>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E.ON Distribuce</t>
  </si>
  <si>
    <t>Spotřeba plynu v ČR</t>
  </si>
  <si>
    <t>E.ON Distribuce, a.s.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</si>
  <si>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</si>
  <si>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</si>
  <si>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</si>
  <si>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</si>
  <si>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</si>
  <si>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</si>
  <si>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</si>
  <si>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</si>
  <si>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</si>
  <si>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</si>
  <si>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</si>
  <si>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</si>
  <si>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</si>
  <si>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</si>
  <si>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</si>
  <si>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</si>
  <si>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</si>
  <si>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</si>
  <si>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</si>
  <si>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</si>
  <si>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</si>
  <si>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</si>
  <si>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</si>
  <si>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</si>
  <si>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</si>
  <si>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</si>
  <si>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</si>
  <si>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</si>
  <si>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</si>
  <si>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</si>
  <si>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</si>
  <si>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</si>
  <si>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</si>
  <si>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</si>
  <si>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</si>
  <si>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</si>
  <si>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</si>
  <si>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</si>
  <si>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</si>
  <si>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</si>
  <si>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</si>
  <si>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</si>
  <si>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</si>
  <si>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</si>
  <si>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</si>
  <si>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</si>
  <si>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</si>
  <si>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</si>
  <si>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</si>
  <si>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</si>
  <si>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</si>
  <si>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</si>
  <si>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</si>
  <si>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</si>
  <si>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</si>
  <si>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</si>
  <si>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</si>
  <si>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</si>
  <si>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</si>
  <si>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</si>
  <si>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</si>
  <si>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</si>
  <si>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</si>
  <si>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</si>
  <si>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</si>
  <si>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</si>
  <si>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</si>
  <si>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</si>
  <si>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</si>
  <si>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</si>
  <si>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</si>
  <si>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</si>
  <si>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E.ON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</si>
  <si>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</si>
  <si>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</si>
  <si>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</si>
  <si>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</si>
  <si>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</si>
  <si>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</si>
  <si>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</si>
  <si>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innogy GS</t>
  </si>
  <si>
    <t>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</si>
  <si>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</si>
  <si>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</si>
  <si>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</si>
  <si>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</si>
  <si>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</si>
  <si>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</si>
  <si>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</si>
  <si>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</si>
  <si>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</si>
  <si>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</si>
  <si>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</si>
  <si>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</si>
  <si>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</si>
  <si>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</si>
  <si>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</si>
  <si>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</si>
  <si>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</si>
  <si>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</si>
  <si>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</si>
  <si>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</si>
  <si>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</si>
  <si>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</si>
  <si>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</si>
  <si>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±1,0</t>
  </si>
  <si>
    <t>* Prognóza spotřeby plynu na rok 2020 byla zpracována v prosinci 2019.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</si>
  <si>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</si>
  <si>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</si>
  <si>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</si>
  <si>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</si>
  <si>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</si>
  <si>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</si>
  <si>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</si>
  <si>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</si>
  <si>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</si>
  <si>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</si>
  <si>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</si>
  <si>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</si>
  <si>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</si>
  <si>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</si>
  <si>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</si>
  <si>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</si>
  <si>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</si>
  <si>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</si>
  <si>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</si>
  <si>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</si>
  <si>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</si>
  <si>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</si>
  <si>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</si>
  <si>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Společnost E.ON Distribuce, a.s. - provozovatel regionální distribuční soustavy</t>
  </si>
  <si>
    <t xml:space="preserve">Společnost GasNet, s.r.o. - provozovatel regionální distribuční soustavy </t>
  </si>
  <si>
    <t>HPS</t>
  </si>
  <si>
    <t>Hraniční předávací stanice</t>
  </si>
  <si>
    <t>Společnost innogy Gas Storage, s.r.o. - provozovatel zásobníků plynu</t>
  </si>
  <si>
    <t>KS</t>
  </si>
  <si>
    <t>Kompresní stanice</t>
  </si>
  <si>
    <t>LDS</t>
  </si>
  <si>
    <t>Lokální distribuční soustava</t>
  </si>
  <si>
    <t>Společnost MND Gas Storage a.s. - provozovatel zásobníku plynu</t>
  </si>
  <si>
    <t>Maloodběratelé (kategorie zákazníků)</t>
  </si>
  <si>
    <t>Společnost Moravia Gas Storage a.s. - provozovatel zásobníku plynu</t>
  </si>
  <si>
    <t>NET4GAS</t>
  </si>
  <si>
    <t>Společnost NET4GAS, s.r.o. - provozovatel přepravní plynárenské soustavy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</si>
  <si>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</si>
  <si>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</si>
  <si>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</si>
  <si>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</si>
  <si>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</si>
  <si>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</si>
  <si>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</si>
  <si>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</si>
  <si>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</si>
  <si>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</si>
  <si>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</si>
  <si>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</si>
  <si>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</si>
  <si>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Společnost Pražská plynárenská Distribuce, a.s. - provozovatel regionální distribuční soustavy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</si>
  <si>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</si>
  <si>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</si>
  <si>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</si>
  <si>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</si>
  <si>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</si>
  <si>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</si>
  <si>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</si>
  <si>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</si>
  <si>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</si>
  <si>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</si>
  <si>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</si>
  <si>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</si>
  <si>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</si>
  <si>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</si>
  <si>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</si>
  <si>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</si>
  <si>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</si>
  <si>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</si>
  <si>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</si>
  <si>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</si>
  <si>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</si>
  <si>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</si>
  <si>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</si>
  <si>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</si>
  <si>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</si>
  <si>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</si>
  <si>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</si>
  <si>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</si>
  <si>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</si>
  <si>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</si>
  <si>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</si>
  <si>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</si>
  <si>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</si>
  <si>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</si>
  <si>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</si>
  <si>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</si>
  <si>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</si>
  <si>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</si>
  <si>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</si>
  <si>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</si>
  <si>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</si>
  <si>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</si>
  <si>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</si>
  <si>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</si>
  <si>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</si>
  <si>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</si>
  <si>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</si>
  <si>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</si>
  <si>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</si>
  <si>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</si>
  <si>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</si>
  <si>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</si>
  <si>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</si>
  <si>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</si>
  <si>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</si>
  <si>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</si>
  <si>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</si>
  <si>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</si>
  <si>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</si>
  <si>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</si>
  <si>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</si>
  <si>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</si>
  <si>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</si>
  <si>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</si>
  <si>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</si>
  <si>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</si>
  <si>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</si>
  <si>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</si>
  <si>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</si>
  <si>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</si>
  <si>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</si>
  <si>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</si>
  <si>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</si>
  <si>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</si>
  <si>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</si>
  <si>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</si>
  <si>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</si>
  <si>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</si>
  <si>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</si>
  <si>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</si>
  <si>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</si>
  <si>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</si>
  <si>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</si>
  <si>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</si>
  <si>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</si>
  <si>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</si>
  <si>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</si>
  <si>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</si>
  <si>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</si>
  <si>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</si>
  <si>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</si>
  <si>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</si>
  <si>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</si>
  <si>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</si>
  <si>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</si>
  <si>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</si>
  <si>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</si>
  <si>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</si>
  <si>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</si>
  <si>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</si>
  <si>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5.4. Spotřeba zemního plynu u společnosti E.ON Distribuce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</si>
  <si>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</si>
  <si>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</si>
  <si>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</si>
  <si>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</si>
  <si>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</si>
  <si>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</si>
  <si>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</si>
  <si>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</si>
  <si>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</si>
  <si>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</si>
  <si>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</si>
  <si>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t>[%]</t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</si>
  <si>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</si>
  <si>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</si>
  <si>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</si>
  <si>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t>Meziroční změna spotřeby
[%]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</si>
  <si>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</si>
  <si>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</si>
  <si>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</si>
  <si>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</si>
  <si>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</si>
  <si>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</si>
  <si>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</si>
  <si>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X</t>
  </si>
  <si>
    <t>Energetický regulační úřad (ERÚ) zveřejňuje Čtvrtletní zprávu o provozu plynárenské soustavy ČR za II. čtvrtletí roku 2020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2020, kterou ERÚ předpokládá zveřejnit do konce května roku 2021.
Případné dotazy či připomínky zasílejte na emailovou adresu plyn.statistika@eru.cz.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</si>
  <si>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10 698 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(114 208 GWh). Toto množství bylo doplněno dodávkami od výrobců plynu (vnitrostátní zdroje), které zahrnují povrchovou degazaci a vlastní těžbu zemního plynu včetně vlastní spotřeby. Celková výroba zemního plynu na území ČR byla 30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(329 GWh). Tok zemního plynu ze zásobníků plynu, které náleží do plynárenské soustavy ČR, byl ve výši 63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(669 GWh). Naopak tok zemního plynu do zásobníků plynu činil 1 334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(14 258 GWh). Stav provozních zásob na konci čtvrtletí představoval u tuzemských zásobníků plynu hodnotu 2 717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(29 178 GWh). Tok zemního plynu z plynárenské soustavy ČR do zahraničí byl zaznamenán ve výši 7 983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(85 233 GWh). Celková čtvrtletní bilance plynárenské soustavy ČR je podle členění na jednotlivé měsíce uvedena v kapitole 3.
Celková čtvrtletní spotřeba zemního plynu v ČR dosáhla 1 471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(15 720 GWh), což představuje pokles skutečné spotřeby o 4,2 % proti stejnému období roku 2019. K meziročnímu nárůstu došlo ve sledovaném období pouze v červnu, zbylé měsíce zaznamenaly pokles. Průměrná teplota za celé čtvrtletí byla +12,4 °C, což je o -0,5°C pod dlouhodobým teplotním normálem. Přepočtená spotřeba na teplotní podmínky dlouhodobého normálu za pomoci dlouhodobého teplotního gradientu spotřeby byla vypočtena na 1 451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(15 505 GWh) s meziročním poklesem o 8,0 %. Z pohledu spotřeby plynu podle kategorií zákazníků dosáhla největšího podílu na celkové spotřebě plynu v hodnoceném čtvrtletí kategorie velkoodběru 57,2 %, následovaná kategorií domácnosti 20,4 %, maloodběru 10,1 %, středního odběru 8,6 % a odběru CNG stanic 1,4 %. Ostatní plyn zahrnující vlastní spotřebu, ztráty, změnu akumulace, vlastní spotřebu výrobců plynu a plyn pro pohon kompresních stanic představoval 2,3 % z celkové spotřeby plynu v ČR. Denní spotřeby zemního plynu se za celé čtvrtletí pohybovaly v rozsahu 9,0 až 32,9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(96,7 až 351,6 GWh). Maximální denní spotřeba zemního plynu v ČR byla naměřena ve středu 1. dubna při průměrné denní teplotě +0,1 °C, a naopak minimální denní spotřeba v sobotu 13. června při průměrné denní teplotě +14,7 °C. Celková čtvrtletní, měsíční a denní spotřeba zemního plynu doplněna o teplotu ovzduší je uvedena v kapitole 4.
Při porovnání spotřeb v regionálních distribučních soustavách zaznamenaly pokles všechny tři společnosti. K významnému nárůstu došlo u ostatních společností, které ovšem nejsou součástí regionálních distribučních soustav. Nárůst byl způsoben zvýšeným provozem plynové elektrárny Počerady II po celé hodnocené období. Souhrnný podíl těchto společností činil 13,4 % z celkového distribuovaného plynu v ČR (kapitola 5.).
Z pohledu krajů došlo k poklesu meziroční spotřeby zemního plynu téměř u všech krajů v ČR. Výjimkou byl Zlínský kraj a Ústecký kraj, kde součástí celkové spotřeby byla i plynová elektrárna Počerady II, která měla zásadní vliv na zvýšení odběru plynu tohoto kraje. Největšího podílu na celkové spotřebě plynu v ČR bylo dosaženo v Ústeckém kraji. V celé ČR bylo ke konci hodnoceného období celkem 2 828 753 odběrných míst (kapitola 6.).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</si>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</sst>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4" fontId="9" fillId="4" borderId="3" applyNumberFormat="0" applyProtection="0">
      <alignment vertical="center"/>
    </xf>
    <xf numFmtId="4" fontId="9" fillId="5" borderId="3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0" fillId="7" borderId="3" applyNumberFormat="0" applyProtection="0">
      <alignment horizontal="right" vertical="center"/>
    </xf>
    <xf numFmtId="4" fontId="10" fillId="8" borderId="3" applyNumberFormat="0" applyProtection="0">
      <alignment horizontal="left" vertical="center" indent="1"/>
    </xf>
    <xf numFmtId="2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4" fontId="11" fillId="5" borderId="3" applyNumberFormat="0" applyProtection="0">
      <alignment vertical="center"/>
    </xf>
    <xf numFmtId="0" fontId="9" fillId="5" borderId="3" applyNumberFormat="0" applyProtection="0">
      <alignment horizontal="left" vertical="top" indent="1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10" fillId="7" borderId="0" applyNumberFormat="0" applyProtection="0">
      <alignment horizontal="left" vertical="center" indent="1"/>
    </xf>
    <xf numFmtId="4" fontId="12" fillId="19" borderId="0" applyNumberFormat="0" applyProtection="0">
      <alignment horizontal="left" vertical="center" indent="1"/>
    </xf>
    <xf numFmtId="4" fontId="10" fillId="8" borderId="3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0" fontId="6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6" borderId="3" applyNumberFormat="0" applyProtection="0">
      <alignment horizontal="left" vertical="center" indent="1"/>
    </xf>
    <xf numFmtId="0" fontId="6" fillId="6" borderId="3" applyNumberFormat="0" applyProtection="0">
      <alignment horizontal="left" vertical="top" indent="1"/>
    </xf>
    <xf numFmtId="0" fontId="6" fillId="20" borderId="3" applyNumberFormat="0" applyProtection="0">
      <alignment horizontal="left" vertical="center" indent="1"/>
    </xf>
    <xf numFmtId="0" fontId="6" fillId="20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4" fontId="10" fillId="22" borderId="3" applyNumberFormat="0" applyProtection="0">
      <alignment vertical="center"/>
    </xf>
    <xf numFmtId="4" fontId="14" fillId="22" borderId="3" applyNumberFormat="0" applyProtection="0">
      <alignment vertical="center"/>
    </xf>
    <xf numFmtId="4" fontId="10" fillId="22" borderId="3" applyNumberFormat="0" applyProtection="0">
      <alignment horizontal="left" vertical="center" indent="1"/>
    </xf>
    <xf numFmtId="0" fontId="10" fillId="22" borderId="3" applyNumberFormat="0" applyProtection="0">
      <alignment horizontal="left" vertical="top" indent="1"/>
    </xf>
    <xf numFmtId="4" fontId="14" fillId="7" borderId="3" applyNumberFormat="0" applyProtection="0">
      <alignment horizontal="right" vertical="center"/>
    </xf>
    <xf numFmtId="0" fontId="10" fillId="6" borderId="3" applyNumberFormat="0" applyProtection="0">
      <alignment horizontal="left" vertical="top" indent="1"/>
    </xf>
    <xf numFmtId="4" fontId="15" fillId="0" borderId="0" applyNumberFormat="0" applyProtection="0">
      <alignment horizontal="left" vertical="center" indent="1"/>
    </xf>
    <xf numFmtId="4" fontId="16" fillId="7" borderId="3" applyNumberFormat="0" applyProtection="0">
      <alignment horizontal="right" vertical="center"/>
    </xf>
    <xf numFmtId="0" fontId="6" fillId="0" borderId="0"/>
    <xf numFmtId="0" fontId="17" fillId="24" borderId="4" applyNumberFormat="0" applyFont="0" applyFill="0" applyAlignment="0" applyProtection="0"/>
    <xf numFmtId="0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3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168" fontId="17" fillId="24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2" fontId="17" fillId="24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ill="0" applyBorder="0" applyAlignment="0" applyProtection="0"/>
    <xf numFmtId="0" fontId="20" fillId="24" borderId="0" applyNumberFormat="0" applyFill="0" applyBorder="0" applyAlignment="0" applyProtection="0"/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" fontId="54" fillId="0" borderId="0">
      <alignment horizontal="lef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0"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0" fontId="56" fillId="0" borderId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8" fillId="0" borderId="0"/>
    <xf numFmtId="0" fontId="58" fillId="0" borderId="0"/>
    <xf numFmtId="0" fontId="59" fillId="31" borderId="0" applyNumberFormat="0" applyBorder="0" applyAlignment="0" applyProtection="0"/>
    <xf numFmtId="0" fontId="59" fillId="1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11" borderId="0" applyNumberFormat="0" applyBorder="0" applyAlignment="0" applyProtection="0"/>
    <xf numFmtId="0" fontId="59" fillId="4" borderId="0" applyNumberFormat="0" applyBorder="0" applyAlignment="0" applyProtection="0"/>
    <xf numFmtId="0" fontId="59" fillId="10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34" borderId="0" applyNumberFormat="0" applyBorder="0" applyAlignment="0" applyProtection="0"/>
    <xf numFmtId="0" fontId="60" fillId="1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2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4" borderId="0" applyNumberFormat="0" applyBorder="0" applyAlignment="0" applyProtection="0"/>
    <xf numFmtId="0" fontId="62" fillId="39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2" fillId="37" borderId="0" applyNumberFormat="0" applyBorder="0" applyAlignment="0" applyProtection="0"/>
    <xf numFmtId="0" fontId="61" fillId="30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" fontId="65" fillId="0" borderId="8" applyAlignment="0">
      <alignment horizontal="left" vertical="center"/>
    </xf>
    <xf numFmtId="173" fontId="66" fillId="5" borderId="9" applyNumberFormat="0" applyFont="0" applyFill="0" applyBorder="0" applyAlignment="0">
      <alignment horizontal="center"/>
    </xf>
    <xf numFmtId="173" fontId="66" fillId="5" borderId="9" applyNumberFormat="0" applyFont="0" applyFill="0" applyBorder="0" applyAlignment="0">
      <alignment horizontal="center"/>
    </xf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71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2" fillId="0" borderId="0" applyNumberFormat="0" applyAlignment="0"/>
    <xf numFmtId="0" fontId="73" fillId="0" borderId="0" applyNumberFormat="0" applyAlignment="0"/>
    <xf numFmtId="0" fontId="72" fillId="0" borderId="0" applyNumberFormat="0" applyAlignment="0"/>
    <xf numFmtId="0" fontId="73" fillId="0" borderId="0" applyNumberFormat="0" applyAlignment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0" fontId="74" fillId="0" borderId="0">
      <alignment horizontal="center" vertical="center"/>
    </xf>
    <xf numFmtId="0" fontId="74" fillId="49" borderId="0">
      <alignment horizontal="center" vertical="center"/>
    </xf>
    <xf numFmtId="0" fontId="74" fillId="50" borderId="0">
      <alignment horizontal="center" vertical="center"/>
    </xf>
    <xf numFmtId="0" fontId="74" fillId="51" borderId="0">
      <alignment horizontal="center" vertical="center"/>
    </xf>
    <xf numFmtId="15" fontId="58" fillId="0" borderId="0"/>
    <xf numFmtId="15" fontId="58" fillId="0" borderId="0"/>
    <xf numFmtId="15" fontId="58" fillId="0" borderId="0"/>
    <xf numFmtId="15" fontId="5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6" fillId="0" borderId="0" applyNumberFormat="0" applyAlignment="0">
      <alignment horizontal="left"/>
    </xf>
    <xf numFmtId="0" fontId="77" fillId="0" borderId="0" applyNumberFormat="0" applyAlignment="0">
      <alignment horizontal="left"/>
    </xf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38" fontId="78" fillId="55" borderId="0" applyNumberFormat="0" applyBorder="0" applyAlignment="0" applyProtection="0"/>
    <xf numFmtId="0" fontId="79" fillId="0" borderId="12" applyNumberFormat="0" applyAlignment="0" applyProtection="0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80" fillId="56" borderId="0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76" fontId="6" fillId="57" borderId="0"/>
    <xf numFmtId="176" fontId="6" fillId="57" borderId="0"/>
    <xf numFmtId="176" fontId="6" fillId="57" borderId="0"/>
    <xf numFmtId="176" fontId="6" fillId="57" borderId="0"/>
    <xf numFmtId="0" fontId="81" fillId="58" borderId="13" applyNumberFormat="0" applyAlignment="0" applyProtection="0"/>
    <xf numFmtId="176" fontId="6" fillId="59" borderId="0"/>
    <xf numFmtId="176" fontId="6" fillId="59" borderId="0"/>
    <xf numFmtId="176" fontId="6" fillId="59" borderId="0"/>
    <xf numFmtId="176" fontId="6" fillId="59" borderId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45" fillId="28" borderId="0" applyNumberFormat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0" fontId="6" fillId="0" borderId="0" applyNumberFormat="0" applyFill="0" applyBorder="0" applyAlignment="0" applyProtection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2" fillId="0" borderId="0"/>
    <xf numFmtId="0" fontId="5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0" borderId="0"/>
    <xf numFmtId="0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18" applyNumberFormat="0" applyFill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0" fontId="69" fillId="0" borderId="0" applyNumberFormat="0" applyFill="0" applyBorder="0" applyAlignment="0" applyProtection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0" fontId="6" fillId="0" borderId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0" fontId="6" fillId="0" borderId="0"/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6" fillId="0" borderId="0"/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6" fillId="0" borderId="0"/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0" fontId="6" fillId="0" borderId="0"/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0" fontId="6" fillId="0" borderId="0"/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0" fontId="6" fillId="0" borderId="0"/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0" fontId="6" fillId="0" borderId="0"/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0" fontId="6" fillId="0" borderId="0"/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0" fontId="6" fillId="0" borderId="0"/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0" fontId="6" fillId="0" borderId="0"/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0" fontId="6" fillId="0" borderId="0"/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0" fontId="6" fillId="0" borderId="0"/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0" fontId="6" fillId="0" borderId="0"/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0" fontId="6" fillId="0" borderId="0"/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0" fontId="6" fillId="0" borderId="0"/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6" fillId="0" borderId="0"/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63" borderId="19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0" borderId="0"/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6" fillId="0" borderId="0"/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65" borderId="19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0" borderId="0"/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6" fillId="0" borderId="0"/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6" fillId="0" borderId="0"/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6" fillId="0" borderId="0"/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6" fillId="0" borderId="0"/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0" borderId="0"/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78" fillId="67" borderId="22" applyNumberFormat="0">
      <protection locked="0"/>
    </xf>
    <xf numFmtId="0" fontId="6" fillId="0" borderId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0" fontId="6" fillId="0" borderId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6" fillId="0" borderId="0"/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0" fontId="6" fillId="0" borderId="0"/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0" borderId="0"/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99" fillId="0" borderId="0"/>
    <xf numFmtId="0" fontId="6" fillId="0" borderId="0"/>
    <xf numFmtId="0" fontId="99" fillId="0" borderId="0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6" fillId="0" borderId="0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34" borderId="0" applyNumberFormat="0" applyBorder="0" applyAlignment="0" applyProtection="0"/>
    <xf numFmtId="0" fontId="44" fillId="27" borderId="0" applyNumberFormat="0" applyBorder="0" applyAlignment="0" applyProtection="0"/>
    <xf numFmtId="0" fontId="103" fillId="0" borderId="0"/>
    <xf numFmtId="40" fontId="104" fillId="0" borderId="0" applyBorder="0">
      <alignment horizontal="right"/>
    </xf>
    <xf numFmtId="0" fontId="93" fillId="0" borderId="0" applyNumberFormat="0" applyFill="0" applyBorder="0" applyAlignment="0" applyProtection="0"/>
    <xf numFmtId="0" fontId="105" fillId="4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6" fillId="67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8" fillId="67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9" fillId="0" borderId="0" applyNumberFormat="0" applyFill="0" applyBorder="0" applyAlignment="0" applyProtection="0"/>
    <xf numFmtId="0" fontId="60" fillId="70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61" borderId="0" applyNumberFormat="0" applyBorder="0" applyAlignment="0" applyProtection="0"/>
    <xf numFmtId="0" fontId="60" fillId="71" borderId="0" applyNumberFormat="0" applyBorder="0" applyAlignment="0" applyProtection="0"/>
    <xf numFmtId="0" fontId="60" fillId="12" borderId="0" applyNumberFormat="0" applyBorder="0" applyAlignment="0" applyProtection="0"/>
  </cellStyleXfs>
  <cellXfs count="754">
    <xf numFmtId="0" fontId="0" fillId="0" borderId="0" xfId="0"/>
    <xf numFmtId="3" fontId="23" fillId="3" borderId="0" xfId="0" applyNumberFormat="1" applyFont="1" applyFill="1" applyBorder="1"/>
    <xf numFmtId="0" fontId="26" fillId="0" borderId="0" xfId="2" applyFont="1" applyFill="1" applyBorder="1"/>
    <xf numFmtId="0" fontId="26" fillId="0" borderId="0" xfId="2" applyFont="1" applyFill="1" applyBorder="1" applyAlignment="1"/>
    <xf numFmtId="0" fontId="47" fillId="0" borderId="0" xfId="2" applyFont="1" applyFill="1" applyBorder="1" applyAlignment="1">
      <alignment horizontal="center" vertical="center"/>
    </xf>
    <xf numFmtId="49" fontId="48" fillId="0" borderId="0" xfId="2" applyNumberFormat="1" applyFont="1" applyFill="1" applyBorder="1" applyAlignment="1">
      <alignment vertical="center"/>
    </xf>
    <xf numFmtId="0" fontId="49" fillId="0" borderId="0" xfId="2" applyFont="1" applyFill="1" applyBorder="1"/>
    <xf numFmtId="0" fontId="50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/>
    </xf>
    <xf numFmtId="0" fontId="50" fillId="0" borderId="0" xfId="2" applyFont="1" applyFill="1" applyBorder="1" applyAlignment="1">
      <alignment horizontal="center"/>
    </xf>
    <xf numFmtId="0" fontId="26" fillId="0" borderId="0" xfId="2" applyFont="1" applyFill="1" applyBorder="1" applyAlignment="1">
      <alignment horizontal="right" vertical="center"/>
    </xf>
    <xf numFmtId="0" fontId="26" fillId="0" borderId="0" xfId="2" applyFont="1" applyFill="1" applyBorder="1" applyAlignment="1">
      <alignment horizontal="left" vertical="center" indent="1"/>
    </xf>
    <xf numFmtId="0" fontId="51" fillId="0" borderId="0" xfId="2" applyFont="1" applyFill="1" applyBorder="1"/>
    <xf numFmtId="0" fontId="51" fillId="0" borderId="0" xfId="2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left" vertical="center" indent="1"/>
    </xf>
    <xf numFmtId="3" fontId="23" fillId="3" borderId="44" xfId="0" applyNumberFormat="1" applyFont="1" applyFill="1" applyBorder="1"/>
    <xf numFmtId="0" fontId="43" fillId="0" borderId="0" xfId="2" applyFont="1" applyFill="1" applyBorder="1"/>
    <xf numFmtId="0" fontId="110" fillId="0" borderId="0" xfId="2" applyFont="1" applyFill="1" applyBorder="1" applyAlignment="1">
      <alignment horizontal="right"/>
    </xf>
    <xf numFmtId="0" fontId="111" fillId="0" borderId="0" xfId="2" applyFont="1" applyFill="1" applyBorder="1"/>
    <xf numFmtId="0" fontId="46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top" wrapText="1"/>
    </xf>
    <xf numFmtId="0" fontId="46" fillId="0" borderId="0" xfId="527" applyFont="1" applyFill="1" applyBorder="1" applyAlignment="1">
      <alignment horizontal="left" vertical="top" wrapText="1"/>
    </xf>
    <xf numFmtId="0" fontId="4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right"/>
    </xf>
    <xf numFmtId="0" fontId="50" fillId="0" borderId="0" xfId="2" applyFont="1" applyFill="1" applyBorder="1" applyAlignment="1">
      <alignment horizontal="right"/>
    </xf>
    <xf numFmtId="0" fontId="43" fillId="0" borderId="0" xfId="2" applyFont="1" applyFill="1"/>
    <xf numFmtId="0" fontId="43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/>
    </xf>
    <xf numFmtId="0" fontId="46" fillId="0" borderId="0" xfId="2" applyFont="1" applyFill="1" applyBorder="1" applyAlignment="1">
      <alignment horizontal="left" vertical="top" wrapText="1"/>
    </xf>
    <xf numFmtId="0" fontId="46" fillId="0" borderId="0" xfId="2" applyFont="1" applyFill="1" applyBorder="1" applyAlignment="1">
      <alignment horizontal="left" vertical="top"/>
    </xf>
    <xf numFmtId="0" fontId="43" fillId="0" borderId="0" xfId="0" applyFont="1" applyFill="1"/>
    <xf numFmtId="0" fontId="23" fillId="0" borderId="0" xfId="0" applyFont="1" applyFill="1"/>
    <xf numFmtId="0" fontId="23" fillId="0" borderId="44" xfId="0" applyFont="1" applyFill="1" applyBorder="1"/>
    <xf numFmtId="0" fontId="23" fillId="0" borderId="44" xfId="0" applyFont="1" applyFill="1" applyBorder="1" applyAlignment="1"/>
    <xf numFmtId="3" fontId="23" fillId="0" borderId="0" xfId="0" applyNumberFormat="1" applyFont="1" applyFill="1" applyBorder="1"/>
    <xf numFmtId="3" fontId="23" fillId="0" borderId="44" xfId="0" applyNumberFormat="1" applyFont="1" applyFill="1" applyBorder="1"/>
    <xf numFmtId="3" fontId="23" fillId="0" borderId="46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/>
    </xf>
    <xf numFmtId="3" fontId="23" fillId="0" borderId="52" xfId="0" applyNumberFormat="1" applyFont="1" applyFill="1" applyBorder="1"/>
    <xf numFmtId="3" fontId="23" fillId="0" borderId="49" xfId="0" applyNumberFormat="1" applyFont="1" applyFill="1" applyBorder="1"/>
    <xf numFmtId="0" fontId="23" fillId="0" borderId="0" xfId="0" applyFont="1" applyFill="1" applyAlignment="1"/>
    <xf numFmtId="2" fontId="23" fillId="0" borderId="0" xfId="0" applyNumberFormat="1" applyFont="1" applyFill="1"/>
    <xf numFmtId="0" fontId="23" fillId="0" borderId="0" xfId="0" applyFont="1" applyFill="1" applyBorder="1"/>
    <xf numFmtId="165" fontId="30" fillId="0" borderId="44" xfId="2" applyNumberFormat="1" applyFont="1" applyFill="1" applyBorder="1" applyAlignment="1">
      <alignment horizontal="right" vertical="center"/>
    </xf>
    <xf numFmtId="165" fontId="30" fillId="0" borderId="55" xfId="2" applyNumberFormat="1" applyFont="1" applyFill="1" applyBorder="1" applyAlignment="1">
      <alignment horizontal="right" vertical="center"/>
    </xf>
    <xf numFmtId="165" fontId="30" fillId="0" borderId="52" xfId="2" applyNumberFormat="1" applyFont="1" applyFill="1" applyBorder="1" applyAlignment="1">
      <alignment horizontal="right" vertical="center"/>
    </xf>
    <xf numFmtId="165" fontId="30" fillId="0" borderId="51" xfId="2" applyNumberFormat="1" applyFont="1" applyFill="1" applyBorder="1" applyAlignment="1">
      <alignment horizontal="right" vertical="center"/>
    </xf>
    <xf numFmtId="165" fontId="23" fillId="0" borderId="0" xfId="2" applyNumberFormat="1" applyFont="1" applyFill="1" applyBorder="1" applyAlignment="1">
      <alignment horizontal="right" vertical="center"/>
    </xf>
    <xf numFmtId="165" fontId="23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vertical="center"/>
    </xf>
    <xf numFmtId="165" fontId="23" fillId="0" borderId="53" xfId="2" applyNumberFormat="1" applyFont="1" applyFill="1" applyBorder="1" applyAlignment="1">
      <alignment vertical="center"/>
    </xf>
    <xf numFmtId="165" fontId="23" fillId="0" borderId="54" xfId="2" applyNumberFormat="1" applyFont="1" applyFill="1" applyBorder="1" applyAlignment="1">
      <alignment vertical="center"/>
    </xf>
    <xf numFmtId="165" fontId="23" fillId="0" borderId="50" xfId="2" applyNumberFormat="1" applyFont="1" applyFill="1" applyBorder="1" applyAlignment="1">
      <alignment vertical="center"/>
    </xf>
    <xf numFmtId="165" fontId="23" fillId="0" borderId="44" xfId="2" applyNumberFormat="1" applyFont="1" applyFill="1" applyBorder="1" applyAlignment="1">
      <alignment vertical="center"/>
    </xf>
    <xf numFmtId="165" fontId="23" fillId="0" borderId="55" xfId="2" applyNumberFormat="1" applyFont="1" applyFill="1" applyBorder="1" applyAlignment="1">
      <alignment vertical="center"/>
    </xf>
    <xf numFmtId="165" fontId="23" fillId="0" borderId="52" xfId="2" applyNumberFormat="1" applyFont="1" applyFill="1" applyBorder="1" applyAlignment="1">
      <alignment vertical="center"/>
    </xf>
    <xf numFmtId="165" fontId="23" fillId="0" borderId="51" xfId="2" applyNumberFormat="1" applyFont="1" applyFill="1" applyBorder="1" applyAlignment="1">
      <alignment vertical="center"/>
    </xf>
    <xf numFmtId="165" fontId="23" fillId="0" borderId="0" xfId="20" applyNumberFormat="1" applyFont="1" applyFill="1" applyBorder="1" applyAlignment="1">
      <alignment horizontal="right" vertical="center"/>
    </xf>
    <xf numFmtId="165" fontId="30" fillId="0" borderId="44" xfId="20" applyNumberFormat="1" applyFont="1" applyFill="1" applyBorder="1" applyAlignment="1">
      <alignment horizontal="right" vertical="center"/>
    </xf>
    <xf numFmtId="165" fontId="30" fillId="0" borderId="55" xfId="20" applyNumberFormat="1" applyFont="1" applyFill="1" applyBorder="1" applyAlignment="1">
      <alignment horizontal="right" vertical="center"/>
    </xf>
    <xf numFmtId="164" fontId="30" fillId="0" borderId="51" xfId="1" applyNumberFormat="1" applyFont="1" applyFill="1" applyBorder="1" applyAlignment="1">
      <alignment vertical="center"/>
    </xf>
    <xf numFmtId="165" fontId="30" fillId="0" borderId="52" xfId="20" applyNumberFormat="1" applyFont="1" applyFill="1" applyBorder="1" applyAlignment="1">
      <alignment horizontal="right" vertical="center"/>
    </xf>
    <xf numFmtId="165" fontId="23" fillId="0" borderId="44" xfId="20" applyNumberFormat="1" applyFont="1" applyFill="1" applyBorder="1" applyAlignment="1">
      <alignment horizontal="right" vertical="center"/>
    </xf>
    <xf numFmtId="165" fontId="31" fillId="0" borderId="56" xfId="2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vertical="center"/>
    </xf>
    <xf numFmtId="165" fontId="31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horizontal="right"/>
    </xf>
    <xf numFmtId="165" fontId="31" fillId="0" borderId="54" xfId="2" applyNumberFormat="1" applyFont="1" applyFill="1" applyBorder="1" applyAlignment="1">
      <alignment vertical="center"/>
    </xf>
    <xf numFmtId="164" fontId="23" fillId="0" borderId="50" xfId="1" applyNumberFormat="1" applyFont="1" applyFill="1" applyBorder="1" applyAlignment="1">
      <alignment vertical="center"/>
    </xf>
    <xf numFmtId="165" fontId="31" fillId="0" borderId="54" xfId="2" applyNumberFormat="1" applyFont="1" applyFill="1" applyBorder="1" applyAlignment="1">
      <alignment horizontal="right" vertical="center"/>
    </xf>
    <xf numFmtId="165" fontId="31" fillId="0" borderId="55" xfId="2" applyNumberFormat="1" applyFont="1" applyFill="1" applyBorder="1" applyAlignment="1">
      <alignment vertical="center"/>
    </xf>
    <xf numFmtId="164" fontId="23" fillId="0" borderId="51" xfId="1" applyNumberFormat="1" applyFont="1" applyFill="1" applyBorder="1" applyAlignment="1">
      <alignment vertical="center"/>
    </xf>
    <xf numFmtId="165" fontId="31" fillId="0" borderId="55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/>
    </xf>
    <xf numFmtId="0" fontId="21" fillId="0" borderId="0" xfId="2" applyFont="1" applyFill="1" applyBorder="1" applyAlignment="1"/>
    <xf numFmtId="0" fontId="23" fillId="0" borderId="0" xfId="2" applyFont="1" applyFill="1" applyBorder="1"/>
    <xf numFmtId="3" fontId="23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/>
    <xf numFmtId="3" fontId="30" fillId="0" borderId="44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44" xfId="2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165" fontId="23" fillId="0" borderId="56" xfId="0" applyNumberFormat="1" applyFont="1" applyFill="1" applyBorder="1" applyAlignment="1">
      <alignment horizontal="center" vertical="center"/>
    </xf>
    <xf numFmtId="165" fontId="23" fillId="0" borderId="54" xfId="0" applyNumberFormat="1" applyFont="1" applyFill="1" applyBorder="1" applyAlignment="1">
      <alignment horizontal="center" vertical="center"/>
    </xf>
    <xf numFmtId="0" fontId="26" fillId="0" borderId="0" xfId="0" applyFont="1" applyFill="1" applyBorder="1"/>
    <xf numFmtId="0" fontId="35" fillId="0" borderId="0" xfId="0" applyFont="1" applyFill="1" applyBorder="1"/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26" fillId="0" borderId="44" xfId="0" applyFont="1" applyFill="1" applyBorder="1"/>
    <xf numFmtId="3" fontId="23" fillId="0" borderId="56" xfId="0" applyNumberFormat="1" applyFont="1" applyFill="1" applyBorder="1" applyAlignment="1">
      <alignment horizontal="center"/>
    </xf>
    <xf numFmtId="3" fontId="23" fillId="0" borderId="55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165" fontId="23" fillId="0" borderId="56" xfId="0" applyNumberFormat="1" applyFont="1" applyFill="1" applyBorder="1" applyAlignment="1">
      <alignment horizontal="center"/>
    </xf>
    <xf numFmtId="3" fontId="23" fillId="0" borderId="52" xfId="0" applyNumberFormat="1" applyFont="1" applyFill="1" applyBorder="1" applyAlignment="1">
      <alignment horizontal="right"/>
    </xf>
    <xf numFmtId="3" fontId="23" fillId="0" borderId="44" xfId="0" applyNumberFormat="1" applyFont="1" applyFill="1" applyBorder="1" applyAlignment="1">
      <alignment horizontal="right"/>
    </xf>
    <xf numFmtId="165" fontId="23" fillId="0" borderId="55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center"/>
    </xf>
    <xf numFmtId="165" fontId="23" fillId="0" borderId="47" xfId="0" applyNumberFormat="1" applyFont="1" applyFill="1" applyBorder="1" applyAlignment="1">
      <alignment horizontal="center"/>
    </xf>
    <xf numFmtId="165" fontId="23" fillId="0" borderId="47" xfId="0" applyNumberFormat="1" applyFont="1" applyFill="1" applyBorder="1" applyAlignment="1">
      <alignment horizontal="center" vertical="center"/>
    </xf>
    <xf numFmtId="3" fontId="23" fillId="0" borderId="46" xfId="0" applyNumberFormat="1" applyFont="1" applyFill="1" applyBorder="1" applyAlignment="1">
      <alignment horizontal="right" vertical="top" wrapText="1"/>
    </xf>
    <xf numFmtId="165" fontId="23" fillId="0" borderId="47" xfId="0" applyNumberFormat="1" applyFont="1" applyFill="1" applyBorder="1" applyAlignment="1">
      <alignment horizontal="center" vertical="top" wrapText="1"/>
    </xf>
    <xf numFmtId="3" fontId="23" fillId="0" borderId="49" xfId="0" applyNumberFormat="1" applyFont="1" applyFill="1" applyBorder="1" applyAlignment="1">
      <alignment horizontal="right"/>
    </xf>
    <xf numFmtId="3" fontId="23" fillId="0" borderId="46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top"/>
    </xf>
    <xf numFmtId="3" fontId="23" fillId="0" borderId="46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3" fontId="23" fillId="0" borderId="54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64" fontId="23" fillId="0" borderId="54" xfId="1" applyNumberFormat="1" applyFont="1" applyFill="1" applyBorder="1" applyAlignment="1">
      <alignment horizontal="right" vertical="center"/>
    </xf>
    <xf numFmtId="164" fontId="23" fillId="0" borderId="50" xfId="1" applyNumberFormat="1" applyFont="1" applyFill="1" applyBorder="1" applyAlignment="1">
      <alignment horizontal="right" vertical="center"/>
    </xf>
    <xf numFmtId="3" fontId="11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 vertical="center"/>
    </xf>
    <xf numFmtId="164" fontId="23" fillId="0" borderId="56" xfId="1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164" fontId="30" fillId="0" borderId="50" xfId="1" applyNumberFormat="1" applyFont="1" applyFill="1" applyBorder="1" applyAlignment="1">
      <alignment horizontal="right" vertical="center"/>
    </xf>
    <xf numFmtId="165" fontId="32" fillId="0" borderId="0" xfId="1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30" fillId="0" borderId="52" xfId="2" applyNumberFormat="1" applyFont="1" applyFill="1" applyBorder="1" applyAlignment="1">
      <alignment horizontal="right" vertical="center"/>
    </xf>
    <xf numFmtId="3" fontId="30" fillId="0" borderId="55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horizontal="right" vertical="center"/>
    </xf>
    <xf numFmtId="3" fontId="23" fillId="0" borderId="55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vertical="center"/>
    </xf>
    <xf numFmtId="3" fontId="113" fillId="0" borderId="54" xfId="0" applyNumberFormat="1" applyFont="1" applyFill="1" applyBorder="1" applyAlignment="1">
      <alignment horizontal="right" vertical="center"/>
    </xf>
    <xf numFmtId="3" fontId="113" fillId="0" borderId="56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right" vertical="center"/>
    </xf>
    <xf numFmtId="164" fontId="23" fillId="0" borderId="46" xfId="1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vertical="center" wrapText="1"/>
    </xf>
    <xf numFmtId="3" fontId="29" fillId="0" borderId="46" xfId="0" applyNumberFormat="1" applyFont="1" applyFill="1" applyBorder="1" applyAlignment="1">
      <alignment horizontal="right" vertical="center"/>
    </xf>
    <xf numFmtId="164" fontId="29" fillId="0" borderId="46" xfId="1" applyNumberFormat="1" applyFont="1" applyFill="1" applyBorder="1" applyAlignment="1">
      <alignment horizontal="right" vertical="center"/>
    </xf>
    <xf numFmtId="3" fontId="23" fillId="0" borderId="55" xfId="0" applyNumberFormat="1" applyFont="1" applyFill="1" applyBorder="1" applyAlignment="1">
      <alignment horizontal="right" vertical="center"/>
    </xf>
    <xf numFmtId="3" fontId="23" fillId="0" borderId="52" xfId="0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52" xfId="1" applyNumberFormat="1" applyFont="1" applyFill="1" applyBorder="1" applyAlignment="1">
      <alignment horizontal="right" vertical="center"/>
    </xf>
    <xf numFmtId="164" fontId="23" fillId="0" borderId="55" xfId="1" applyNumberFormat="1" applyFont="1" applyFill="1" applyBorder="1" applyAlignment="1">
      <alignment horizontal="right" vertical="center"/>
    </xf>
    <xf numFmtId="165" fontId="32" fillId="0" borderId="52" xfId="1" applyNumberFormat="1" applyFont="1" applyFill="1" applyBorder="1" applyAlignment="1">
      <alignment horizontal="right" vertical="center"/>
    </xf>
    <xf numFmtId="165" fontId="32" fillId="0" borderId="44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vertical="center"/>
    </xf>
    <xf numFmtId="165" fontId="32" fillId="0" borderId="44" xfId="1" applyNumberFormat="1" applyFont="1" applyFill="1" applyBorder="1" applyAlignment="1">
      <alignment horizontal="right" vertical="center"/>
    </xf>
    <xf numFmtId="3" fontId="30" fillId="0" borderId="51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horizontal="right" vertical="center"/>
    </xf>
    <xf numFmtId="3" fontId="23" fillId="0" borderId="50" xfId="2" applyNumberFormat="1" applyFont="1" applyFill="1" applyBorder="1" applyAlignment="1">
      <alignment vertical="center"/>
    </xf>
    <xf numFmtId="3" fontId="23" fillId="0" borderId="55" xfId="2" applyNumberFormat="1" applyFont="1" applyFill="1" applyBorder="1" applyAlignment="1">
      <alignment horizontal="right" vertical="center"/>
    </xf>
    <xf numFmtId="3" fontId="23" fillId="0" borderId="51" xfId="2" applyNumberFormat="1" applyFont="1" applyFill="1" applyBorder="1" applyAlignment="1">
      <alignment vertical="center"/>
    </xf>
    <xf numFmtId="0" fontId="26" fillId="0" borderId="0" xfId="2" applyFont="1" applyFill="1"/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23" fillId="0" borderId="0" xfId="2" applyFont="1" applyFill="1"/>
    <xf numFmtId="165" fontId="23" fillId="0" borderId="0" xfId="2" applyNumberFormat="1" applyFont="1" applyFill="1" applyBorder="1" applyAlignment="1">
      <alignment wrapText="1"/>
    </xf>
    <xf numFmtId="0" fontId="23" fillId="0" borderId="0" xfId="2" applyFont="1" applyFill="1" applyBorder="1" applyAlignment="1">
      <alignment vertical="center"/>
    </xf>
    <xf numFmtId="165" fontId="42" fillId="0" borderId="0" xfId="2" applyNumberFormat="1" applyFont="1" applyFill="1" applyBorder="1" applyAlignment="1">
      <alignment vertical="center" wrapText="1"/>
    </xf>
    <xf numFmtId="0" fontId="23" fillId="0" borderId="0" xfId="2" applyFont="1" applyFill="1" applyAlignment="1">
      <alignment horizontal="left"/>
    </xf>
    <xf numFmtId="0" fontId="23" fillId="0" borderId="0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165" fontId="41" fillId="0" borderId="0" xfId="2" applyNumberFormat="1" applyFont="1" applyFill="1" applyBorder="1" applyAlignment="1">
      <alignment vertical="center" wrapText="1"/>
    </xf>
    <xf numFmtId="16" fontId="23" fillId="0" borderId="0" xfId="2" applyNumberFormat="1" applyFont="1" applyFill="1" applyBorder="1" applyAlignment="1">
      <alignment horizontal="center" wrapText="1"/>
    </xf>
    <xf numFmtId="0" fontId="41" fillId="0" borderId="0" xfId="2" applyFont="1" applyFill="1" applyAlignment="1">
      <alignment vertical="center" wrapText="1"/>
    </xf>
    <xf numFmtId="0" fontId="24" fillId="0" borderId="0" xfId="2" applyFont="1" applyFill="1"/>
    <xf numFmtId="165" fontId="33" fillId="0" borderId="0" xfId="2" applyNumberFormat="1" applyFont="1" applyFill="1" applyBorder="1" applyAlignment="1">
      <alignment wrapText="1"/>
    </xf>
    <xf numFmtId="165" fontId="23" fillId="0" borderId="0" xfId="2" applyNumberFormat="1" applyFont="1" applyFill="1" applyBorder="1" applyAlignment="1">
      <alignment horizontal="left" vertical="top" wrapText="1"/>
    </xf>
    <xf numFmtId="165" fontId="38" fillId="0" borderId="0" xfId="2" applyNumberFormat="1" applyFont="1" applyFill="1" applyBorder="1" applyAlignment="1">
      <alignment vertical="center" wrapText="1"/>
    </xf>
    <xf numFmtId="3" fontId="24" fillId="0" borderId="0" xfId="2" applyNumberFormat="1" applyFont="1" applyFill="1" applyBorder="1" applyAlignment="1">
      <alignment vertical="center" wrapText="1"/>
    </xf>
    <xf numFmtId="165" fontId="24" fillId="0" borderId="0" xfId="2" applyNumberFormat="1" applyFont="1" applyFill="1" applyBorder="1" applyAlignment="1">
      <alignment horizontal="left" wrapText="1"/>
    </xf>
    <xf numFmtId="0" fontId="40" fillId="0" borderId="0" xfId="2" applyFont="1" applyFill="1" applyAlignment="1">
      <alignment vertical="center" wrapText="1"/>
    </xf>
    <xf numFmtId="0" fontId="39" fillId="0" borderId="0" xfId="2" applyFont="1" applyFill="1" applyAlignment="1">
      <alignment vertical="center" wrapText="1"/>
    </xf>
    <xf numFmtId="0" fontId="38" fillId="0" borderId="0" xfId="2" applyFont="1" applyFill="1" applyBorder="1" applyAlignment="1">
      <alignment wrapText="1"/>
    </xf>
    <xf numFmtId="0" fontId="24" fillId="0" borderId="0" xfId="2" applyFont="1" applyFill="1" applyBorder="1" applyAlignment="1">
      <alignment horizont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/>
    <xf numFmtId="0" fontId="23" fillId="0" borderId="0" xfId="2" applyFont="1" applyFill="1" applyBorder="1" applyAlignment="1">
      <alignment horizontal="left"/>
    </xf>
    <xf numFmtId="0" fontId="119" fillId="0" borderId="0" xfId="2" applyFont="1" applyFill="1"/>
    <xf numFmtId="0" fontId="23" fillId="0" borderId="0" xfId="2" applyFont="1" applyFill="1" applyAlignment="1">
      <alignment horizontal="left" vertical="top" wrapText="1"/>
    </xf>
    <xf numFmtId="0" fontId="23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0" fontId="23" fillId="0" borderId="0" xfId="2" applyFont="1" applyFill="1" applyBorder="1" applyAlignment="1">
      <alignment horizontal="center" vertical="top" wrapText="1"/>
    </xf>
    <xf numFmtId="0" fontId="21" fillId="0" borderId="0" xfId="2" applyFont="1" applyFill="1" applyAlignment="1">
      <alignment vertical="top" wrapText="1"/>
    </xf>
    <xf numFmtId="0" fontId="120" fillId="0" borderId="0" xfId="2" applyFont="1" applyFill="1" applyAlignment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65" fontId="23" fillId="0" borderId="0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justify" vertical="top" wrapText="1"/>
    </xf>
    <xf numFmtId="0" fontId="112" fillId="0" borderId="0" xfId="2" quotePrefix="1" applyFont="1" applyFill="1" applyBorder="1" applyAlignment="1">
      <alignment horizontal="left"/>
    </xf>
    <xf numFmtId="0" fontId="112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right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Border="1" applyAlignment="1">
      <alignment horizontal="left"/>
    </xf>
    <xf numFmtId="0" fontId="46" fillId="0" borderId="0" xfId="2" applyFont="1" applyFill="1" applyBorder="1" applyAlignment="1">
      <alignment horizontal="right"/>
    </xf>
    <xf numFmtId="0" fontId="123" fillId="0" borderId="0" xfId="2" applyFont="1" applyFill="1" applyBorder="1" applyAlignment="1">
      <alignment horizontal="left"/>
    </xf>
    <xf numFmtId="0" fontId="53" fillId="0" borderId="0" xfId="2" applyFont="1" applyFill="1" applyBorder="1" applyAlignment="1">
      <alignment horizontal="left"/>
    </xf>
    <xf numFmtId="0" fontId="23" fillId="0" borderId="0" xfId="2" applyFont="1" applyFill="1" applyAlignment="1">
      <alignment vertical="top" wrapText="1"/>
    </xf>
    <xf numFmtId="0" fontId="23" fillId="0" borderId="0" xfId="2" applyFont="1" applyFill="1" applyBorder="1" applyAlignment="1">
      <alignment vertical="top" wrapText="1"/>
    </xf>
    <xf numFmtId="0" fontId="23" fillId="0" borderId="58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vertical="center"/>
    </xf>
    <xf numFmtId="0" fontId="121" fillId="0" borderId="0" xfId="2" applyFont="1" applyFill="1" applyBorder="1" applyAlignment="1"/>
    <xf numFmtId="0" fontId="121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24" fillId="0" borderId="0" xfId="2" applyFont="1" applyFill="1" applyBorder="1"/>
    <xf numFmtId="0" fontId="23" fillId="0" borderId="0" xfId="2" applyFont="1" applyFill="1" applyBorder="1" applyAlignment="1">
      <alignment horizontal="left" vertical="top"/>
    </xf>
    <xf numFmtId="0" fontId="124" fillId="0" borderId="0" xfId="2" applyFont="1" applyFill="1" applyBorder="1" applyAlignment="1">
      <alignment horizontal="right"/>
    </xf>
    <xf numFmtId="0" fontId="23" fillId="0" borderId="58" xfId="2" applyFont="1" applyFill="1" applyBorder="1"/>
    <xf numFmtId="0" fontId="33" fillId="0" borderId="0" xfId="2" applyFont="1" applyFill="1" applyBorder="1" applyAlignment="1">
      <alignment wrapText="1"/>
    </xf>
    <xf numFmtId="1" fontId="125" fillId="0" borderId="44" xfId="0" applyNumberFormat="1" applyFont="1" applyFill="1" applyBorder="1" applyAlignment="1">
      <alignment vertical="top"/>
    </xf>
    <xf numFmtId="0" fontId="22" fillId="0" borderId="44" xfId="0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8" fillId="0" borderId="44" xfId="2" applyFont="1" applyFill="1" applyBorder="1" applyAlignment="1">
      <alignment horizontal="right" vertical="top" wrapText="1"/>
    </xf>
    <xf numFmtId="4" fontId="23" fillId="0" borderId="0" xfId="2" applyNumberFormat="1" applyFont="1" applyFill="1" applyBorder="1"/>
    <xf numFmtId="166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" fontId="125" fillId="0" borderId="44" xfId="2" applyNumberFormat="1" applyFont="1" applyFill="1" applyBorder="1" applyAlignment="1">
      <alignment horizontal="left" vertical="top" wrapText="1"/>
    </xf>
    <xf numFmtId="0" fontId="28" fillId="0" borderId="44" xfId="2" applyFont="1" applyFill="1" applyBorder="1" applyAlignment="1">
      <alignment vertical="top" wrapText="1"/>
    </xf>
    <xf numFmtId="0" fontId="126" fillId="0" borderId="44" xfId="2" applyFont="1" applyFill="1" applyBorder="1" applyAlignment="1">
      <alignment horizontal="left" vertical="top" wrapText="1"/>
    </xf>
    <xf numFmtId="0" fontId="23" fillId="0" borderId="44" xfId="2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49" fontId="47" fillId="0" borderId="0" xfId="2" applyNumberFormat="1" applyFont="1" applyFill="1" applyAlignment="1">
      <alignment vertical="center"/>
    </xf>
    <xf numFmtId="0" fontId="26" fillId="0" borderId="0" xfId="2" applyFont="1"/>
    <xf numFmtId="0" fontId="26" fillId="0" borderId="0" xfId="0" applyFont="1" applyFill="1"/>
    <xf numFmtId="0" fontId="127" fillId="0" borderId="0" xfId="0" applyFont="1" applyFill="1"/>
    <xf numFmtId="1" fontId="22" fillId="0" borderId="44" xfId="0" applyNumberFormat="1" applyFont="1" applyFill="1" applyBorder="1" applyAlignment="1">
      <alignment vertical="center" wrapText="1"/>
    </xf>
    <xf numFmtId="1" fontId="22" fillId="0" borderId="44" xfId="0" applyNumberFormat="1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vertical="center" wrapText="1"/>
    </xf>
    <xf numFmtId="165" fontId="26" fillId="0" borderId="0" xfId="0" applyNumberFormat="1" applyFont="1" applyFill="1"/>
    <xf numFmtId="3" fontId="26" fillId="0" borderId="0" xfId="0" applyNumberFormat="1" applyFont="1" applyFill="1"/>
    <xf numFmtId="1" fontId="26" fillId="0" borderId="0" xfId="0" applyNumberFormat="1" applyFont="1" applyFill="1"/>
    <xf numFmtId="0" fontId="23" fillId="0" borderId="0" xfId="0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/>
    <xf numFmtId="0" fontId="30" fillId="0" borderId="0" xfId="2" applyFont="1" applyFill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23" fillId="0" borderId="0" xfId="2" applyNumberFormat="1" applyFont="1" applyFill="1" applyBorder="1" applyAlignment="1">
      <alignment horizontal="right"/>
    </xf>
    <xf numFmtId="3" fontId="53" fillId="0" borderId="0" xfId="2" applyNumberFormat="1" applyFont="1" applyFill="1" applyBorder="1"/>
    <xf numFmtId="3" fontId="26" fillId="0" borderId="0" xfId="2" applyNumberFormat="1" applyFont="1" applyFill="1" applyBorder="1"/>
    <xf numFmtId="3" fontId="26" fillId="0" borderId="0" xfId="2" applyNumberFormat="1" applyFont="1" applyFill="1"/>
    <xf numFmtId="0" fontId="128" fillId="0" borderId="0" xfId="2" applyFont="1" applyFill="1" applyAlignment="1">
      <alignment wrapText="1"/>
    </xf>
    <xf numFmtId="0" fontId="38" fillId="0" borderId="0" xfId="2" applyFont="1" applyFill="1" applyBorder="1" applyAlignment="1">
      <alignment vertical="center" wrapText="1"/>
    </xf>
    <xf numFmtId="49" fontId="23" fillId="0" borderId="0" xfId="2" applyNumberFormat="1" applyFont="1" applyFill="1" applyBorder="1" applyAlignment="1">
      <alignment wrapText="1"/>
    </xf>
    <xf numFmtId="1" fontId="30" fillId="0" borderId="0" xfId="2" applyNumberFormat="1" applyFont="1" applyFill="1" applyBorder="1" applyAlignment="1">
      <alignment horizontal="right" wrapText="1"/>
    </xf>
    <xf numFmtId="0" fontId="30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right" wrapText="1"/>
    </xf>
    <xf numFmtId="3" fontId="30" fillId="0" borderId="0" xfId="2" applyNumberFormat="1" applyFont="1" applyFill="1" applyBorder="1" applyAlignment="1">
      <alignment horizontal="right"/>
    </xf>
    <xf numFmtId="165" fontId="30" fillId="0" borderId="0" xfId="2" applyNumberFormat="1" applyFont="1" applyFill="1" applyBorder="1" applyAlignment="1">
      <alignment horizontal="right"/>
    </xf>
    <xf numFmtId="0" fontId="43" fillId="0" borderId="0" xfId="57" applyFont="1" applyFill="1"/>
    <xf numFmtId="0" fontId="129" fillId="0" borderId="0" xfId="2" applyFont="1" applyFill="1" applyAlignment="1">
      <alignment horizontal="right"/>
    </xf>
    <xf numFmtId="0" fontId="26" fillId="26" borderId="0" xfId="2" applyFont="1" applyFill="1"/>
    <xf numFmtId="0" fontId="23" fillId="26" borderId="0" xfId="2" applyFont="1" applyFill="1"/>
    <xf numFmtId="1" fontId="53" fillId="0" borderId="0" xfId="2" applyNumberFormat="1" applyFont="1" applyFill="1" applyBorder="1" applyAlignment="1">
      <alignment horizontal="left"/>
    </xf>
    <xf numFmtId="0" fontId="53" fillId="0" borderId="0" xfId="2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vertical="center"/>
    </xf>
    <xf numFmtId="1" fontId="26" fillId="0" borderId="5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horizontal="right" vertical="center"/>
    </xf>
    <xf numFmtId="164" fontId="23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0" fontId="23" fillId="25" borderId="46" xfId="2" applyFont="1" applyFill="1" applyBorder="1" applyAlignment="1">
      <alignment horizontal="center" wrapText="1"/>
    </xf>
    <xf numFmtId="0" fontId="23" fillId="25" borderId="4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165" fontId="23" fillId="76" borderId="0" xfId="2" applyNumberFormat="1" applyFont="1" applyFill="1" applyBorder="1" applyAlignment="1">
      <alignment horizontal="right" vertical="center"/>
    </xf>
    <xf numFmtId="165" fontId="23" fillId="76" borderId="56" xfId="2" applyNumberFormat="1" applyFont="1" applyFill="1" applyBorder="1" applyAlignment="1">
      <alignment horizontal="right" vertical="center"/>
    </xf>
    <xf numFmtId="165" fontId="23" fillId="76" borderId="53" xfId="2" applyNumberFormat="1" applyFont="1" applyFill="1" applyBorder="1" applyAlignment="1">
      <alignment horizontal="right" vertical="center"/>
    </xf>
    <xf numFmtId="165" fontId="130" fillId="76" borderId="0" xfId="2" applyNumberFormat="1" applyFont="1" applyFill="1" applyBorder="1" applyAlignment="1">
      <alignment horizontal="right" vertical="center"/>
    </xf>
    <xf numFmtId="165" fontId="130" fillId="76" borderId="54" xfId="2" applyNumberFormat="1" applyFont="1" applyFill="1" applyBorder="1" applyAlignment="1">
      <alignment horizontal="right" vertical="center"/>
    </xf>
    <xf numFmtId="165" fontId="130" fillId="76" borderId="50" xfId="2" applyNumberFormat="1" applyFont="1" applyFill="1" applyBorder="1" applyAlignment="1">
      <alignment horizontal="right" vertical="center"/>
    </xf>
    <xf numFmtId="165" fontId="130" fillId="76" borderId="44" xfId="2" applyNumberFormat="1" applyFont="1" applyFill="1" applyBorder="1" applyAlignment="1">
      <alignment horizontal="right" vertical="center"/>
    </xf>
    <xf numFmtId="165" fontId="130" fillId="76" borderId="55" xfId="2" applyNumberFormat="1" applyFont="1" applyFill="1" applyBorder="1" applyAlignment="1">
      <alignment horizontal="right" vertical="center"/>
    </xf>
    <xf numFmtId="165" fontId="130" fillId="76" borderId="52" xfId="2" applyNumberFormat="1" applyFont="1" applyFill="1" applyBorder="1" applyAlignment="1">
      <alignment horizontal="right" vertical="center"/>
    </xf>
    <xf numFmtId="165" fontId="130" fillId="76" borderId="51" xfId="2" applyNumberFormat="1" applyFont="1" applyFill="1" applyBorder="1" applyAlignment="1">
      <alignment horizontal="right" vertical="center"/>
    </xf>
    <xf numFmtId="165" fontId="130" fillId="76" borderId="46" xfId="2" applyNumberFormat="1" applyFont="1" applyFill="1" applyBorder="1" applyAlignment="1">
      <alignment horizontal="right" vertical="center"/>
    </xf>
    <xf numFmtId="165" fontId="130" fillId="76" borderId="47" xfId="2" applyNumberFormat="1" applyFont="1" applyFill="1" applyBorder="1" applyAlignment="1">
      <alignment horizontal="right" vertical="center"/>
    </xf>
    <xf numFmtId="165" fontId="130" fillId="76" borderId="49" xfId="2" applyNumberFormat="1" applyFont="1" applyFill="1" applyBorder="1" applyAlignment="1">
      <alignment horizontal="right" vertical="center"/>
    </xf>
    <xf numFmtId="165" fontId="130" fillId="76" borderId="57" xfId="2" applyNumberFormat="1" applyFont="1" applyFill="1" applyBorder="1" applyAlignment="1">
      <alignment horizontal="right" vertical="center"/>
    </xf>
    <xf numFmtId="0" fontId="23" fillId="25" borderId="0" xfId="0" applyFont="1" applyFill="1" applyBorder="1"/>
    <xf numFmtId="0" fontId="23" fillId="25" borderId="0" xfId="0" applyFont="1" applyFill="1" applyBorder="1" applyAlignment="1"/>
    <xf numFmtId="0" fontId="23" fillId="25" borderId="46" xfId="2" applyFont="1" applyFill="1" applyBorder="1" applyAlignment="1">
      <alignment horizontal="center" vertical="center"/>
    </xf>
    <xf numFmtId="1" fontId="23" fillId="25" borderId="46" xfId="2" applyNumberFormat="1" applyFont="1" applyFill="1" applyBorder="1" applyAlignment="1">
      <alignment horizontal="center" wrapText="1"/>
    </xf>
    <xf numFmtId="1" fontId="31" fillId="25" borderId="47" xfId="2" applyNumberFormat="1" applyFont="1" applyFill="1" applyBorder="1" applyAlignment="1">
      <alignment horizontal="center" wrapText="1"/>
    </xf>
    <xf numFmtId="1" fontId="23" fillId="25" borderId="49" xfId="2" applyNumberFormat="1" applyFont="1" applyFill="1" applyBorder="1" applyAlignment="1">
      <alignment horizontal="center" wrapText="1"/>
    </xf>
    <xf numFmtId="0" fontId="32" fillId="25" borderId="46" xfId="0" applyFont="1" applyFill="1" applyBorder="1" applyAlignment="1">
      <alignment horizontal="right" wrapText="1"/>
    </xf>
    <xf numFmtId="0" fontId="23" fillId="25" borderId="0" xfId="2" applyFont="1" applyFill="1" applyBorder="1"/>
    <xf numFmtId="0" fontId="28" fillId="25" borderId="56" xfId="0" applyFont="1" applyFill="1" applyBorder="1" applyAlignment="1">
      <alignment vertical="center" wrapText="1"/>
    </xf>
    <xf numFmtId="0" fontId="28" fillId="25" borderId="53" xfId="0" applyFont="1" applyFill="1" applyBorder="1" applyAlignment="1">
      <alignment vertical="center" wrapText="1"/>
    </xf>
    <xf numFmtId="0" fontId="23" fillId="25" borderId="54" xfId="0" applyFont="1" applyFill="1" applyBorder="1"/>
    <xf numFmtId="0" fontId="23" fillId="25" borderId="5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right" wrapText="1"/>
    </xf>
    <xf numFmtId="0" fontId="28" fillId="25" borderId="0" xfId="0" applyFont="1" applyFill="1" applyBorder="1" applyAlignment="1">
      <alignment horizontal="left" wrapText="1"/>
    </xf>
    <xf numFmtId="0" fontId="28" fillId="25" borderId="54" xfId="0" applyFont="1" applyFill="1" applyBorder="1" applyAlignment="1">
      <alignment horizontal="left" wrapText="1"/>
    </xf>
    <xf numFmtId="0" fontId="23" fillId="25" borderId="44" xfId="0" applyFont="1" applyFill="1" applyBorder="1" applyAlignment="1">
      <alignment wrapText="1"/>
    </xf>
    <xf numFmtId="0" fontId="26" fillId="25" borderId="55" xfId="0" applyFont="1" applyFill="1" applyBorder="1"/>
    <xf numFmtId="0" fontId="23" fillId="25" borderId="49" xfId="0" applyFont="1" applyFill="1" applyBorder="1" applyAlignment="1">
      <alignment horizontal="left" wrapText="1"/>
    </xf>
    <xf numFmtId="0" fontId="23" fillId="25" borderId="47" xfId="0" applyFont="1" applyFill="1" applyBorder="1" applyAlignment="1">
      <alignment horizontal="left" wrapText="1"/>
    </xf>
    <xf numFmtId="0" fontId="26" fillId="25" borderId="54" xfId="0" applyFont="1" applyFill="1" applyBorder="1"/>
    <xf numFmtId="0" fontId="23" fillId="25" borderId="0" xfId="0" applyFont="1" applyFill="1" applyBorder="1" applyAlignment="1">
      <alignment horizontal="center"/>
    </xf>
    <xf numFmtId="0" fontId="23" fillId="25" borderId="56" xfId="0" applyFont="1" applyFill="1" applyBorder="1" applyAlignment="1">
      <alignment horizontal="center"/>
    </xf>
    <xf numFmtId="0" fontId="23" fillId="25" borderId="53" xfId="0" applyFont="1" applyFill="1" applyBorder="1" applyAlignment="1">
      <alignment horizontal="center" wrapText="1"/>
    </xf>
    <xf numFmtId="0" fontId="32" fillId="25" borderId="0" xfId="0" applyFont="1" applyFill="1" applyBorder="1" applyAlignment="1">
      <alignment horizontal="center" wrapText="1"/>
    </xf>
    <xf numFmtId="0" fontId="32" fillId="25" borderId="52" xfId="0" applyFont="1" applyFill="1" applyBorder="1" applyAlignment="1">
      <alignment horizontal="center" wrapText="1"/>
    </xf>
    <xf numFmtId="0" fontId="32" fillId="25" borderId="44" xfId="0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right" textRotation="90" wrapText="1"/>
    </xf>
    <xf numFmtId="0" fontId="23" fillId="25" borderId="46" xfId="2" applyFont="1" applyFill="1" applyBorder="1" applyAlignment="1">
      <alignment horizontal="right" textRotation="90" wrapText="1"/>
    </xf>
    <xf numFmtId="0" fontId="23" fillId="25" borderId="47" xfId="2" applyFont="1" applyFill="1" applyBorder="1" applyAlignment="1">
      <alignment horizontal="right" textRotation="90" wrapText="1"/>
    </xf>
    <xf numFmtId="0" fontId="22" fillId="25" borderId="56" xfId="0" applyFont="1" applyFill="1" applyBorder="1" applyAlignment="1">
      <alignment vertical="center" wrapText="1"/>
    </xf>
    <xf numFmtId="0" fontId="22" fillId="25" borderId="53" xfId="0" applyFont="1" applyFill="1" applyBorder="1" applyAlignment="1">
      <alignment vertical="center" wrapText="1"/>
    </xf>
    <xf numFmtId="0" fontId="26" fillId="25" borderId="0" xfId="0" applyFont="1" applyFill="1" applyBorder="1"/>
    <xf numFmtId="0" fontId="36" fillId="25" borderId="50" xfId="0" applyFont="1" applyFill="1" applyBorder="1" applyAlignment="1">
      <alignment horizontal="center"/>
    </xf>
    <xf numFmtId="0" fontId="22" fillId="25" borderId="0" xfId="0" applyFont="1" applyFill="1" applyBorder="1" applyAlignment="1">
      <alignment horizontal="right" wrapText="1"/>
    </xf>
    <xf numFmtId="0" fontId="22" fillId="25" borderId="0" xfId="0" applyFont="1" applyFill="1" applyBorder="1" applyAlignment="1">
      <alignment horizontal="left" wrapText="1"/>
    </xf>
    <xf numFmtId="0" fontId="22" fillId="25" borderId="54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wrapText="1"/>
    </xf>
    <xf numFmtId="0" fontId="113" fillId="25" borderId="52" xfId="0" applyFont="1" applyFill="1" applyBorder="1" applyAlignment="1">
      <alignment horizontal="center" wrapText="1"/>
    </xf>
    <xf numFmtId="0" fontId="113" fillId="25" borderId="55" xfId="0" applyFont="1" applyFill="1" applyBorder="1" applyAlignment="1">
      <alignment horizontal="center" wrapText="1"/>
    </xf>
    <xf numFmtId="3" fontId="23" fillId="25" borderId="0" xfId="0" applyNumberFormat="1" applyFont="1" applyFill="1" applyBorder="1" applyAlignment="1">
      <alignment horizontal="right" vertical="center"/>
    </xf>
    <xf numFmtId="164" fontId="23" fillId="25" borderId="56" xfId="1" applyNumberFormat="1" applyFont="1" applyFill="1" applyBorder="1" applyAlignment="1">
      <alignment horizontal="right" vertical="center"/>
    </xf>
    <xf numFmtId="3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/>
    <xf numFmtId="0" fontId="26" fillId="25" borderId="54" xfId="0" applyFont="1" applyFill="1" applyBorder="1" applyAlignment="1"/>
    <xf numFmtId="0" fontId="26" fillId="25" borderId="50" xfId="0" applyFont="1" applyFill="1" applyBorder="1" applyAlignment="1"/>
    <xf numFmtId="0" fontId="26" fillId="25" borderId="0" xfId="0" applyFont="1" applyFill="1" applyBorder="1" applyAlignment="1">
      <alignment vertical="center" wrapText="1"/>
    </xf>
    <xf numFmtId="0" fontId="26" fillId="25" borderId="56" xfId="0" applyFont="1" applyFill="1" applyBorder="1" applyAlignment="1">
      <alignment vertical="center" wrapText="1"/>
    </xf>
    <xf numFmtId="0" fontId="23" fillId="25" borderId="54" xfId="0" applyFont="1" applyFill="1" applyBorder="1" applyAlignment="1">
      <alignment horizontal="center"/>
    </xf>
    <xf numFmtId="0" fontId="23" fillId="25" borderId="49" xfId="2" applyFont="1" applyFill="1" applyBorder="1" applyAlignment="1">
      <alignment horizontal="center" textRotation="90" wrapText="1"/>
    </xf>
    <xf numFmtId="0" fontId="23" fillId="25" borderId="47" xfId="2" applyFont="1" applyFill="1" applyBorder="1" applyAlignment="1">
      <alignment horizontal="center" textRotation="90" wrapText="1"/>
    </xf>
    <xf numFmtId="0" fontId="23" fillId="25" borderId="57" xfId="2" applyFont="1" applyFill="1" applyBorder="1" applyAlignment="1">
      <alignment horizontal="center" textRotation="90" wrapText="1"/>
    </xf>
    <xf numFmtId="165" fontId="23" fillId="76" borderId="0" xfId="20" applyNumberFormat="1" applyFont="1" applyFill="1" applyBorder="1" applyAlignment="1">
      <alignment horizontal="right" vertical="center"/>
    </xf>
    <xf numFmtId="164" fontId="23" fillId="76" borderId="53" xfId="1" applyNumberFormat="1" applyFont="1" applyFill="1" applyBorder="1" applyAlignment="1">
      <alignment vertical="center"/>
    </xf>
    <xf numFmtId="165" fontId="23" fillId="76" borderId="56" xfId="20" applyNumberFormat="1" applyFont="1" applyFill="1" applyBorder="1" applyAlignment="1">
      <alignment horizontal="right" vertical="center"/>
    </xf>
    <xf numFmtId="165" fontId="23" fillId="76" borderId="46" xfId="20" applyNumberFormat="1" applyFont="1" applyFill="1" applyBorder="1" applyAlignment="1">
      <alignment horizontal="right" vertical="center"/>
    </xf>
    <xf numFmtId="165" fontId="130" fillId="76" borderId="0" xfId="20" applyNumberFormat="1" applyFont="1" applyFill="1" applyBorder="1" applyAlignment="1">
      <alignment horizontal="right" vertical="center"/>
    </xf>
    <xf numFmtId="165" fontId="130" fillId="76" borderId="54" xfId="20" applyNumberFormat="1" applyFont="1" applyFill="1" applyBorder="1" applyAlignment="1">
      <alignment horizontal="right" vertical="center"/>
    </xf>
    <xf numFmtId="164" fontId="130" fillId="76" borderId="50" xfId="1" applyNumberFormat="1" applyFont="1" applyFill="1" applyBorder="1" applyAlignment="1">
      <alignment vertical="center"/>
    </xf>
    <xf numFmtId="165" fontId="130" fillId="76" borderId="44" xfId="20" applyNumberFormat="1" applyFont="1" applyFill="1" applyBorder="1" applyAlignment="1">
      <alignment horizontal="right" vertical="center"/>
    </xf>
    <xf numFmtId="165" fontId="130" fillId="76" borderId="55" xfId="20" applyNumberFormat="1" applyFont="1" applyFill="1" applyBorder="1" applyAlignment="1">
      <alignment horizontal="right" vertical="center"/>
    </xf>
    <xf numFmtId="164" fontId="130" fillId="76" borderId="51" xfId="1" applyNumberFormat="1" applyFont="1" applyFill="1" applyBorder="1" applyAlignment="1">
      <alignment vertical="center"/>
    </xf>
    <xf numFmtId="165" fontId="130" fillId="76" borderId="52" xfId="20" applyNumberFormat="1" applyFont="1" applyFill="1" applyBorder="1" applyAlignment="1">
      <alignment horizontal="right" vertical="center"/>
    </xf>
    <xf numFmtId="165" fontId="130" fillId="76" borderId="46" xfId="20" applyNumberFormat="1" applyFont="1" applyFill="1" applyBorder="1" applyAlignment="1">
      <alignment horizontal="right" vertical="center"/>
    </xf>
    <xf numFmtId="165" fontId="130" fillId="76" borderId="47" xfId="20" applyNumberFormat="1" applyFont="1" applyFill="1" applyBorder="1" applyAlignment="1">
      <alignment horizontal="right" vertical="center"/>
    </xf>
    <xf numFmtId="164" fontId="130" fillId="76" borderId="57" xfId="1" applyNumberFormat="1" applyFont="1" applyFill="1" applyBorder="1" applyAlignment="1">
      <alignment vertical="center"/>
    </xf>
    <xf numFmtId="165" fontId="130" fillId="76" borderId="49" xfId="20" applyNumberFormat="1" applyFont="1" applyFill="1" applyBorder="1" applyAlignment="1">
      <alignment horizontal="right" vertical="center"/>
    </xf>
    <xf numFmtId="3" fontId="23" fillId="76" borderId="0" xfId="2" applyNumberFormat="1" applyFont="1" applyFill="1" applyBorder="1" applyAlignment="1">
      <alignment horizontal="right" vertical="center"/>
    </xf>
    <xf numFmtId="3" fontId="130" fillId="76" borderId="0" xfId="2" applyNumberFormat="1" applyFont="1" applyFill="1" applyBorder="1" applyAlignment="1">
      <alignment horizontal="right" vertical="center"/>
    </xf>
    <xf numFmtId="3" fontId="130" fillId="76" borderId="44" xfId="2" applyNumberFormat="1" applyFont="1" applyFill="1" applyBorder="1" applyAlignment="1">
      <alignment horizontal="right" vertical="center"/>
    </xf>
    <xf numFmtId="3" fontId="130" fillId="76" borderId="46" xfId="2" applyNumberFormat="1" applyFont="1" applyFill="1" applyBorder="1" applyAlignment="1">
      <alignment horizontal="right" vertical="center"/>
    </xf>
    <xf numFmtId="3" fontId="23" fillId="76" borderId="49" xfId="0" applyNumberFormat="1" applyFont="1" applyFill="1" applyBorder="1" applyAlignment="1">
      <alignment vertical="center"/>
    </xf>
    <xf numFmtId="3" fontId="23" fillId="76" borderId="46" xfId="0" applyNumberFormat="1" applyFont="1" applyFill="1" applyBorder="1" applyAlignment="1">
      <alignment vertical="center"/>
    </xf>
    <xf numFmtId="165" fontId="23" fillId="76" borderId="47" xfId="0" applyNumberFormat="1" applyFont="1" applyFill="1" applyBorder="1" applyAlignment="1">
      <alignment horizontal="center" vertical="center"/>
    </xf>
    <xf numFmtId="0" fontId="23" fillId="76" borderId="52" xfId="0" applyFont="1" applyFill="1" applyBorder="1" applyAlignment="1">
      <alignment horizontal="left" vertical="center"/>
    </xf>
    <xf numFmtId="3" fontId="23" fillId="76" borderId="55" xfId="0" applyNumberFormat="1" applyFont="1" applyFill="1" applyBorder="1" applyAlignment="1">
      <alignment horizontal="right" vertical="center"/>
    </xf>
    <xf numFmtId="3" fontId="23" fillId="76" borderId="52" xfId="0" applyNumberFormat="1" applyFont="1" applyFill="1" applyBorder="1" applyAlignment="1">
      <alignment horizontal="right" vertical="center"/>
    </xf>
    <xf numFmtId="3" fontId="23" fillId="76" borderId="44" xfId="0" applyNumberFormat="1" applyFont="1" applyFill="1" applyBorder="1" applyAlignment="1">
      <alignment horizontal="right" vertical="center"/>
    </xf>
    <xf numFmtId="164" fontId="23" fillId="76" borderId="55" xfId="1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horizontal="right" vertical="center"/>
    </xf>
    <xf numFmtId="3" fontId="113" fillId="76" borderId="52" xfId="0" applyNumberFormat="1" applyFont="1" applyFill="1" applyBorder="1" applyAlignment="1">
      <alignment horizontal="right" vertical="center"/>
    </xf>
    <xf numFmtId="3" fontId="113" fillId="76" borderId="44" xfId="0" applyNumberFormat="1" applyFont="1" applyFill="1" applyBorder="1" applyAlignment="1">
      <alignment horizontal="right" vertical="center"/>
    </xf>
    <xf numFmtId="165" fontId="23" fillId="76" borderId="52" xfId="1" applyNumberFormat="1" applyFont="1" applyFill="1" applyBorder="1" applyAlignment="1">
      <alignment horizontal="right" vertical="center"/>
    </xf>
    <xf numFmtId="165" fontId="23" fillId="76" borderId="44" xfId="0" applyNumberFormat="1" applyFont="1" applyFill="1" applyBorder="1" applyAlignment="1">
      <alignment horizontal="right" vertical="center"/>
    </xf>
    <xf numFmtId="165" fontId="23" fillId="76" borderId="44" xfId="1" applyNumberFormat="1" applyFont="1" applyFill="1" applyBorder="1" applyAlignment="1">
      <alignment horizontal="right" vertical="center"/>
    </xf>
    <xf numFmtId="3" fontId="23" fillId="76" borderId="56" xfId="2" applyNumberFormat="1" applyFont="1" applyFill="1" applyBorder="1" applyAlignment="1">
      <alignment horizontal="right" vertical="center"/>
    </xf>
    <xf numFmtId="3" fontId="130" fillId="76" borderId="54" xfId="2" applyNumberFormat="1" applyFont="1" applyFill="1" applyBorder="1" applyAlignment="1">
      <alignment horizontal="right" vertical="center"/>
    </xf>
    <xf numFmtId="3" fontId="130" fillId="76" borderId="52" xfId="2" applyNumberFormat="1" applyFont="1" applyFill="1" applyBorder="1" applyAlignment="1">
      <alignment horizontal="right" vertical="center"/>
    </xf>
    <xf numFmtId="3" fontId="130" fillId="76" borderId="55" xfId="2" applyNumberFormat="1" applyFont="1" applyFill="1" applyBorder="1" applyAlignment="1">
      <alignment horizontal="right" vertical="center"/>
    </xf>
    <xf numFmtId="3" fontId="130" fillId="76" borderId="49" xfId="2" applyNumberFormat="1" applyFont="1" applyFill="1" applyBorder="1" applyAlignment="1">
      <alignment horizontal="right" vertical="center"/>
    </xf>
    <xf numFmtId="3" fontId="130" fillId="76" borderId="47" xfId="2" applyNumberFormat="1" applyFont="1" applyFill="1" applyBorder="1" applyAlignment="1">
      <alignment horizontal="right" vertical="center"/>
    </xf>
    <xf numFmtId="3" fontId="113" fillId="76" borderId="55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vertical="center"/>
    </xf>
    <xf numFmtId="3" fontId="23" fillId="76" borderId="49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horizontal="right" vertical="center"/>
    </xf>
    <xf numFmtId="0" fontId="23" fillId="76" borderId="49" xfId="0" applyFont="1" applyFill="1" applyBorder="1" applyAlignment="1">
      <alignment vertical="center"/>
    </xf>
    <xf numFmtId="164" fontId="23" fillId="76" borderId="47" xfId="1" applyNumberFormat="1" applyFont="1" applyFill="1" applyBorder="1" applyAlignment="1">
      <alignment horizontal="right" vertical="center"/>
    </xf>
    <xf numFmtId="165" fontId="23" fillId="76" borderId="49" xfId="0" applyNumberFormat="1" applyFont="1" applyFill="1" applyBorder="1" applyAlignment="1">
      <alignment vertical="center"/>
    </xf>
    <xf numFmtId="165" fontId="23" fillId="76" borderId="46" xfId="0" applyNumberFormat="1" applyFont="1" applyFill="1" applyBorder="1" applyAlignment="1">
      <alignment vertical="center"/>
    </xf>
    <xf numFmtId="3" fontId="23" fillId="76" borderId="53" xfId="2" applyNumberFormat="1" applyFont="1" applyFill="1" applyBorder="1" applyAlignment="1">
      <alignment horizontal="right" vertical="center"/>
    </xf>
    <xf numFmtId="3" fontId="130" fillId="76" borderId="50" xfId="2" applyNumberFormat="1" applyFont="1" applyFill="1" applyBorder="1" applyAlignment="1">
      <alignment horizontal="right" vertical="center"/>
    </xf>
    <xf numFmtId="3" fontId="130" fillId="76" borderId="51" xfId="2" applyNumberFormat="1" applyFont="1" applyFill="1" applyBorder="1" applyAlignment="1">
      <alignment horizontal="right" vertical="center"/>
    </xf>
    <xf numFmtId="3" fontId="130" fillId="76" borderId="57" xfId="2" applyNumberFormat="1" applyFont="1" applyFill="1" applyBorder="1" applyAlignment="1">
      <alignment horizontal="right" vertical="center"/>
    </xf>
    <xf numFmtId="0" fontId="113" fillId="25" borderId="44" xfId="0" applyFont="1" applyFill="1" applyBorder="1" applyAlignment="1">
      <alignment horizontal="center" wrapText="1"/>
    </xf>
    <xf numFmtId="165" fontId="23" fillId="76" borderId="44" xfId="2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50" fillId="0" borderId="0" xfId="0" applyFont="1" applyFill="1"/>
    <xf numFmtId="0" fontId="28" fillId="0" borderId="0" xfId="0" applyFont="1" applyFill="1" applyBorder="1"/>
    <xf numFmtId="0" fontId="23" fillId="25" borderId="58" xfId="0" applyFont="1" applyFill="1" applyBorder="1"/>
    <xf numFmtId="165" fontId="23" fillId="0" borderId="45" xfId="2" applyNumberFormat="1" applyFont="1" applyFill="1" applyBorder="1" applyAlignment="1">
      <alignment vertical="center"/>
    </xf>
    <xf numFmtId="165" fontId="23" fillId="0" borderId="48" xfId="2" applyNumberFormat="1" applyFont="1" applyFill="1" applyBorder="1" applyAlignment="1">
      <alignment vertical="center"/>
    </xf>
    <xf numFmtId="165" fontId="23" fillId="76" borderId="45" xfId="2" applyNumberFormat="1" applyFont="1" applyFill="1" applyBorder="1" applyAlignment="1">
      <alignment horizontal="right" vertical="center"/>
    </xf>
    <xf numFmtId="165" fontId="130" fillId="76" borderId="48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/>
    </xf>
    <xf numFmtId="165" fontId="23" fillId="76" borderId="58" xfId="20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vertical="center"/>
    </xf>
    <xf numFmtId="165" fontId="23" fillId="76" borderId="58" xfId="2" applyNumberFormat="1" applyFont="1" applyFill="1" applyBorder="1" applyAlignment="1">
      <alignment horizontal="right" vertical="center"/>
    </xf>
    <xf numFmtId="0" fontId="26" fillId="25" borderId="56" xfId="0" applyFont="1" applyFill="1" applyBorder="1" applyAlignment="1">
      <alignment vertical="top" wrapText="1"/>
    </xf>
    <xf numFmtId="0" fontId="23" fillId="25" borderId="58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/>
    </xf>
    <xf numFmtId="165" fontId="23" fillId="0" borderId="46" xfId="0" applyNumberFormat="1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 vertical="top" wrapText="1"/>
    </xf>
    <xf numFmtId="0" fontId="23" fillId="76" borderId="47" xfId="0" applyFont="1" applyFill="1" applyBorder="1" applyAlignment="1">
      <alignment horizontal="center" vertical="center"/>
    </xf>
    <xf numFmtId="165" fontId="23" fillId="76" borderId="46" xfId="0" applyNumberFormat="1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/>
    </xf>
    <xf numFmtId="165" fontId="23" fillId="0" borderId="58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 vertical="center"/>
    </xf>
    <xf numFmtId="165" fontId="23" fillId="0" borderId="0" xfId="0" applyNumberFormat="1" applyFont="1" applyFill="1" applyBorder="1" applyAlignment="1">
      <alignment horizontal="center" vertical="center"/>
    </xf>
    <xf numFmtId="3" fontId="23" fillId="0" borderId="58" xfId="0" applyNumberFormat="1" applyFont="1" applyFill="1" applyBorder="1" applyAlignment="1">
      <alignment horizontal="center"/>
    </xf>
    <xf numFmtId="0" fontId="23" fillId="0" borderId="55" xfId="0" applyFont="1" applyFill="1" applyBorder="1" applyAlignment="1">
      <alignment horizontal="left" wrapText="1"/>
    </xf>
    <xf numFmtId="3" fontId="23" fillId="0" borderId="44" xfId="0" applyNumberFormat="1" applyFont="1" applyFill="1" applyBorder="1" applyAlignment="1">
      <alignment horizontal="center"/>
    </xf>
    <xf numFmtId="0" fontId="23" fillId="0" borderId="56" xfId="0" applyFont="1" applyFill="1" applyBorder="1" applyAlignment="1">
      <alignment horizontal="left"/>
    </xf>
    <xf numFmtId="165" fontId="23" fillId="0" borderId="58" xfId="0" applyNumberFormat="1" applyFont="1" applyFill="1" applyBorder="1" applyAlignment="1">
      <alignment horizontal="center"/>
    </xf>
    <xf numFmtId="165" fontId="23" fillId="0" borderId="44" xfId="0" applyNumberFormat="1" applyFont="1" applyFill="1" applyBorder="1" applyAlignment="1">
      <alignment horizontal="center"/>
    </xf>
    <xf numFmtId="1" fontId="28" fillId="25" borderId="58" xfId="0" applyNumberFormat="1" applyFont="1" applyFill="1" applyBorder="1" applyAlignment="1">
      <alignment horizontal="left" vertical="center" wrapText="1"/>
    </xf>
    <xf numFmtId="0" fontId="28" fillId="25" borderId="58" xfId="0" applyFont="1" applyFill="1" applyBorder="1" applyAlignment="1">
      <alignment vertical="center" wrapText="1"/>
    </xf>
    <xf numFmtId="0" fontId="114" fillId="25" borderId="58" xfId="0" applyFont="1" applyFill="1" applyBorder="1" applyAlignment="1">
      <alignment vertical="center" wrapText="1"/>
    </xf>
    <xf numFmtId="0" fontId="113" fillId="25" borderId="58" xfId="0" applyFont="1" applyFill="1" applyBorder="1"/>
    <xf numFmtId="1" fontId="28" fillId="25" borderId="0" xfId="0" applyNumberFormat="1" applyFont="1" applyFill="1" applyBorder="1" applyAlignment="1">
      <alignment horizontal="right" vertical="center" wrapText="1"/>
    </xf>
    <xf numFmtId="1" fontId="28" fillId="25" borderId="44" xfId="0" applyNumberFormat="1" applyFont="1" applyFill="1" applyBorder="1" applyAlignment="1">
      <alignment horizontal="right" vertical="center" wrapText="1"/>
    </xf>
    <xf numFmtId="164" fontId="113" fillId="0" borderId="58" xfId="1" applyNumberFormat="1" applyFont="1" applyFill="1" applyBorder="1" applyAlignment="1">
      <alignment horizontal="right" vertical="center"/>
    </xf>
    <xf numFmtId="164" fontId="113" fillId="0" borderId="0" xfId="1" applyNumberFormat="1" applyFont="1" applyFill="1" applyBorder="1" applyAlignment="1">
      <alignment horizontal="right" vertical="center"/>
    </xf>
    <xf numFmtId="164" fontId="113" fillId="76" borderId="44" xfId="1" applyNumberFormat="1" applyFont="1" applyFill="1" applyBorder="1" applyAlignment="1">
      <alignment horizontal="right" vertical="center"/>
    </xf>
    <xf numFmtId="0" fontId="23" fillId="25" borderId="44" xfId="0" applyFont="1" applyFill="1" applyBorder="1" applyAlignment="1">
      <alignment horizontal="center" vertical="center" wrapText="1"/>
    </xf>
    <xf numFmtId="165" fontId="32" fillId="0" borderId="58" xfId="1" applyNumberFormat="1" applyFont="1" applyFill="1" applyBorder="1" applyAlignment="1">
      <alignment horizontal="right" vertical="center"/>
    </xf>
    <xf numFmtId="0" fontId="23" fillId="76" borderId="44" xfId="0" applyFont="1" applyFill="1" applyBorder="1" applyAlignment="1">
      <alignment horizontal="left" vertical="center"/>
    </xf>
    <xf numFmtId="0" fontId="28" fillId="25" borderId="56" xfId="2" applyFont="1" applyFill="1" applyBorder="1" applyAlignment="1">
      <alignment horizontal="right" vertical="top" wrapText="1"/>
    </xf>
    <xf numFmtId="0" fontId="23" fillId="25" borderId="55" xfId="2" applyFont="1" applyFill="1" applyBorder="1" applyAlignment="1">
      <alignment horizontal="left"/>
    </xf>
    <xf numFmtId="0" fontId="23" fillId="0" borderId="56" xfId="2" applyFont="1" applyFill="1" applyBorder="1" applyAlignment="1">
      <alignment horizontal="left" vertical="center"/>
    </xf>
    <xf numFmtId="3" fontId="23" fillId="0" borderId="58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0" fontId="23" fillId="76" borderId="56" xfId="2" applyFont="1" applyFill="1" applyBorder="1" applyAlignment="1">
      <alignment horizontal="left" vertical="center"/>
    </xf>
    <xf numFmtId="3" fontId="23" fillId="76" borderId="58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left" vertical="center"/>
    </xf>
    <xf numFmtId="0" fontId="23" fillId="76" borderId="55" xfId="2" applyFont="1" applyFill="1" applyBorder="1" applyAlignment="1">
      <alignment horizontal="left" vertical="center"/>
    </xf>
    <xf numFmtId="0" fontId="23" fillId="76" borderId="47" xfId="2" applyFont="1" applyFill="1" applyBorder="1" applyAlignment="1">
      <alignment horizontal="left" vertical="center"/>
    </xf>
    <xf numFmtId="1" fontId="22" fillId="25" borderId="58" xfId="0" applyNumberFormat="1" applyFont="1" applyFill="1" applyBorder="1" applyAlignment="1">
      <alignment horizontal="left" vertical="center" wrapText="1"/>
    </xf>
    <xf numFmtId="0" fontId="22" fillId="25" borderId="58" xfId="0" applyFont="1" applyFill="1" applyBorder="1" applyAlignment="1">
      <alignment vertical="center" wrapText="1"/>
    </xf>
    <xf numFmtId="0" fontId="26" fillId="25" borderId="58" xfId="0" applyFont="1" applyFill="1" applyBorder="1"/>
    <xf numFmtId="1" fontId="22" fillId="25" borderId="0" xfId="0" applyNumberFormat="1" applyFont="1" applyFill="1" applyBorder="1" applyAlignment="1">
      <alignment horizontal="right" vertical="center" wrapText="1"/>
    </xf>
    <xf numFmtId="164" fontId="113" fillId="0" borderId="45" xfId="1" applyNumberFormat="1" applyFont="1" applyFill="1" applyBorder="1" applyAlignment="1">
      <alignment horizontal="right" vertical="center"/>
    </xf>
    <xf numFmtId="164" fontId="113" fillId="0" borderId="48" xfId="1" applyNumberFormat="1" applyFont="1" applyFill="1" applyBorder="1" applyAlignment="1">
      <alignment horizontal="right" vertical="center"/>
    </xf>
    <xf numFmtId="164" fontId="113" fillId="76" borderId="52" xfId="1" applyNumberFormat="1" applyFont="1" applyFill="1" applyBorder="1" applyAlignment="1">
      <alignment horizontal="right" vertical="center"/>
    </xf>
    <xf numFmtId="164" fontId="29" fillId="25" borderId="58" xfId="1" applyNumberFormat="1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76" borderId="46" xfId="0" applyFont="1" applyFill="1" applyBorder="1" applyAlignment="1">
      <alignment horizontal="right" vertical="center"/>
    </xf>
    <xf numFmtId="0" fontId="23" fillId="25" borderId="47" xfId="2" applyFont="1" applyFill="1" applyBorder="1" applyAlignment="1">
      <alignment horizontal="right"/>
    </xf>
    <xf numFmtId="0" fontId="23" fillId="0" borderId="56" xfId="2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right" vertical="center"/>
    </xf>
    <xf numFmtId="3" fontId="23" fillId="0" borderId="48" xfId="2" applyNumberFormat="1" applyFont="1" applyFill="1" applyBorder="1" applyAlignment="1">
      <alignment vertical="center"/>
    </xf>
    <xf numFmtId="0" fontId="23" fillId="0" borderId="55" xfId="2" applyFont="1" applyFill="1" applyBorder="1" applyAlignment="1">
      <alignment horizontal="right" vertical="center"/>
    </xf>
    <xf numFmtId="0" fontId="23" fillId="76" borderId="56" xfId="2" applyFont="1" applyFill="1" applyBorder="1" applyAlignment="1">
      <alignment horizontal="right" vertical="center"/>
    </xf>
    <xf numFmtId="3" fontId="23" fillId="76" borderId="45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right" vertical="center"/>
    </xf>
    <xf numFmtId="3" fontId="130" fillId="76" borderId="48" xfId="2" applyNumberFormat="1" applyFont="1" applyFill="1" applyBorder="1" applyAlignment="1">
      <alignment horizontal="right" vertical="center"/>
    </xf>
    <xf numFmtId="0" fontId="23" fillId="76" borderId="55" xfId="2" applyFont="1" applyFill="1" applyBorder="1" applyAlignment="1">
      <alignment horizontal="right" vertical="center"/>
    </xf>
    <xf numFmtId="0" fontId="23" fillId="76" borderId="47" xfId="2" applyFont="1" applyFill="1" applyBorder="1" applyAlignment="1">
      <alignment horizontal="right" vertical="center"/>
    </xf>
    <xf numFmtId="0" fontId="23" fillId="25" borderId="44" xfId="0" applyFont="1" applyFill="1" applyBorder="1"/>
    <xf numFmtId="0" fontId="23" fillId="25" borderId="46" xfId="0" applyFont="1" applyFill="1" applyBorder="1" applyAlignment="1">
      <alignment horizontal="center"/>
    </xf>
    <xf numFmtId="0" fontId="23" fillId="25" borderId="49" xfId="0" applyFont="1" applyFill="1" applyBorder="1" applyAlignment="1">
      <alignment horizontal="center"/>
    </xf>
    <xf numFmtId="0" fontId="23" fillId="25" borderId="58" xfId="0" applyFont="1" applyFill="1" applyBorder="1" applyAlignment="1"/>
    <xf numFmtId="0" fontId="23" fillId="0" borderId="48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/>
    </xf>
    <xf numFmtId="0" fontId="23" fillId="0" borderId="45" xfId="0" applyFont="1" applyFill="1" applyBorder="1" applyAlignment="1">
      <alignment horizontal="left"/>
    </xf>
    <xf numFmtId="3" fontId="23" fillId="0" borderId="48" xfId="0" applyNumberFormat="1" applyFont="1" applyFill="1" applyBorder="1"/>
    <xf numFmtId="3" fontId="23" fillId="0" borderId="58" xfId="0" applyNumberFormat="1" applyFont="1" applyFill="1" applyBorder="1"/>
    <xf numFmtId="1" fontId="23" fillId="25" borderId="57" xfId="0" applyNumberFormat="1" applyFont="1" applyFill="1" applyBorder="1" applyAlignment="1">
      <alignment horizontal="center"/>
    </xf>
    <xf numFmtId="3" fontId="23" fillId="76" borderId="50" xfId="0" applyNumberFormat="1" applyFont="1" applyFill="1" applyBorder="1"/>
    <xf numFmtId="3" fontId="23" fillId="76" borderId="51" xfId="0" applyNumberFormat="1" applyFont="1" applyFill="1" applyBorder="1"/>
    <xf numFmtId="3" fontId="23" fillId="76" borderId="53" xfId="0" applyNumberFormat="1" applyFont="1" applyFill="1" applyBorder="1"/>
    <xf numFmtId="3" fontId="23" fillId="76" borderId="57" xfId="0" applyNumberFormat="1" applyFont="1" applyFill="1" applyBorder="1"/>
    <xf numFmtId="1" fontId="23" fillId="25" borderId="49" xfId="0" applyNumberFormat="1" applyFont="1" applyFill="1" applyBorder="1" applyAlignment="1">
      <alignment horizontal="center"/>
    </xf>
    <xf numFmtId="3" fontId="23" fillId="76" borderId="48" xfId="0" applyNumberFormat="1" applyFont="1" applyFill="1" applyBorder="1"/>
    <xf numFmtId="3" fontId="23" fillId="76" borderId="52" xfId="0" applyNumberFormat="1" applyFont="1" applyFill="1" applyBorder="1"/>
    <xf numFmtId="3" fontId="23" fillId="76" borderId="45" xfId="0" applyNumberFormat="1" applyFont="1" applyFill="1" applyBorder="1"/>
    <xf numFmtId="3" fontId="23" fillId="76" borderId="49" xfId="0" applyNumberFormat="1" applyFont="1" applyFill="1" applyBorder="1"/>
    <xf numFmtId="0" fontId="28" fillId="25" borderId="0" xfId="2" applyFont="1" applyFill="1" applyBorder="1" applyAlignment="1">
      <alignment horizontal="right" vertical="top" wrapText="1"/>
    </xf>
    <xf numFmtId="0" fontId="23" fillId="25" borderId="44" xfId="2" applyFont="1" applyFill="1" applyBorder="1" applyAlignment="1">
      <alignment horizontal="left"/>
    </xf>
    <xf numFmtId="0" fontId="23" fillId="0" borderId="5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3" fillId="76" borderId="58" xfId="2" applyFont="1" applyFill="1" applyBorder="1" applyAlignment="1">
      <alignment horizontal="left" vertical="center"/>
    </xf>
    <xf numFmtId="0" fontId="23" fillId="76" borderId="0" xfId="2" applyFont="1" applyFill="1" applyBorder="1" applyAlignment="1">
      <alignment horizontal="left" vertical="center"/>
    </xf>
    <xf numFmtId="0" fontId="23" fillId="76" borderId="44" xfId="2" applyFont="1" applyFill="1" applyBorder="1" applyAlignment="1">
      <alignment horizontal="left" vertical="center"/>
    </xf>
    <xf numFmtId="0" fontId="23" fillId="76" borderId="46" xfId="2" applyFont="1" applyFill="1" applyBorder="1" applyAlignment="1">
      <alignment horizontal="left" vertical="center"/>
    </xf>
    <xf numFmtId="0" fontId="28" fillId="25" borderId="58" xfId="2" applyFont="1" applyFill="1" applyBorder="1" applyAlignment="1">
      <alignment horizontal="right" vertical="top" wrapText="1"/>
    </xf>
    <xf numFmtId="165" fontId="23" fillId="0" borderId="48" xfId="2" applyNumberFormat="1" applyFont="1" applyFill="1" applyBorder="1" applyAlignment="1">
      <alignment horizontal="right" vertical="center"/>
    </xf>
    <xf numFmtId="165" fontId="23" fillId="0" borderId="52" xfId="2" applyNumberFormat="1" applyFont="1" applyFill="1" applyBorder="1" applyAlignment="1">
      <alignment horizontal="right" vertical="center"/>
    </xf>
    <xf numFmtId="165" fontId="23" fillId="76" borderId="48" xfId="2" applyNumberFormat="1" applyFont="1" applyFill="1" applyBorder="1" applyAlignment="1">
      <alignment horizontal="right" vertical="center"/>
    </xf>
    <xf numFmtId="165" fontId="23" fillId="0" borderId="45" xfId="2" applyNumberFormat="1" applyFont="1" applyFill="1" applyBorder="1" applyAlignment="1">
      <alignment horizontal="right" vertical="center"/>
    </xf>
    <xf numFmtId="165" fontId="23" fillId="76" borderId="45" xfId="20" applyNumberFormat="1" applyFont="1" applyFill="1" applyBorder="1" applyAlignment="1">
      <alignment horizontal="right" vertical="center"/>
    </xf>
    <xf numFmtId="165" fontId="23" fillId="76" borderId="48" xfId="20" applyNumberFormat="1" applyFont="1" applyFill="1" applyBorder="1" applyAlignment="1">
      <alignment horizontal="right" vertical="center"/>
    </xf>
    <xf numFmtId="165" fontId="23" fillId="76" borderId="52" xfId="20" applyNumberFormat="1" applyFont="1" applyFill="1" applyBorder="1" applyAlignment="1">
      <alignment horizontal="right" vertical="center"/>
    </xf>
    <xf numFmtId="165" fontId="23" fillId="0" borderId="45" xfId="20" applyNumberFormat="1" applyFont="1" applyFill="1" applyBorder="1" applyAlignment="1">
      <alignment horizontal="right" vertical="center"/>
    </xf>
    <xf numFmtId="165" fontId="23" fillId="0" borderId="52" xfId="20" applyNumberFormat="1" applyFont="1" applyFill="1" applyBorder="1" applyAlignment="1">
      <alignment horizontal="right" vertical="center"/>
    </xf>
    <xf numFmtId="165" fontId="23" fillId="76" borderId="49" xfId="20" applyNumberFormat="1" applyFont="1" applyFill="1" applyBorder="1" applyAlignment="1">
      <alignment horizontal="right" vertical="center"/>
    </xf>
    <xf numFmtId="1" fontId="23" fillId="25" borderId="57" xfId="2" applyNumberFormat="1" applyFont="1" applyFill="1" applyBorder="1" applyAlignment="1">
      <alignment horizontal="center" wrapText="1"/>
    </xf>
    <xf numFmtId="165" fontId="23" fillId="76" borderId="53" xfId="20" applyNumberFormat="1" applyFont="1" applyFill="1" applyBorder="1" applyAlignment="1">
      <alignment horizontal="right" vertical="center"/>
    </xf>
    <xf numFmtId="165" fontId="130" fillId="76" borderId="48" xfId="20" applyNumberFormat="1" applyFont="1" applyFill="1" applyBorder="1" applyAlignment="1">
      <alignment horizontal="right" vertical="center"/>
    </xf>
    <xf numFmtId="165" fontId="23" fillId="76" borderId="50" xfId="20" applyNumberFormat="1" applyFont="1" applyFill="1" applyBorder="1" applyAlignment="1">
      <alignment horizontal="right" vertical="center"/>
    </xf>
    <xf numFmtId="165" fontId="23" fillId="76" borderId="51" xfId="20" applyNumberFormat="1" applyFont="1" applyFill="1" applyBorder="1" applyAlignment="1">
      <alignment horizontal="right" vertical="center"/>
    </xf>
    <xf numFmtId="165" fontId="23" fillId="0" borderId="53" xfId="20" applyNumberFormat="1" applyFont="1" applyFill="1" applyBorder="1" applyAlignment="1">
      <alignment horizontal="right" vertical="center"/>
    </xf>
    <xf numFmtId="165" fontId="23" fillId="0" borderId="51" xfId="20" applyNumberFormat="1" applyFont="1" applyFill="1" applyBorder="1" applyAlignment="1">
      <alignment horizontal="right" vertical="center"/>
    </xf>
    <xf numFmtId="165" fontId="23" fillId="76" borderId="57" xfId="20" applyNumberFormat="1" applyFont="1" applyFill="1" applyBorder="1" applyAlignment="1">
      <alignment horizontal="right" vertical="center"/>
    </xf>
    <xf numFmtId="0" fontId="32" fillId="25" borderId="49" xfId="0" applyFont="1" applyFill="1" applyBorder="1" applyAlignment="1">
      <alignment horizontal="right" wrapText="1"/>
    </xf>
    <xf numFmtId="0" fontId="32" fillId="25" borderId="47" xfId="0" applyFont="1" applyFill="1" applyBorder="1" applyAlignment="1">
      <alignment horizontal="right" wrapText="1"/>
    </xf>
    <xf numFmtId="165" fontId="23" fillId="0" borderId="56" xfId="2" applyNumberFormat="1" applyFont="1" applyFill="1" applyBorder="1" applyAlignment="1">
      <alignment horizontal="right" vertical="center"/>
    </xf>
    <xf numFmtId="165" fontId="23" fillId="0" borderId="54" xfId="2" applyNumberFormat="1" applyFont="1" applyFill="1" applyBorder="1" applyAlignment="1">
      <alignment horizontal="right" vertical="center"/>
    </xf>
    <xf numFmtId="165" fontId="23" fillId="0" borderId="55" xfId="2" applyNumberFormat="1" applyFont="1" applyFill="1" applyBorder="1" applyAlignment="1">
      <alignment horizontal="right" vertical="center"/>
    </xf>
    <xf numFmtId="0" fontId="23" fillId="25" borderId="58" xfId="2" applyFont="1" applyFill="1" applyBorder="1"/>
    <xf numFmtId="0" fontId="23" fillId="25" borderId="48" xfId="2" applyFont="1" applyFill="1" applyBorder="1"/>
    <xf numFmtId="3" fontId="23" fillId="0" borderId="48" xfId="2" applyNumberFormat="1" applyFont="1" applyFill="1" applyBorder="1" applyAlignment="1">
      <alignment horizontal="right" vertical="center"/>
    </xf>
    <xf numFmtId="3" fontId="23" fillId="76" borderId="48" xfId="2" applyNumberFormat="1" applyFont="1" applyFill="1" applyBorder="1" applyAlignment="1">
      <alignment horizontal="right" vertical="center"/>
    </xf>
    <xf numFmtId="0" fontId="26" fillId="0" borderId="58" xfId="0" applyFont="1" applyFill="1" applyBorder="1"/>
    <xf numFmtId="3" fontId="113" fillId="0" borderId="58" xfId="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right" textRotation="90" wrapText="1"/>
    </xf>
    <xf numFmtId="0" fontId="23" fillId="76" borderId="0" xfId="0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vertical="center"/>
    </xf>
    <xf numFmtId="3" fontId="23" fillId="76" borderId="0" xfId="0" applyNumberFormat="1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horizontal="right" vertical="center"/>
    </xf>
    <xf numFmtId="164" fontId="23" fillId="76" borderId="0" xfId="0" applyNumberFormat="1" applyFont="1" applyFill="1" applyBorder="1" applyAlignment="1">
      <alignment vertical="center"/>
    </xf>
    <xf numFmtId="164" fontId="23" fillId="76" borderId="54" xfId="1" applyNumberFormat="1" applyFont="1" applyFill="1" applyBorder="1" applyAlignment="1">
      <alignment horizontal="right" vertical="center"/>
    </xf>
    <xf numFmtId="165" fontId="23" fillId="76" borderId="0" xfId="0" applyNumberFormat="1" applyFont="1" applyFill="1" applyBorder="1" applyAlignment="1">
      <alignment vertical="center"/>
    </xf>
    <xf numFmtId="0" fontId="23" fillId="76" borderId="44" xfId="0" applyFont="1" applyFill="1" applyBorder="1" applyAlignment="1">
      <alignment horizontal="right" vertical="center"/>
    </xf>
    <xf numFmtId="0" fontId="23" fillId="76" borderId="55" xfId="0" applyFont="1" applyFill="1" applyBorder="1" applyAlignment="1">
      <alignment vertical="center"/>
    </xf>
    <xf numFmtId="0" fontId="23" fillId="76" borderId="52" xfId="0" applyFont="1" applyFill="1" applyBorder="1" applyAlignment="1">
      <alignment vertical="center"/>
    </xf>
    <xf numFmtId="165" fontId="23" fillId="76" borderId="52" xfId="0" applyNumberFormat="1" applyFont="1" applyFill="1" applyBorder="1" applyAlignment="1">
      <alignment vertical="center"/>
    </xf>
    <xf numFmtId="165" fontId="23" fillId="76" borderId="44" xfId="0" applyNumberFormat="1" applyFont="1" applyFill="1" applyBorder="1" applyAlignment="1">
      <alignment vertical="center"/>
    </xf>
    <xf numFmtId="3" fontId="23" fillId="0" borderId="48" xfId="0" applyNumberFormat="1" applyFont="1" applyFill="1" applyBorder="1" applyAlignment="1">
      <alignment horizontal="right" vertical="center"/>
    </xf>
    <xf numFmtId="164" fontId="23" fillId="0" borderId="48" xfId="1" applyNumberFormat="1" applyFont="1" applyFill="1" applyBorder="1" applyAlignment="1">
      <alignment horizontal="right" vertical="center"/>
    </xf>
    <xf numFmtId="165" fontId="32" fillId="0" borderId="48" xfId="1" applyNumberFormat="1" applyFont="1" applyFill="1" applyBorder="1" applyAlignment="1">
      <alignment horizontal="right" vertical="center"/>
    </xf>
    <xf numFmtId="0" fontId="23" fillId="76" borderId="58" xfId="0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vertical="center"/>
    </xf>
    <xf numFmtId="3" fontId="23" fillId="76" borderId="58" xfId="0" applyNumberFormat="1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horizontal="right" vertical="center"/>
    </xf>
    <xf numFmtId="164" fontId="23" fillId="76" borderId="58" xfId="0" applyNumberFormat="1" applyFont="1" applyFill="1" applyBorder="1" applyAlignment="1">
      <alignment vertical="center"/>
    </xf>
    <xf numFmtId="164" fontId="23" fillId="76" borderId="56" xfId="1" applyNumberFormat="1" applyFont="1" applyFill="1" applyBorder="1" applyAlignment="1">
      <alignment horizontal="right" vertical="center"/>
    </xf>
    <xf numFmtId="165" fontId="23" fillId="76" borderId="58" xfId="0" applyNumberFormat="1" applyFont="1" applyFill="1" applyBorder="1" applyAlignment="1">
      <alignment vertical="center"/>
    </xf>
    <xf numFmtId="0" fontId="23" fillId="25" borderId="46" xfId="2" applyFont="1" applyFill="1" applyBorder="1" applyAlignment="1">
      <alignment horizontal="center" textRotation="90" wrapText="1"/>
    </xf>
    <xf numFmtId="165" fontId="23" fillId="76" borderId="54" xfId="2" applyNumberFormat="1" applyFont="1" applyFill="1" applyBorder="1" applyAlignment="1">
      <alignment horizontal="right" vertical="center"/>
    </xf>
    <xf numFmtId="165" fontId="23" fillId="76" borderId="50" xfId="2" applyNumberFormat="1" applyFont="1" applyFill="1" applyBorder="1" applyAlignment="1">
      <alignment horizontal="right" vertical="center"/>
    </xf>
    <xf numFmtId="165" fontId="23" fillId="0" borderId="53" xfId="2" applyNumberFormat="1" applyFont="1" applyFill="1" applyBorder="1" applyAlignment="1">
      <alignment horizontal="right" vertical="center"/>
    </xf>
    <xf numFmtId="165" fontId="23" fillId="76" borderId="54" xfId="20" applyNumberFormat="1" applyFont="1" applyFill="1" applyBorder="1" applyAlignment="1">
      <alignment horizontal="right" vertical="center"/>
    </xf>
    <xf numFmtId="164" fontId="23" fillId="76" borderId="50" xfId="1" applyNumberFormat="1" applyFont="1" applyFill="1" applyBorder="1" applyAlignment="1">
      <alignment vertical="center"/>
    </xf>
    <xf numFmtId="165" fontId="23" fillId="0" borderId="48" xfId="20" applyNumberFormat="1" applyFont="1" applyFill="1" applyBorder="1" applyAlignment="1">
      <alignment horizontal="right" vertical="center"/>
    </xf>
    <xf numFmtId="165" fontId="23" fillId="0" borderId="56" xfId="20" applyNumberFormat="1" applyFont="1" applyFill="1" applyBorder="1" applyAlignment="1">
      <alignment horizontal="right" vertical="center"/>
    </xf>
    <xf numFmtId="165" fontId="23" fillId="0" borderId="58" xfId="20" applyNumberFormat="1" applyFont="1" applyFill="1" applyBorder="1" applyAlignment="1">
      <alignment horizontal="right" vertical="center"/>
    </xf>
    <xf numFmtId="3" fontId="23" fillId="0" borderId="58" xfId="2" applyNumberFormat="1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 vertical="center"/>
    </xf>
    <xf numFmtId="3" fontId="23" fillId="76" borderId="50" xfId="2" applyNumberFormat="1" applyFont="1" applyFill="1" applyBorder="1" applyAlignment="1">
      <alignment horizontal="right" vertical="center"/>
    </xf>
    <xf numFmtId="3" fontId="23" fillId="76" borderId="54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horizontal="right" vertical="center"/>
    </xf>
    <xf numFmtId="0" fontId="52" fillId="0" borderId="0" xfId="2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 vertical="center"/>
    </xf>
    <xf numFmtId="49" fontId="53" fillId="0" borderId="0" xfId="2" applyNumberFormat="1" applyFont="1" applyFill="1" applyBorder="1" applyAlignment="1">
      <alignment horizontal="center" vertical="center"/>
    </xf>
    <xf numFmtId="0" fontId="122" fillId="0" borderId="0" xfId="0" applyFont="1" applyFill="1" applyAlignment="1">
      <alignment horizontal="justify" vertical="top" wrapText="1"/>
    </xf>
    <xf numFmtId="0" fontId="21" fillId="0" borderId="0" xfId="2" applyFont="1" applyFill="1" applyAlignment="1">
      <alignment horizontal="justify" vertical="top" wrapText="1"/>
    </xf>
    <xf numFmtId="0" fontId="21" fillId="0" borderId="0" xfId="2" applyFont="1" applyFill="1" applyAlignment="1">
      <alignment horizontal="justify" vertical="top"/>
    </xf>
    <xf numFmtId="0" fontId="23" fillId="0" borderId="46" xfId="0" applyFont="1" applyFill="1" applyBorder="1" applyAlignment="1">
      <alignment horizontal="left"/>
    </xf>
    <xf numFmtId="0" fontId="23" fillId="0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1" fontId="22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6" fillId="25" borderId="49" xfId="0" applyFont="1" applyFill="1" applyBorder="1" applyAlignment="1">
      <alignment horizontal="center"/>
    </xf>
    <xf numFmtId="0" fontId="26" fillId="25" borderId="46" xfId="0" applyFont="1" applyFill="1" applyBorder="1" applyAlignment="1">
      <alignment horizontal="center"/>
    </xf>
    <xf numFmtId="0" fontId="26" fillId="25" borderId="47" xfId="0" applyFont="1" applyFill="1" applyBorder="1" applyAlignment="1">
      <alignment horizontal="center"/>
    </xf>
    <xf numFmtId="1" fontId="50" fillId="25" borderId="49" xfId="0" applyNumberFormat="1" applyFont="1" applyFill="1" applyBorder="1" applyAlignment="1">
      <alignment horizontal="center" vertical="center"/>
    </xf>
    <xf numFmtId="1" fontId="50" fillId="25" borderId="46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11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0" fontId="26" fillId="25" borderId="49" xfId="2" applyFont="1" applyFill="1" applyBorder="1" applyAlignment="1">
      <alignment horizontal="center" wrapText="1"/>
    </xf>
    <xf numFmtId="0" fontId="26" fillId="25" borderId="46" xfId="2" applyFont="1" applyFill="1" applyBorder="1" applyAlignment="1">
      <alignment horizontal="center" wrapText="1"/>
    </xf>
    <xf numFmtId="0" fontId="28" fillId="0" borderId="0" xfId="2" applyFont="1" applyFill="1" applyBorder="1" applyAlignment="1">
      <alignment horizontal="center" wrapText="1"/>
    </xf>
    <xf numFmtId="1" fontId="50" fillId="25" borderId="49" xfId="2" applyNumberFormat="1" applyFont="1" applyFill="1" applyBorder="1" applyAlignment="1">
      <alignment horizontal="center" vertical="center" wrapText="1"/>
    </xf>
    <xf numFmtId="1" fontId="50" fillId="25" borderId="46" xfId="2" applyNumberFormat="1" applyFont="1" applyFill="1" applyBorder="1" applyAlignment="1">
      <alignment horizontal="center" vertical="center" wrapText="1"/>
    </xf>
    <xf numFmtId="1" fontId="22" fillId="0" borderId="44" xfId="2" applyNumberFormat="1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/>
    </xf>
    <xf numFmtId="0" fontId="50" fillId="25" borderId="46" xfId="2" applyFont="1" applyFill="1" applyBorder="1" applyAlignment="1">
      <alignment horizontal="center" vertical="center" wrapText="1"/>
    </xf>
    <xf numFmtId="0" fontId="118" fillId="0" borderId="0" xfId="2" applyFont="1" applyFill="1" applyBorder="1" applyAlignment="1">
      <alignment horizontal="right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46" xfId="2" applyFont="1" applyFill="1" applyBorder="1" applyAlignment="1">
      <alignment horizontal="center" vertical="center" wrapText="1"/>
    </xf>
    <xf numFmtId="0" fontId="23" fillId="25" borderId="47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8" xfId="2" applyFont="1" applyFill="1" applyBorder="1" applyAlignment="1">
      <alignment horizontal="center" vertical="center" wrapText="1"/>
    </xf>
    <xf numFmtId="0" fontId="23" fillId="25" borderId="44" xfId="2" applyFont="1" applyFill="1" applyBorder="1" applyAlignment="1">
      <alignment horizontal="center" vertical="center" wrapText="1"/>
    </xf>
    <xf numFmtId="0" fontId="26" fillId="25" borderId="46" xfId="2" applyFont="1" applyFill="1" applyBorder="1" applyAlignment="1">
      <alignment horizontal="center" vertical="center" wrapText="1"/>
    </xf>
    <xf numFmtId="0" fontId="26" fillId="25" borderId="49" xfId="2" applyFont="1" applyFill="1" applyBorder="1" applyAlignment="1">
      <alignment horizontal="center" vertical="center" wrapText="1"/>
    </xf>
    <xf numFmtId="0" fontId="26" fillId="25" borderId="47" xfId="2" applyFont="1" applyFill="1" applyBorder="1" applyAlignment="1">
      <alignment horizontal="center" vertical="center" wrapText="1"/>
    </xf>
    <xf numFmtId="1" fontId="23" fillId="0" borderId="0" xfId="2" applyNumberFormat="1" applyFont="1" applyFill="1" applyBorder="1" applyAlignment="1">
      <alignment horizontal="center" vertical="center"/>
    </xf>
    <xf numFmtId="1" fontId="22" fillId="0" borderId="44" xfId="2" applyNumberFormat="1" applyFont="1" applyFill="1" applyBorder="1" applyAlignment="1">
      <alignment horizontal="center" wrapText="1"/>
    </xf>
    <xf numFmtId="0" fontId="22" fillId="0" borderId="44" xfId="2" applyFont="1" applyFill="1" applyBorder="1" applyAlignment="1">
      <alignment horizontal="center" wrapText="1"/>
    </xf>
    <xf numFmtId="0" fontId="26" fillId="25" borderId="52" xfId="2" applyFont="1" applyFill="1" applyBorder="1" applyAlignment="1">
      <alignment horizontal="center" wrapText="1"/>
    </xf>
    <xf numFmtId="0" fontId="26" fillId="25" borderId="44" xfId="2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/>
    </xf>
    <xf numFmtId="1" fontId="50" fillId="25" borderId="49" xfId="0" applyNumberFormat="1" applyFont="1" applyFill="1" applyBorder="1" applyAlignment="1">
      <alignment horizontal="center" vertical="center" wrapText="1"/>
    </xf>
    <xf numFmtId="0" fontId="50" fillId="25" borderId="46" xfId="0" applyFont="1" applyFill="1" applyBorder="1" applyAlignment="1">
      <alignment horizontal="center" vertical="center" wrapText="1"/>
    </xf>
    <xf numFmtId="0" fontId="34" fillId="25" borderId="54" xfId="0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47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1" fontId="23" fillId="0" borderId="55" xfId="0" applyNumberFormat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1" fontId="125" fillId="0" borderId="44" xfId="0" applyNumberFormat="1" applyFont="1" applyFill="1" applyBorder="1" applyAlignment="1">
      <alignment horizontal="left" vertical="center"/>
    </xf>
    <xf numFmtId="0" fontId="113" fillId="25" borderId="0" xfId="0" applyFont="1" applyFill="1" applyBorder="1" applyAlignment="1">
      <alignment horizontal="center" vertical="center" wrapText="1"/>
    </xf>
    <xf numFmtId="0" fontId="113" fillId="25" borderId="58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1" fontId="26" fillId="25" borderId="52" xfId="0" applyNumberFormat="1" applyFont="1" applyFill="1" applyBorder="1" applyAlignment="1">
      <alignment horizontal="center" vertical="top"/>
    </xf>
    <xf numFmtId="0" fontId="26" fillId="25" borderId="44" xfId="0" applyFont="1" applyFill="1" applyBorder="1" applyAlignment="1">
      <alignment horizontal="center" vertical="top"/>
    </xf>
    <xf numFmtId="0" fontId="26" fillId="25" borderId="55" xfId="0" applyFont="1" applyFill="1" applyBorder="1" applyAlignment="1">
      <alignment horizontal="center" vertical="top"/>
    </xf>
    <xf numFmtId="1" fontId="115" fillId="25" borderId="52" xfId="0" applyNumberFormat="1" applyFont="1" applyFill="1" applyBorder="1" applyAlignment="1">
      <alignment horizontal="center" vertical="top"/>
    </xf>
    <xf numFmtId="0" fontId="115" fillId="25" borderId="44" xfId="0" applyFont="1" applyFill="1" applyBorder="1" applyAlignment="1">
      <alignment horizontal="center" vertical="top"/>
    </xf>
    <xf numFmtId="0" fontId="23" fillId="25" borderId="45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vertical="center" wrapText="1"/>
    </xf>
    <xf numFmtId="0" fontId="113" fillId="25" borderId="45" xfId="0" applyFont="1" applyFill="1" applyBorder="1" applyAlignment="1">
      <alignment horizontal="center" vertical="center" wrapText="1"/>
    </xf>
    <xf numFmtId="0" fontId="113" fillId="25" borderId="48" xfId="0" applyFont="1" applyFill="1" applyBorder="1" applyAlignment="1">
      <alignment horizontal="center" vertical="center" wrapText="1"/>
    </xf>
    <xf numFmtId="1" fontId="26" fillId="25" borderId="44" xfId="0" applyNumberFormat="1" applyFont="1" applyFill="1" applyBorder="1" applyAlignment="1">
      <alignment horizontal="center" vertical="top"/>
    </xf>
    <xf numFmtId="1" fontId="26" fillId="25" borderId="55" xfId="0" applyNumberFormat="1" applyFont="1" applyFill="1" applyBorder="1" applyAlignment="1">
      <alignment horizontal="center" vertical="top"/>
    </xf>
    <xf numFmtId="1" fontId="115" fillId="25" borderId="44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 wrapText="1"/>
    </xf>
    <xf numFmtId="0" fontId="50" fillId="25" borderId="49" xfId="0" applyFont="1" applyFill="1" applyBorder="1" applyAlignment="1">
      <alignment horizontal="center" vertical="center"/>
    </xf>
    <xf numFmtId="0" fontId="50" fillId="25" borderId="46" xfId="0" applyFont="1" applyFill="1" applyBorder="1" applyAlignment="1">
      <alignment horizontal="center" vertical="center"/>
    </xf>
    <xf numFmtId="0" fontId="26" fillId="25" borderId="58" xfId="0" applyFont="1" applyFill="1" applyBorder="1" applyAlignment="1">
      <alignment horizontal="center" vertical="top" wrapText="1"/>
    </xf>
    <xf numFmtId="0" fontId="26" fillId="25" borderId="56" xfId="0" applyFont="1" applyFill="1" applyBorder="1" applyAlignment="1">
      <alignment horizontal="center" vertical="top" wrapText="1"/>
    </xf>
    <xf numFmtId="0" fontId="23" fillId="25" borderId="54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6" fillId="25" borderId="49" xfId="0" applyFont="1" applyFill="1" applyBorder="1" applyAlignment="1">
      <alignment horizontal="center" vertical="center" wrapText="1"/>
    </xf>
    <xf numFmtId="0" fontId="26" fillId="25" borderId="46" xfId="0" applyFont="1" applyFill="1" applyBorder="1" applyAlignment="1">
      <alignment horizontal="center" vertical="center" wrapText="1"/>
    </xf>
    <xf numFmtId="0" fontId="26" fillId="25" borderId="47" xfId="0" applyFont="1" applyFill="1" applyBorder="1" applyAlignment="1">
      <alignment horizontal="center" vertical="center" wrapText="1"/>
    </xf>
    <xf numFmtId="0" fontId="125" fillId="0" borderId="44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" fontId="28" fillId="0" borderId="0" xfId="0" applyNumberFormat="1" applyFont="1" applyFill="1" applyBorder="1" applyAlignment="1">
      <alignment horizontal="center" vertical="top" wrapText="1"/>
    </xf>
    <xf numFmtId="1" fontId="125" fillId="0" borderId="44" xfId="2" applyNumberFormat="1" applyFont="1" applyFill="1" applyBorder="1" applyAlignment="1">
      <alignment horizontal="left" vertical="top" wrapText="1"/>
    </xf>
    <xf numFmtId="0" fontId="125" fillId="0" borderId="44" xfId="2" applyFont="1" applyFill="1" applyBorder="1" applyAlignment="1">
      <alignment horizontal="left" vertical="top" wrapText="1"/>
    </xf>
    <xf numFmtId="0" fontId="26" fillId="25" borderId="47" xfId="2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113" fillId="25" borderId="56" xfId="0" applyFont="1" applyFill="1" applyBorder="1" applyAlignment="1">
      <alignment horizontal="center" vertical="center" wrapText="1"/>
    </xf>
    <xf numFmtId="0" fontId="113" fillId="25" borderId="54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23" fillId="25" borderId="53" xfId="0" applyFont="1" applyFill="1" applyBorder="1" applyAlignment="1">
      <alignment horizontal="center" vertical="center" wrapText="1"/>
    </xf>
    <xf numFmtId="165" fontId="23" fillId="0" borderId="0" xfId="2" applyNumberFormat="1" applyFont="1" applyFill="1" applyBorder="1" applyAlignment="1">
      <alignment horizontal="center" wrapText="1"/>
    </xf>
    <xf numFmtId="0" fontId="38" fillId="0" borderId="0" xfId="2" applyFont="1" applyFill="1" applyAlignment="1">
      <alignment horizontal="left" vertical="center" wrapText="1"/>
    </xf>
    <xf numFmtId="0" fontId="38" fillId="0" borderId="0" xfId="2" applyFont="1" applyFill="1" applyAlignment="1">
      <alignment horizontal="left" vertical="center"/>
    </xf>
    <xf numFmtId="0" fontId="50" fillId="0" borderId="0" xfId="2" applyFont="1" applyFill="1" applyAlignment="1">
      <alignment horizontal="center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11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3" fontId="23" fillId="72" borderId="0" xfId="2" applyNumberFormat="1" applyFont="1" applyFill="1" applyBorder="1" applyAlignment="1">
      <alignment horizontal="center" vertical="center" wrapText="1"/>
    </xf>
    <xf numFmtId="0" fontId="117" fillId="3" borderId="25" xfId="2" applyFont="1" applyFill="1" applyBorder="1" applyAlignment="1">
      <alignment horizontal="center" vertical="center" wrapText="1"/>
    </xf>
    <xf numFmtId="0" fontId="117" fillId="3" borderId="26" xfId="2" applyFont="1" applyFill="1" applyBorder="1" applyAlignment="1">
      <alignment horizontal="center" vertical="center" wrapText="1"/>
    </xf>
    <xf numFmtId="0" fontId="117" fillId="3" borderId="27" xfId="2" applyFont="1" applyFill="1" applyBorder="1" applyAlignment="1">
      <alignment horizontal="center" vertical="center" wrapText="1"/>
    </xf>
    <xf numFmtId="3" fontId="23" fillId="25" borderId="0" xfId="2" applyNumberFormat="1" applyFont="1" applyFill="1" applyBorder="1" applyAlignment="1">
      <alignment horizontal="center" vertical="center" wrapText="1"/>
    </xf>
    <xf numFmtId="0" fontId="117" fillId="9" borderId="41" xfId="2" applyFont="1" applyFill="1" applyBorder="1" applyAlignment="1">
      <alignment horizontal="center" vertical="center" wrapText="1"/>
    </xf>
    <xf numFmtId="0" fontId="117" fillId="9" borderId="42" xfId="2" applyFont="1" applyFill="1" applyBorder="1" applyAlignment="1">
      <alignment horizontal="center" vertical="center" wrapText="1"/>
    </xf>
    <xf numFmtId="0" fontId="117" fillId="9" borderId="43" xfId="2" applyFont="1" applyFill="1" applyBorder="1" applyAlignment="1">
      <alignment horizontal="center" vertical="center" wrapText="1"/>
    </xf>
    <xf numFmtId="3" fontId="23" fillId="72" borderId="28" xfId="2" applyNumberFormat="1" applyFont="1" applyFill="1" applyBorder="1" applyAlignment="1">
      <alignment horizontal="center" vertical="center" wrapText="1"/>
    </xf>
    <xf numFmtId="3" fontId="23" fillId="72" borderId="29" xfId="2" applyNumberFormat="1" applyFont="1" applyFill="1" applyBorder="1" applyAlignment="1">
      <alignment horizontal="center" vertical="center" wrapText="1"/>
    </xf>
    <xf numFmtId="3" fontId="23" fillId="72" borderId="30" xfId="2" applyNumberFormat="1" applyFont="1" applyFill="1" applyBorder="1" applyAlignment="1">
      <alignment horizontal="center" vertical="center" wrapText="1"/>
    </xf>
    <xf numFmtId="3" fontId="23" fillId="72" borderId="31" xfId="2" applyNumberFormat="1" applyFont="1" applyFill="1" applyBorder="1" applyAlignment="1">
      <alignment horizontal="center" vertical="center" wrapText="1"/>
    </xf>
    <xf numFmtId="3" fontId="23" fillId="72" borderId="32" xfId="2" applyNumberFormat="1" applyFont="1" applyFill="1" applyBorder="1" applyAlignment="1">
      <alignment horizontal="center" vertical="center" wrapText="1"/>
    </xf>
    <xf numFmtId="165" fontId="23" fillId="23" borderId="0" xfId="2" applyNumberFormat="1" applyFont="1" applyFill="1" applyBorder="1" applyAlignment="1">
      <alignment horizontal="center" vertical="center" wrapText="1"/>
    </xf>
    <xf numFmtId="3" fontId="23" fillId="74" borderId="0" xfId="2" applyNumberFormat="1" applyFont="1" applyFill="1" applyBorder="1" applyAlignment="1">
      <alignment horizontal="center" vertical="center" wrapText="1"/>
    </xf>
    <xf numFmtId="3" fontId="23" fillId="75" borderId="0" xfId="2" applyNumberFormat="1" applyFont="1" applyFill="1" applyBorder="1" applyAlignment="1">
      <alignment horizontal="center" vertical="center" wrapText="1"/>
    </xf>
    <xf numFmtId="0" fontId="23" fillId="26" borderId="0" xfId="2" applyFont="1" applyFill="1" applyBorder="1" applyAlignment="1">
      <alignment horizontal="center" textRotation="180"/>
    </xf>
    <xf numFmtId="3" fontId="23" fillId="73" borderId="0" xfId="2" applyNumberFormat="1" applyFont="1" applyFill="1" applyBorder="1" applyAlignment="1">
      <alignment horizontal="center" vertical="center" wrapText="1"/>
    </xf>
    <xf numFmtId="0" fontId="117" fillId="74" borderId="33" xfId="2" applyFont="1" applyFill="1" applyBorder="1" applyAlignment="1">
      <alignment horizontal="center" vertical="center" wrapText="1"/>
    </xf>
    <xf numFmtId="0" fontId="117" fillId="74" borderId="34" xfId="2" applyFont="1" applyFill="1" applyBorder="1" applyAlignment="1">
      <alignment horizontal="center" vertical="center" wrapText="1"/>
    </xf>
    <xf numFmtId="0" fontId="117" fillId="74" borderId="35" xfId="2" applyFont="1" applyFill="1" applyBorder="1" applyAlignment="1">
      <alignment horizontal="center" vertical="center" wrapText="1"/>
    </xf>
    <xf numFmtId="165" fontId="23" fillId="74" borderId="0" xfId="2" applyNumberFormat="1" applyFont="1" applyFill="1" applyBorder="1" applyAlignment="1">
      <alignment horizontal="center" vertical="center" wrapText="1"/>
    </xf>
    <xf numFmtId="3" fontId="23" fillId="23" borderId="36" xfId="2" applyNumberFormat="1" applyFont="1" applyFill="1" applyBorder="1" applyAlignment="1">
      <alignment horizontal="center" vertical="center" wrapText="1"/>
    </xf>
    <xf numFmtId="3" fontId="23" fillId="23" borderId="0" xfId="2" applyNumberFormat="1" applyFont="1" applyFill="1" applyBorder="1" applyAlignment="1">
      <alignment horizontal="center" vertical="center" wrapText="1"/>
    </xf>
    <xf numFmtId="3" fontId="23" fillId="23" borderId="37" xfId="2" applyNumberFormat="1" applyFont="1" applyFill="1" applyBorder="1" applyAlignment="1">
      <alignment horizontal="center" vertical="center" wrapText="1"/>
    </xf>
    <xf numFmtId="3" fontId="23" fillId="23" borderId="38" xfId="2" applyNumberFormat="1" applyFont="1" applyFill="1" applyBorder="1" applyAlignment="1">
      <alignment horizontal="center" vertical="center" wrapText="1"/>
    </xf>
    <xf numFmtId="3" fontId="23" fillId="23" borderId="39" xfId="2" applyNumberFormat="1" applyFont="1" applyFill="1" applyBorder="1" applyAlignment="1">
      <alignment horizontal="center" vertical="center" wrapText="1"/>
    </xf>
    <xf numFmtId="3" fontId="23" fillId="23" borderId="40" xfId="2" applyNumberFormat="1" applyFont="1" applyFill="1" applyBorder="1" applyAlignment="1">
      <alignment horizontal="center" vertical="center" wrapText="1"/>
    </xf>
    <xf numFmtId="0" fontId="117" fillId="2" borderId="59" xfId="2" applyFont="1" applyFill="1" applyBorder="1" applyAlignment="1">
      <alignment horizontal="center" wrapText="1"/>
    </xf>
    <xf numFmtId="0" fontId="117" fillId="2" borderId="60" xfId="2" applyFont="1" applyFill="1" applyBorder="1" applyAlignment="1">
      <alignment horizontal="center" wrapText="1"/>
    </xf>
    <xf numFmtId="0" fontId="117" fillId="2" borderId="61" xfId="2" applyFont="1" applyFill="1" applyBorder="1" applyAlignment="1">
      <alignment horizontal="center" wrapText="1"/>
    </xf>
    <xf numFmtId="165" fontId="23" fillId="9" borderId="0" xfId="2" applyNumberFormat="1" applyFont="1" applyFill="1" applyBorder="1" applyAlignment="1">
      <alignment horizontal="center" vertical="center" wrapText="1"/>
    </xf>
    <xf numFmtId="0" fontId="133" fillId="0" borderId="0" xfId="0" applyFont="1" applyFill="1" applyAlignment="1">
      <alignment horizontal="left" vertical="top" wrapText="1"/>
    </xf>
  </cellXfs>
  <cellStyles count="1535">
    <cellStyle name="$l0 %" xfId="88"/>
    <cellStyle name="$l0 % 2" xfId="89"/>
    <cellStyle name="$l0 % 2 2" xfId="90"/>
    <cellStyle name="$l0 % 2 3" xfId="91"/>
    <cellStyle name="$l0 % 2 4" xfId="92"/>
    <cellStyle name="$l0 % 2 5" xfId="93"/>
    <cellStyle name="$l0 % 2 6" xfId="94"/>
    <cellStyle name="$l0 % 2 7" xfId="95"/>
    <cellStyle name="$l0 % 3" xfId="96"/>
    <cellStyle name="$l0 % 3 2" xfId="97"/>
    <cellStyle name="$l0 % 3 3" xfId="98"/>
    <cellStyle name="$l0 % 3 4" xfId="99"/>
    <cellStyle name="$l0 % 3 5" xfId="100"/>
    <cellStyle name="$l0 % 3 6" xfId="101"/>
    <cellStyle name="$l0 % 3 7" xfId="102"/>
    <cellStyle name="$l0 % 4" xfId="103"/>
    <cellStyle name="$l0 % 5" xfId="104"/>
    <cellStyle name="$l0 % 6" xfId="105"/>
    <cellStyle name="$l0 % 7" xfId="106"/>
    <cellStyle name="$l0 % 8" xfId="107"/>
    <cellStyle name="$l0 % 9" xfId="108"/>
    <cellStyle name="$l0 Dec" xfId="109"/>
    <cellStyle name="$l0 Dec 2" xfId="110"/>
    <cellStyle name="$l0 Dec 2 2" xfId="111"/>
    <cellStyle name="$l0 Dec 2 3" xfId="112"/>
    <cellStyle name="$l0 Dec 2 4" xfId="113"/>
    <cellStyle name="$l0 Dec 2 5" xfId="114"/>
    <cellStyle name="$l0 Dec 2 6" xfId="115"/>
    <cellStyle name="$l0 Dec 2 7" xfId="116"/>
    <cellStyle name="$l0 Dec 3" xfId="117"/>
    <cellStyle name="$l0 Dec 3 2" xfId="118"/>
    <cellStyle name="$l0 Dec 3 3" xfId="119"/>
    <cellStyle name="$l0 Dec 3 4" xfId="120"/>
    <cellStyle name="$l0 Dec 3 5" xfId="121"/>
    <cellStyle name="$l0 Dec 3 6" xfId="122"/>
    <cellStyle name="$l0 Dec 3 7" xfId="123"/>
    <cellStyle name="$l0 Dec 4" xfId="124"/>
    <cellStyle name="$l0 Dec 5" xfId="125"/>
    <cellStyle name="$l0 Dec 6" xfId="126"/>
    <cellStyle name="$l0 Dec 7" xfId="127"/>
    <cellStyle name="$l0 Dec 8" xfId="128"/>
    <cellStyle name="$l0 Dec 9" xfId="129"/>
    <cellStyle name="$l0 No" xfId="130"/>
    <cellStyle name="$l0 No 2" xfId="131"/>
    <cellStyle name="$l0 No 2 2" xfId="132"/>
    <cellStyle name="$l0 No 2 3" xfId="133"/>
    <cellStyle name="$l0 No 2 4" xfId="134"/>
    <cellStyle name="$l0 No 2 5" xfId="135"/>
    <cellStyle name="$l0 No 2 6" xfId="136"/>
    <cellStyle name="$l0 No 2 7" xfId="137"/>
    <cellStyle name="$l0 No 3" xfId="138"/>
    <cellStyle name="$l0 No 3 2" xfId="139"/>
    <cellStyle name="$l0 No 3 3" xfId="140"/>
    <cellStyle name="$l0 No 3 4" xfId="141"/>
    <cellStyle name="$l0 No 3 5" xfId="142"/>
    <cellStyle name="$l0 No 3 6" xfId="143"/>
    <cellStyle name="$l0 No 3 7" xfId="144"/>
    <cellStyle name="$l0 No 4" xfId="145"/>
    <cellStyle name="$l0 No 5" xfId="146"/>
    <cellStyle name="$l0 No 6" xfId="147"/>
    <cellStyle name="$l0 No 7" xfId="148"/>
    <cellStyle name="$l0 No 8" xfId="149"/>
    <cellStyle name="$l0 No 9" xfId="150"/>
    <cellStyle name="$l0 Row" xfId="151"/>
    <cellStyle name="$l1 %" xfId="152"/>
    <cellStyle name="$l1 % 2" xfId="153"/>
    <cellStyle name="$l1 % 2 2" xfId="154"/>
    <cellStyle name="$l1 % 2 3" xfId="155"/>
    <cellStyle name="$l1 % 2 4" xfId="156"/>
    <cellStyle name="$l1 % 2 5" xfId="157"/>
    <cellStyle name="$l1 % 2 6" xfId="158"/>
    <cellStyle name="$l1 % 2 7" xfId="159"/>
    <cellStyle name="$l1 % 3" xfId="160"/>
    <cellStyle name="$l1 % 3 2" xfId="161"/>
    <cellStyle name="$l1 % 3 3" xfId="162"/>
    <cellStyle name="$l1 % 3 4" xfId="163"/>
    <cellStyle name="$l1 % 3 5" xfId="164"/>
    <cellStyle name="$l1 % 3 6" xfId="165"/>
    <cellStyle name="$l1 % 3 7" xfId="166"/>
    <cellStyle name="$l1 % 4" xfId="167"/>
    <cellStyle name="$l1 % 5" xfId="168"/>
    <cellStyle name="$l1 % 6" xfId="169"/>
    <cellStyle name="$l1 % 7" xfId="170"/>
    <cellStyle name="$l1 % 8" xfId="171"/>
    <cellStyle name="$l1 % 9" xfId="172"/>
    <cellStyle name="$l1 No" xfId="173"/>
    <cellStyle name="$l1 No 2" xfId="174"/>
    <cellStyle name="$l1 No 2 2" xfId="175"/>
    <cellStyle name="$l1 No 2 3" xfId="176"/>
    <cellStyle name="$l1 No 2 4" xfId="177"/>
    <cellStyle name="$l1 No 2 5" xfId="178"/>
    <cellStyle name="$l1 No 2 6" xfId="179"/>
    <cellStyle name="$l1 No 2 7" xfId="180"/>
    <cellStyle name="$l1 No 3" xfId="181"/>
    <cellStyle name="$l1 No 3 2" xfId="182"/>
    <cellStyle name="$l1 No 3 3" xfId="183"/>
    <cellStyle name="$l1 No 3 4" xfId="184"/>
    <cellStyle name="$l1 No 3 5" xfId="185"/>
    <cellStyle name="$l1 No 3 6" xfId="186"/>
    <cellStyle name="$l1 No 3 7" xfId="187"/>
    <cellStyle name="$l1 No 4" xfId="188"/>
    <cellStyle name="$l1 No 5" xfId="189"/>
    <cellStyle name="$l1 No 6" xfId="190"/>
    <cellStyle name="$l1 No 7" xfId="191"/>
    <cellStyle name="$l1 No 8" xfId="192"/>
    <cellStyle name="$l1 No 9" xfId="193"/>
    <cellStyle name="$l1 Row" xfId="194"/>
    <cellStyle name="$l2 %" xfId="195"/>
    <cellStyle name="$l2 % 2" xfId="196"/>
    <cellStyle name="$l2 % 2 2" xfId="197"/>
    <cellStyle name="$l2 % 2 3" xfId="198"/>
    <cellStyle name="$l2 % 2 4" xfId="199"/>
    <cellStyle name="$l2 % 2 5" xfId="200"/>
    <cellStyle name="$l2 % 2 6" xfId="201"/>
    <cellStyle name="$l2 % 2 7" xfId="202"/>
    <cellStyle name="$l2 % 3" xfId="203"/>
    <cellStyle name="$l2 % 3 2" xfId="204"/>
    <cellStyle name="$l2 % 3 3" xfId="205"/>
    <cellStyle name="$l2 % 3 4" xfId="206"/>
    <cellStyle name="$l2 % 3 5" xfId="207"/>
    <cellStyle name="$l2 % 3 6" xfId="208"/>
    <cellStyle name="$l2 % 3 7" xfId="209"/>
    <cellStyle name="$l2 % 4" xfId="210"/>
    <cellStyle name="$l2 % 5" xfId="211"/>
    <cellStyle name="$l2 % 6" xfId="212"/>
    <cellStyle name="$l2 % 7" xfId="213"/>
    <cellStyle name="$l2 % 8" xfId="214"/>
    <cellStyle name="$l2 % 9" xfId="215"/>
    <cellStyle name="$l2 No" xfId="216"/>
    <cellStyle name="$l2 No 2" xfId="217"/>
    <cellStyle name="$l2 No 2 2" xfId="218"/>
    <cellStyle name="$l2 No 2 3" xfId="219"/>
    <cellStyle name="$l2 No 2 4" xfId="220"/>
    <cellStyle name="$l2 No 2 5" xfId="221"/>
    <cellStyle name="$l2 No 2 6" xfId="222"/>
    <cellStyle name="$l2 No 2 7" xfId="223"/>
    <cellStyle name="$l2 No 3" xfId="224"/>
    <cellStyle name="$l2 No 3 2" xfId="225"/>
    <cellStyle name="$l2 No 3 3" xfId="226"/>
    <cellStyle name="$l2 No 3 4" xfId="227"/>
    <cellStyle name="$l2 No 3 5" xfId="228"/>
    <cellStyle name="$l2 No 3 6" xfId="229"/>
    <cellStyle name="$l2 No 3 7" xfId="230"/>
    <cellStyle name="$l2 No 4" xfId="231"/>
    <cellStyle name="$l2 No 5" xfId="232"/>
    <cellStyle name="$l2 No 6" xfId="233"/>
    <cellStyle name="$l2 No 7" xfId="234"/>
    <cellStyle name="$l2 No 8" xfId="235"/>
    <cellStyle name="$l2 No 9" xfId="236"/>
    <cellStyle name="$l2 Row" xfId="237"/>
    <cellStyle name="$l2 Row 10" xfId="238"/>
    <cellStyle name="$l2 Row 11" xfId="239"/>
    <cellStyle name="$l2 Row 2" xfId="240"/>
    <cellStyle name="$l2 Row 2 2" xfId="241"/>
    <cellStyle name="$l2 Row 2 3" xfId="242"/>
    <cellStyle name="$l2 Row 2 4" xfId="243"/>
    <cellStyle name="$l2 Row 2 5" xfId="244"/>
    <cellStyle name="$l2 Row 2 6" xfId="245"/>
    <cellStyle name="$l2 Row 2 7" xfId="246"/>
    <cellStyle name="$l2 Row 2 8" xfId="247"/>
    <cellStyle name="$l2 Row 3" xfId="248"/>
    <cellStyle name="$l2 Row 3 2" xfId="249"/>
    <cellStyle name="$l2 Row 3 3" xfId="250"/>
    <cellStyle name="$l2 Row 3 4" xfId="251"/>
    <cellStyle name="$l2 Row 3 5" xfId="252"/>
    <cellStyle name="$l2 Row 3 6" xfId="253"/>
    <cellStyle name="$l2 Row 3 7" xfId="254"/>
    <cellStyle name="$l2 Row 3 8" xfId="255"/>
    <cellStyle name="$l2 Row 4" xfId="256"/>
    <cellStyle name="$l2 Row 5" xfId="257"/>
    <cellStyle name="$l2 Row 6" xfId="258"/>
    <cellStyle name="$l2 Row 7" xfId="259"/>
    <cellStyle name="$l2 Row 8" xfId="260"/>
    <cellStyle name="$l2 Row 9" xfId="261"/>
    <cellStyle name="$u0 %" xfId="262"/>
    <cellStyle name="$u0 % 2" xfId="263"/>
    <cellStyle name="$u0 % 2 2" xfId="264"/>
    <cellStyle name="$u0 % 2 3" xfId="265"/>
    <cellStyle name="$u0 % 2 4" xfId="266"/>
    <cellStyle name="$u0 % 2 5" xfId="267"/>
    <cellStyle name="$u0 % 2 6" xfId="268"/>
    <cellStyle name="$u0 % 2 7" xfId="269"/>
    <cellStyle name="$u0 % 3" xfId="270"/>
    <cellStyle name="$u0 % 3 2" xfId="271"/>
    <cellStyle name="$u0 % 3 3" xfId="272"/>
    <cellStyle name="$u0 % 3 4" xfId="273"/>
    <cellStyle name="$u0 % 3 5" xfId="274"/>
    <cellStyle name="$u0 % 3 6" xfId="275"/>
    <cellStyle name="$u0 % 3 7" xfId="276"/>
    <cellStyle name="$u0 % 4" xfId="277"/>
    <cellStyle name="$u0 % 5" xfId="278"/>
    <cellStyle name="$u0 % 6" xfId="279"/>
    <cellStyle name="$u0 % 7" xfId="280"/>
    <cellStyle name="$u0 % 8" xfId="281"/>
    <cellStyle name="$u0 % 9" xfId="282"/>
    <cellStyle name="$u0 No" xfId="283"/>
    <cellStyle name="$u0 No 2" xfId="284"/>
    <cellStyle name="$u0 No 2 2" xfId="285"/>
    <cellStyle name="$u0 No 2 3" xfId="286"/>
    <cellStyle name="$u0 No 2 4" xfId="287"/>
    <cellStyle name="$u0 No 2 5" xfId="288"/>
    <cellStyle name="$u0 No 2 6" xfId="289"/>
    <cellStyle name="$u0 No 2 7" xfId="290"/>
    <cellStyle name="$u0 No 3" xfId="291"/>
    <cellStyle name="$u0 No 3 2" xfId="292"/>
    <cellStyle name="$u0 No 3 3" xfId="293"/>
    <cellStyle name="$u0 No 3 4" xfId="294"/>
    <cellStyle name="$u0 No 3 5" xfId="295"/>
    <cellStyle name="$u0 No 3 6" xfId="296"/>
    <cellStyle name="$u0 No 3 7" xfId="297"/>
    <cellStyle name="$u0 No 4" xfId="298"/>
    <cellStyle name="$u0 No 5" xfId="299"/>
    <cellStyle name="$u0 No 6" xfId="300"/>
    <cellStyle name="$u0 No 7" xfId="301"/>
    <cellStyle name="$u0 No 8" xfId="302"/>
    <cellStyle name="$u0 No 9" xfId="303"/>
    <cellStyle name="[StdExit()]" xfId="304"/>
    <cellStyle name="_List1" xfId="305"/>
    <cellStyle name="’E‰Ý [0.00]_Region Orders (2)" xfId="306"/>
    <cellStyle name="’E‰Ý_Region Orders (2)" xfId="307"/>
    <cellStyle name="•WŹ€_Pacific Region P&amp;L" xfId="308"/>
    <cellStyle name="•WŹ_Pacific Region P&amp;L" xfId="309"/>
    <cellStyle name="20 % – Zvýraznění1 2" xfId="310"/>
    <cellStyle name="20 % – Zvýraznění2 2" xfId="311"/>
    <cellStyle name="20 % – Zvýraznění3 2" xfId="312"/>
    <cellStyle name="20 % – Zvýraznění4 2" xfId="313"/>
    <cellStyle name="20 % – Zvýraznění5 2" xfId="314"/>
    <cellStyle name="20 % – Zvýraznění6 2" xfId="315"/>
    <cellStyle name="40 % – Zvýraznění1 2" xfId="316"/>
    <cellStyle name="40 % – Zvýraznění2 2" xfId="317"/>
    <cellStyle name="40 % – Zvýraznění3 2" xfId="318"/>
    <cellStyle name="40 % – Zvýraznění4 2" xfId="319"/>
    <cellStyle name="40 % – Zvýraznění5 2" xfId="320"/>
    <cellStyle name="40 % – Zvýraznění6 2" xfId="321"/>
    <cellStyle name="60 % – Zvýraznění1 2" xfId="322"/>
    <cellStyle name="60 % – Zvýraznění2 2" xfId="323"/>
    <cellStyle name="60 % – Zvýraznění3 2" xfId="324"/>
    <cellStyle name="60 % – Zvýraznění4 2" xfId="325"/>
    <cellStyle name="60 % – Zvýraznění5 2" xfId="326"/>
    <cellStyle name="60 % – Zvýraznění6 2" xfId="327"/>
    <cellStyle name="Accent1 - 20%" xfId="328"/>
    <cellStyle name="Accent1 - 40%" xfId="329"/>
    <cellStyle name="Accent1 - 60%" xfId="330"/>
    <cellStyle name="Accent2 - 20%" xfId="331"/>
    <cellStyle name="Accent2 - 40%" xfId="332"/>
    <cellStyle name="Accent2 - 60%" xfId="333"/>
    <cellStyle name="Accent3 - 20%" xfId="334"/>
    <cellStyle name="Accent3 - 40%" xfId="335"/>
    <cellStyle name="Accent3 - 60%" xfId="336"/>
    <cellStyle name="Accent4 - 20%" xfId="337"/>
    <cellStyle name="Accent4 - 40%" xfId="338"/>
    <cellStyle name="Accent4 - 60%" xfId="339"/>
    <cellStyle name="Accent5 - 20%" xfId="340"/>
    <cellStyle name="Accent5 - 40%" xfId="341"/>
    <cellStyle name="Accent5 - 60%" xfId="342"/>
    <cellStyle name="Accent6 - 20%" xfId="343"/>
    <cellStyle name="Accent6 - 40%" xfId="344"/>
    <cellStyle name="Accent6 - 60%" xfId="345"/>
    <cellStyle name="AdminStyle" xfId="346"/>
    <cellStyle name="AdminStyle 2" xfId="347"/>
    <cellStyle name="AdminStyle 2 2" xfId="348"/>
    <cellStyle name="AdminStyle 2 3" xfId="349"/>
    <cellStyle name="AdminStyle 2 4" xfId="350"/>
    <cellStyle name="AdminStyle 2 5" xfId="351"/>
    <cellStyle name="AdminStyle 2 6" xfId="352"/>
    <cellStyle name="AdminStyle 2 7" xfId="353"/>
    <cellStyle name="AdminStyle 3" xfId="354"/>
    <cellStyle name="AdminStyle 3 2" xfId="355"/>
    <cellStyle name="AdminStyle 3 3" xfId="356"/>
    <cellStyle name="AdminStyle 3 4" xfId="357"/>
    <cellStyle name="AdminStyle 3 5" xfId="358"/>
    <cellStyle name="AdminStyle 3 6" xfId="359"/>
    <cellStyle name="AdminStyle 3 7" xfId="360"/>
    <cellStyle name="AdminStyle 4" xfId="361"/>
    <cellStyle name="AdminStyle 5" xfId="362"/>
    <cellStyle name="AdminStyle 6" xfId="363"/>
    <cellStyle name="AdminStyle 7" xfId="364"/>
    <cellStyle name="AdminStyle 8" xfId="365"/>
    <cellStyle name="AdminStyle 9" xfId="366"/>
    <cellStyle name="args.style" xfId="367"/>
    <cellStyle name="args.style 2" xfId="368"/>
    <cellStyle name="args.style 3" xfId="369"/>
    <cellStyle name="args.style_110310_Výkazy CEPS 10_13062011" xfId="370"/>
    <cellStyle name="Calc Currency (0)" xfId="371"/>
    <cellStyle name="Calc Currency (0) 2" xfId="372"/>
    <cellStyle name="Calc Currency (0) 3" xfId="373"/>
    <cellStyle name="Calc Currency (0)_110310_Výkazy CEPS 10_13062011" xfId="374"/>
    <cellStyle name="cárkyd" xfId="375"/>
    <cellStyle name="cary" xfId="376"/>
    <cellStyle name="cary 2" xfId="377"/>
    <cellStyle name="Celkem 2" xfId="58"/>
    <cellStyle name="Celkem 2 10" xfId="378"/>
    <cellStyle name="CELKEM 2 2" xfId="379"/>
    <cellStyle name="Celkem 2 2 2" xfId="380"/>
    <cellStyle name="Celkem 2 2 3" xfId="381"/>
    <cellStyle name="Celkem 2 2 4" xfId="382"/>
    <cellStyle name="Celkem 2 2 5" xfId="383"/>
    <cellStyle name="Celkem 2 2 6" xfId="384"/>
    <cellStyle name="Celkem 2 2 7" xfId="385"/>
    <cellStyle name="Celkem 2 2 8" xfId="386"/>
    <cellStyle name="Celkem 2 2 9" xfId="387"/>
    <cellStyle name="CELKEM 2 3" xfId="388"/>
    <cellStyle name="Celkem 2 4" xfId="389"/>
    <cellStyle name="Celkem 2 5" xfId="390"/>
    <cellStyle name="Celkem 2 6" xfId="391"/>
    <cellStyle name="Celkem 2 7" xfId="392"/>
    <cellStyle name="Celkem 2 8" xfId="393"/>
    <cellStyle name="Celkem 2 9" xfId="394"/>
    <cellStyle name="CELKEM 3" xfId="395"/>
    <cellStyle name="ColLevel_1_BE (2)" xfId="396"/>
    <cellStyle name="Comma [0]_!!!GO" xfId="397"/>
    <cellStyle name="Comma_!!!GO" xfId="398"/>
    <cellStyle name="Copied" xfId="399"/>
    <cellStyle name="Copied 2" xfId="400"/>
    <cellStyle name="Copied 3" xfId="401"/>
    <cellStyle name="Copied_110310_Výkazy CEPS 10_13062011" xfId="402"/>
    <cellStyle name="COST1" xfId="403"/>
    <cellStyle name="COST1 2" xfId="404"/>
    <cellStyle name="COST1 3" xfId="405"/>
    <cellStyle name="COST1_110310_Výkazy CEPS 10_13062011" xfId="406"/>
    <cellStyle name="Currency [0]_!!!GO" xfId="407"/>
    <cellStyle name="Currency_!!!GO" xfId="408"/>
    <cellStyle name="ČÁRKA 2" xfId="409"/>
    <cellStyle name="ČÁRKA 2 2" xfId="410"/>
    <cellStyle name="ČÁRKA 2 3" xfId="411"/>
    <cellStyle name="ČEPS" xfId="412"/>
    <cellStyle name="ČEPS chybně" xfId="413"/>
    <cellStyle name="ČEPS neutrální" xfId="414"/>
    <cellStyle name="ČEPS správně" xfId="415"/>
    <cellStyle name="Date" xfId="416"/>
    <cellStyle name="Date 2" xfId="417"/>
    <cellStyle name="Date 3" xfId="418"/>
    <cellStyle name="Date_110310_Výkazy CEPS 10_13062011" xfId="419"/>
    <cellStyle name="Datum" xfId="59"/>
    <cellStyle name="DATUM 2" xfId="420"/>
    <cellStyle name="DATUM 2 2" xfId="421"/>
    <cellStyle name="DATUM 2 3" xfId="422"/>
    <cellStyle name="Emphasis 1" xfId="423"/>
    <cellStyle name="Emphasis 2" xfId="424"/>
    <cellStyle name="Emphasis 3" xfId="425"/>
    <cellStyle name="Entered" xfId="426"/>
    <cellStyle name="Entered 2" xfId="427"/>
    <cellStyle name="Entered 3" xfId="428"/>
    <cellStyle name="Entered_110310_Výkazy CEPS 10_13062011" xfId="42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Grey" xfId="430"/>
    <cellStyle name="Header1" xfId="431"/>
    <cellStyle name="Header2" xfId="432"/>
    <cellStyle name="Header2 2" xfId="433"/>
    <cellStyle name="Header2 2 2" xfId="434"/>
    <cellStyle name="Header2 2 3" xfId="435"/>
    <cellStyle name="Header2 2 4" xfId="436"/>
    <cellStyle name="Header2 2 5" xfId="437"/>
    <cellStyle name="Header2 2 6" xfId="438"/>
    <cellStyle name="Header2 2 7" xfId="439"/>
    <cellStyle name="Header2 2 8" xfId="440"/>
    <cellStyle name="Header2 3" xfId="441"/>
    <cellStyle name="Header2 3 2" xfId="442"/>
    <cellStyle name="Header2 3 3" xfId="443"/>
    <cellStyle name="Header2 3 4" xfId="444"/>
    <cellStyle name="Header2 3 5" xfId="445"/>
    <cellStyle name="Header2 3 6" xfId="446"/>
    <cellStyle name="Header2 3 7" xfId="447"/>
    <cellStyle name="Header2 3 8" xfId="448"/>
    <cellStyle name="HEADING1" xfId="68"/>
    <cellStyle name="HEADING2" xfId="69"/>
    <cellStyle name="Hypertextový odkaz 2" xfId="4"/>
    <cellStyle name="Chybně 2" xfId="449"/>
    <cellStyle name="Input [yellow]" xfId="450"/>
    <cellStyle name="Input [yellow] 2" xfId="451"/>
    <cellStyle name="Input [yellow] 2 10" xfId="452"/>
    <cellStyle name="Input [yellow] 2 2" xfId="453"/>
    <cellStyle name="Input [yellow] 2 3" xfId="454"/>
    <cellStyle name="Input [yellow] 2 4" xfId="455"/>
    <cellStyle name="Input [yellow] 2 5" xfId="456"/>
    <cellStyle name="Input [yellow] 2 6" xfId="457"/>
    <cellStyle name="Input [yellow] 2 7" xfId="458"/>
    <cellStyle name="Input [yellow] 2 8" xfId="459"/>
    <cellStyle name="Input [yellow] 2 9" xfId="460"/>
    <cellStyle name="Input [yellow] 3" xfId="461"/>
    <cellStyle name="Input [yellow] 3 10" xfId="462"/>
    <cellStyle name="Input [yellow] 3 2" xfId="463"/>
    <cellStyle name="Input [yellow] 3 3" xfId="464"/>
    <cellStyle name="Input [yellow] 3 4" xfId="465"/>
    <cellStyle name="Input [yellow] 3 5" xfId="466"/>
    <cellStyle name="Input [yellow] 3 6" xfId="467"/>
    <cellStyle name="Input [yellow] 3 7" xfId="468"/>
    <cellStyle name="Input [yellow] 3 8" xfId="469"/>
    <cellStyle name="Input [yellow] 3 9" xfId="470"/>
    <cellStyle name="Input Cells" xfId="471"/>
    <cellStyle name="Input Cells 2" xfId="472"/>
    <cellStyle name="Input Cells 3" xfId="473"/>
    <cellStyle name="Input Cells_110310_Výkazy CEPS 10_13062011" xfId="474"/>
    <cellStyle name="Kontrolní buňka 2" xfId="475"/>
    <cellStyle name="Linked Cells" xfId="476"/>
    <cellStyle name="Linked Cells 2" xfId="477"/>
    <cellStyle name="Linked Cells 3" xfId="478"/>
    <cellStyle name="Linked Cells_110310_Výkazy CEPS 10_13062011" xfId="479"/>
    <cellStyle name="MĚNA 2" xfId="480"/>
    <cellStyle name="MĚNA 2 2" xfId="481"/>
    <cellStyle name="MĚNA 2 3" xfId="482"/>
    <cellStyle name="Měna0" xfId="70"/>
    <cellStyle name="Milliers [0]_!!!GO" xfId="483"/>
    <cellStyle name="Milliers_!!!GO" xfId="484"/>
    <cellStyle name="Monétaire [0]_!!!GO" xfId="485"/>
    <cellStyle name="Monétaire_!!!GO" xfId="486"/>
    <cellStyle name="Nadpis 1 2" xfId="487"/>
    <cellStyle name="Nadpis 2 2" xfId="488"/>
    <cellStyle name="Nadpis 3 2" xfId="489"/>
    <cellStyle name="Nadpis 4 2" xfId="490"/>
    <cellStyle name="Nadpis malý" xfId="491"/>
    <cellStyle name="NADPIS1" xfId="492"/>
    <cellStyle name="NADPIS1 2" xfId="493"/>
    <cellStyle name="NADPIS1 2 2" xfId="494"/>
    <cellStyle name="NADPIS1 2 3" xfId="495"/>
    <cellStyle name="NADPIS2" xfId="496"/>
    <cellStyle name="NADPIS2 2" xfId="497"/>
    <cellStyle name="NADPIS2 2 2" xfId="498"/>
    <cellStyle name="NADPIS2 2 3" xfId="499"/>
    <cellStyle name="Název 2" xfId="500"/>
    <cellStyle name="Neutrální 2" xfId="501"/>
    <cellStyle name="Neutrální 3" xfId="502"/>
    <cellStyle name="New Times Roman" xfId="503"/>
    <cellStyle name="New Times Roman 2" xfId="504"/>
    <cellStyle name="New Times Roman 3" xfId="505"/>
    <cellStyle name="New Times Roman_110310_Výkazy CEPS 10_13062011" xfId="506"/>
    <cellStyle name="normal" xfId="71"/>
    <cellStyle name="Normal - Style1" xfId="507"/>
    <cellStyle name="Normal - Style1 2" xfId="508"/>
    <cellStyle name="Normal - Style1 3" xfId="509"/>
    <cellStyle name="Normal - Style1_110310_Výkazy CEPS 10_13062011" xfId="510"/>
    <cellStyle name="normal 2" xfId="511"/>
    <cellStyle name="Normal_!!!GO" xfId="512"/>
    <cellStyle name="Normální" xfId="0" builtinId="0"/>
    <cellStyle name="Normální 10" xfId="72"/>
    <cellStyle name="Normální 10 2" xfId="513"/>
    <cellStyle name="Normální 11" xfId="73"/>
    <cellStyle name="Normální 11 2" xfId="514"/>
    <cellStyle name="Normální 11 3" xfId="515"/>
    <cellStyle name="Normální 11 4" xfId="516"/>
    <cellStyle name="Normální 11 5" xfId="517"/>
    <cellStyle name="Normální 11 6" xfId="518"/>
    <cellStyle name="Normální 12" xfId="74"/>
    <cellStyle name="Normální 12 2" xfId="519"/>
    <cellStyle name="Normální 13" xfId="520"/>
    <cellStyle name="Normální 13 2" xfId="521"/>
    <cellStyle name="Normální 14" xfId="522"/>
    <cellStyle name="Normální 14 2" xfId="523"/>
    <cellStyle name="Normální 15" xfId="524"/>
    <cellStyle name="Normální 15 2" xfId="525"/>
    <cellStyle name="Normální 16" xfId="526"/>
    <cellStyle name="Normální 17" xfId="527"/>
    <cellStyle name="Normální 18" xfId="528"/>
    <cellStyle name="Normální 2" xfId="2"/>
    <cellStyle name="Normální 2 2" xfId="14"/>
    <cellStyle name="Normální 2 2 2" xfId="15"/>
    <cellStyle name="Normální 2 2 3" xfId="529"/>
    <cellStyle name="Normální 2 2 4" xfId="530"/>
    <cellStyle name="Normální 2 3" xfId="20"/>
    <cellStyle name="normální 2 4" xfId="531"/>
    <cellStyle name="Normální 2 5" xfId="532"/>
    <cellStyle name="Normální 2 6" xfId="533"/>
    <cellStyle name="normální 2_120301 Výkazy PDS 11" xfId="534"/>
    <cellStyle name="Normální 3" xfId="5"/>
    <cellStyle name="Normální 3 2" xfId="535"/>
    <cellStyle name="Normální 3 2 2" xfId="536"/>
    <cellStyle name="normální 3 3" xfId="537"/>
    <cellStyle name="Normální 3 4" xfId="538"/>
    <cellStyle name="Normální 3 5" xfId="539"/>
    <cellStyle name="Normální 4" xfId="6"/>
    <cellStyle name="Normální 4 2" xfId="75"/>
    <cellStyle name="Normální 4 2 2" xfId="540"/>
    <cellStyle name="Normální 4 2 3" xfId="541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6 3" xfId="542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Normální 9 3" xfId="543"/>
    <cellStyle name="Normální 91" xfId="544"/>
    <cellStyle name="O…‹aO‚e [0.00]_Region Orders (2)" xfId="545"/>
    <cellStyle name="O…‹aO‚e_Region Orders (2)" xfId="546"/>
    <cellStyle name="per.style" xfId="547"/>
    <cellStyle name="per.style 2" xfId="548"/>
    <cellStyle name="per.style 3" xfId="549"/>
    <cellStyle name="per.style_110310_Výkazy CEPS 10_13062011" xfId="550"/>
    <cellStyle name="Percent [2]" xfId="551"/>
    <cellStyle name="Percent [2] 2" xfId="552"/>
    <cellStyle name="Percent [2] 3" xfId="553"/>
    <cellStyle name="Pevný" xfId="82"/>
    <cellStyle name="PEVNÝ 2" xfId="554"/>
    <cellStyle name="PEVNÝ 2 2" xfId="555"/>
    <cellStyle name="PEVNÝ 2 3" xfId="556"/>
    <cellStyle name="Poznámka 2" xfId="557"/>
    <cellStyle name="Poznámka 2 10" xfId="558"/>
    <cellStyle name="Poznámka 2 11" xfId="559"/>
    <cellStyle name="Poznámka 2 12" xfId="560"/>
    <cellStyle name="Poznámka 2 2" xfId="561"/>
    <cellStyle name="Poznámka 2 2 10" xfId="562"/>
    <cellStyle name="Poznámka 2 2 2" xfId="563"/>
    <cellStyle name="Poznámka 2 2 3" xfId="564"/>
    <cellStyle name="Poznámka 2 2 4" xfId="565"/>
    <cellStyle name="Poznámka 2 2 5" xfId="566"/>
    <cellStyle name="Poznámka 2 2 6" xfId="567"/>
    <cellStyle name="Poznámka 2 2 7" xfId="568"/>
    <cellStyle name="Poznámka 2 2 8" xfId="569"/>
    <cellStyle name="Poznámka 2 2 9" xfId="570"/>
    <cellStyle name="Poznámka 2 3" xfId="571"/>
    <cellStyle name="Poznámka 2 3 10" xfId="572"/>
    <cellStyle name="Poznámka 2 3 2" xfId="573"/>
    <cellStyle name="Poznámka 2 3 3" xfId="574"/>
    <cellStyle name="Poznámka 2 3 4" xfId="575"/>
    <cellStyle name="Poznámka 2 3 5" xfId="576"/>
    <cellStyle name="Poznámka 2 3 6" xfId="577"/>
    <cellStyle name="Poznámka 2 3 7" xfId="578"/>
    <cellStyle name="Poznámka 2 3 8" xfId="579"/>
    <cellStyle name="Poznámka 2 3 9" xfId="580"/>
    <cellStyle name="Poznámka 2 4" xfId="581"/>
    <cellStyle name="Poznámka 2 5" xfId="582"/>
    <cellStyle name="Poznámka 2 6" xfId="583"/>
    <cellStyle name="Poznámka 2 7" xfId="584"/>
    <cellStyle name="Poznámka 2 8" xfId="585"/>
    <cellStyle name="Poznámka 2 9" xfId="586"/>
    <cellStyle name="pricing" xfId="587"/>
    <cellStyle name="pricing 2" xfId="588"/>
    <cellStyle name="procent 2" xfId="589"/>
    <cellStyle name="procent 2 2" xfId="590"/>
    <cellStyle name="Procenta" xfId="1" builtinId="5"/>
    <cellStyle name="Procenta 2" xfId="7"/>
    <cellStyle name="Procenta 2 2" xfId="3"/>
    <cellStyle name="Procenta 2 3" xfId="83"/>
    <cellStyle name="Procenta 2 4" xfId="591"/>
    <cellStyle name="Procenta 2 5" xfId="592"/>
    <cellStyle name="Procenta 3" xfId="84"/>
    <cellStyle name="Procenta 3 2" xfId="85"/>
    <cellStyle name="Procenta 4" xfId="593"/>
    <cellStyle name="Propojená buňka 2" xfId="594"/>
    <cellStyle name="PSChar" xfId="595"/>
    <cellStyle name="PSChar 2" xfId="596"/>
    <cellStyle name="PSChar 3" xfId="597"/>
    <cellStyle name="RevList" xfId="598"/>
    <cellStyle name="RevList 2" xfId="599"/>
    <cellStyle name="RevList 3" xfId="600"/>
    <cellStyle name="RevList_110310_Výkazy CEPS 10_13062011" xfId="601"/>
    <cellStyle name="RowLevel_1_BE (2)" xfId="602"/>
    <cellStyle name="SAPBEXaggData" xfId="8"/>
    <cellStyle name="SAPBEXaggData 10" xfId="603"/>
    <cellStyle name="SAPBEXaggData 11" xfId="604"/>
    <cellStyle name="SAPBEXaggData 2" xfId="605"/>
    <cellStyle name="SAPBEXaggData 2 10" xfId="606"/>
    <cellStyle name="SAPBEXaggData 2 11" xfId="607"/>
    <cellStyle name="SAPBEXaggData 2 2" xfId="608"/>
    <cellStyle name="SAPBEXaggData 2 3" xfId="609"/>
    <cellStyle name="SAPBEXaggData 2 4" xfId="610"/>
    <cellStyle name="SAPBEXaggData 2 5" xfId="611"/>
    <cellStyle name="SAPBEXaggData 2 6" xfId="612"/>
    <cellStyle name="SAPBEXaggData 2 7" xfId="613"/>
    <cellStyle name="SAPBEXaggData 2 8" xfId="614"/>
    <cellStyle name="SAPBEXaggData 2 9" xfId="615"/>
    <cellStyle name="SAPBEXaggData 3" xfId="616"/>
    <cellStyle name="SAPBEXaggData 4" xfId="617"/>
    <cellStyle name="SAPBEXaggData 5" xfId="618"/>
    <cellStyle name="SAPBEXaggData 6" xfId="619"/>
    <cellStyle name="SAPBEXaggData 7" xfId="620"/>
    <cellStyle name="SAPBEXaggData 8" xfId="621"/>
    <cellStyle name="SAPBEXaggData 9" xfId="622"/>
    <cellStyle name="SAPBEXaggDataEmph" xfId="24"/>
    <cellStyle name="SAPBEXaggDataEmph 10" xfId="623"/>
    <cellStyle name="SAPBEXaggDataEmph 11" xfId="624"/>
    <cellStyle name="SAPBEXaggDataEmph 12" xfId="625"/>
    <cellStyle name="SAPBEXaggDataEmph 2" xfId="626"/>
    <cellStyle name="SAPBEXaggDataEmph 2 10" xfId="627"/>
    <cellStyle name="SAPBEXaggDataEmph 2 2" xfId="628"/>
    <cellStyle name="SAPBEXaggDataEmph 2 3" xfId="629"/>
    <cellStyle name="SAPBEXaggDataEmph 2 4" xfId="630"/>
    <cellStyle name="SAPBEXaggDataEmph 2 5" xfId="631"/>
    <cellStyle name="SAPBEXaggDataEmph 2 6" xfId="632"/>
    <cellStyle name="SAPBEXaggDataEmph 2 7" xfId="633"/>
    <cellStyle name="SAPBEXaggDataEmph 2 8" xfId="634"/>
    <cellStyle name="SAPBEXaggDataEmph 2 9" xfId="635"/>
    <cellStyle name="SAPBEXaggDataEmph 3" xfId="636"/>
    <cellStyle name="SAPBEXaggDataEmph 4" xfId="637"/>
    <cellStyle name="SAPBEXaggDataEmph 5" xfId="638"/>
    <cellStyle name="SAPBEXaggDataEmph 6" xfId="639"/>
    <cellStyle name="SAPBEXaggDataEmph 7" xfId="640"/>
    <cellStyle name="SAPBEXaggDataEmph 8" xfId="641"/>
    <cellStyle name="SAPBEXaggDataEmph 9" xfId="642"/>
    <cellStyle name="SAPBEXaggItem" xfId="9"/>
    <cellStyle name="SAPBEXaggItem 10" xfId="643"/>
    <cellStyle name="SAPBEXaggItem 11" xfId="644"/>
    <cellStyle name="SAPBEXaggItem 2" xfId="645"/>
    <cellStyle name="SAPBEXaggItem 2 10" xfId="646"/>
    <cellStyle name="SAPBEXaggItem 2 11" xfId="647"/>
    <cellStyle name="SAPBEXaggItem 2 2" xfId="648"/>
    <cellStyle name="SAPBEXaggItem 2 3" xfId="649"/>
    <cellStyle name="SAPBEXaggItem 2 4" xfId="650"/>
    <cellStyle name="SAPBEXaggItem 2 5" xfId="651"/>
    <cellStyle name="SAPBEXaggItem 2 6" xfId="652"/>
    <cellStyle name="SAPBEXaggItem 2 7" xfId="653"/>
    <cellStyle name="SAPBEXaggItem 2 8" xfId="654"/>
    <cellStyle name="SAPBEXaggItem 2 9" xfId="655"/>
    <cellStyle name="SAPBEXaggItem 3" xfId="656"/>
    <cellStyle name="SAPBEXaggItem 4" xfId="657"/>
    <cellStyle name="SAPBEXaggItem 5" xfId="658"/>
    <cellStyle name="SAPBEXaggItem 6" xfId="659"/>
    <cellStyle name="SAPBEXaggItem 7" xfId="660"/>
    <cellStyle name="SAPBEXaggItem 8" xfId="661"/>
    <cellStyle name="SAPBEXaggItem 9" xfId="662"/>
    <cellStyle name="SAPBEXaggItemX" xfId="25"/>
    <cellStyle name="SAPBEXaggItemX 10" xfId="663"/>
    <cellStyle name="SAPBEXaggItemX 11" xfId="664"/>
    <cellStyle name="SAPBEXaggItemX 12" xfId="665"/>
    <cellStyle name="SAPBEXaggItemX 2" xfId="666"/>
    <cellStyle name="SAPBEXaggItemX 2 10" xfId="667"/>
    <cellStyle name="SAPBEXaggItemX 2 2" xfId="668"/>
    <cellStyle name="SAPBEXaggItemX 2 3" xfId="669"/>
    <cellStyle name="SAPBEXaggItemX 2 4" xfId="670"/>
    <cellStyle name="SAPBEXaggItemX 2 5" xfId="671"/>
    <cellStyle name="SAPBEXaggItemX 2 6" xfId="672"/>
    <cellStyle name="SAPBEXaggItemX 2 7" xfId="673"/>
    <cellStyle name="SAPBEXaggItemX 2 8" xfId="674"/>
    <cellStyle name="SAPBEXaggItemX 2 9" xfId="675"/>
    <cellStyle name="SAPBEXaggItemX 3" xfId="676"/>
    <cellStyle name="SAPBEXaggItemX 4" xfId="677"/>
    <cellStyle name="SAPBEXaggItemX 5" xfId="678"/>
    <cellStyle name="SAPBEXaggItemX 6" xfId="679"/>
    <cellStyle name="SAPBEXaggItemX 7" xfId="680"/>
    <cellStyle name="SAPBEXaggItemX 8" xfId="681"/>
    <cellStyle name="SAPBEXaggItemX 9" xfId="682"/>
    <cellStyle name="SAPBEXexcBad7" xfId="26"/>
    <cellStyle name="SAPBEXexcBad7 10" xfId="683"/>
    <cellStyle name="SAPBEXexcBad7 11" xfId="684"/>
    <cellStyle name="SAPBEXexcBad7 12" xfId="685"/>
    <cellStyle name="SAPBEXexcBad7 2" xfId="686"/>
    <cellStyle name="SAPBEXexcBad7 2 10" xfId="687"/>
    <cellStyle name="SAPBEXexcBad7 2 2" xfId="688"/>
    <cellStyle name="SAPBEXexcBad7 2 3" xfId="689"/>
    <cellStyle name="SAPBEXexcBad7 2 4" xfId="690"/>
    <cellStyle name="SAPBEXexcBad7 2 5" xfId="691"/>
    <cellStyle name="SAPBEXexcBad7 2 6" xfId="692"/>
    <cellStyle name="SAPBEXexcBad7 2 7" xfId="693"/>
    <cellStyle name="SAPBEXexcBad7 2 8" xfId="694"/>
    <cellStyle name="SAPBEXexcBad7 2 9" xfId="695"/>
    <cellStyle name="SAPBEXexcBad7 3" xfId="696"/>
    <cellStyle name="SAPBEXexcBad7 4" xfId="697"/>
    <cellStyle name="SAPBEXexcBad7 5" xfId="698"/>
    <cellStyle name="SAPBEXexcBad7 6" xfId="699"/>
    <cellStyle name="SAPBEXexcBad7 7" xfId="700"/>
    <cellStyle name="SAPBEXexcBad7 8" xfId="701"/>
    <cellStyle name="SAPBEXexcBad7 9" xfId="702"/>
    <cellStyle name="SAPBEXexcBad8" xfId="27"/>
    <cellStyle name="SAPBEXexcBad8 10" xfId="703"/>
    <cellStyle name="SAPBEXexcBad8 11" xfId="704"/>
    <cellStyle name="SAPBEXexcBad8 12" xfId="705"/>
    <cellStyle name="SAPBEXexcBad8 2" xfId="706"/>
    <cellStyle name="SAPBEXexcBad8 2 10" xfId="707"/>
    <cellStyle name="SAPBEXexcBad8 2 2" xfId="708"/>
    <cellStyle name="SAPBEXexcBad8 2 3" xfId="709"/>
    <cellStyle name="SAPBEXexcBad8 2 4" xfId="710"/>
    <cellStyle name="SAPBEXexcBad8 2 5" xfId="711"/>
    <cellStyle name="SAPBEXexcBad8 2 6" xfId="712"/>
    <cellStyle name="SAPBEXexcBad8 2 7" xfId="713"/>
    <cellStyle name="SAPBEXexcBad8 2 8" xfId="714"/>
    <cellStyle name="SAPBEXexcBad8 2 9" xfId="715"/>
    <cellStyle name="SAPBEXexcBad8 3" xfId="716"/>
    <cellStyle name="SAPBEXexcBad8 4" xfId="717"/>
    <cellStyle name="SAPBEXexcBad8 5" xfId="718"/>
    <cellStyle name="SAPBEXexcBad8 6" xfId="719"/>
    <cellStyle name="SAPBEXexcBad8 7" xfId="720"/>
    <cellStyle name="SAPBEXexcBad8 8" xfId="721"/>
    <cellStyle name="SAPBEXexcBad8 9" xfId="722"/>
    <cellStyle name="SAPBEXexcBad9" xfId="28"/>
    <cellStyle name="SAPBEXexcBad9 10" xfId="723"/>
    <cellStyle name="SAPBEXexcBad9 11" xfId="724"/>
    <cellStyle name="SAPBEXexcBad9 12" xfId="725"/>
    <cellStyle name="SAPBEXexcBad9 2" xfId="726"/>
    <cellStyle name="SAPBEXexcBad9 2 10" xfId="727"/>
    <cellStyle name="SAPBEXexcBad9 2 2" xfId="728"/>
    <cellStyle name="SAPBEXexcBad9 2 3" xfId="729"/>
    <cellStyle name="SAPBEXexcBad9 2 4" xfId="730"/>
    <cellStyle name="SAPBEXexcBad9 2 5" xfId="731"/>
    <cellStyle name="SAPBEXexcBad9 2 6" xfId="732"/>
    <cellStyle name="SAPBEXexcBad9 2 7" xfId="733"/>
    <cellStyle name="SAPBEXexcBad9 2 8" xfId="734"/>
    <cellStyle name="SAPBEXexcBad9 2 9" xfId="735"/>
    <cellStyle name="SAPBEXexcBad9 3" xfId="736"/>
    <cellStyle name="SAPBEXexcBad9 4" xfId="737"/>
    <cellStyle name="SAPBEXexcBad9 5" xfId="738"/>
    <cellStyle name="SAPBEXexcBad9 6" xfId="739"/>
    <cellStyle name="SAPBEXexcBad9 7" xfId="740"/>
    <cellStyle name="SAPBEXexcBad9 8" xfId="741"/>
    <cellStyle name="SAPBEXexcBad9 9" xfId="742"/>
    <cellStyle name="SAPBEXexcCritical4" xfId="29"/>
    <cellStyle name="SAPBEXexcCritical4 10" xfId="743"/>
    <cellStyle name="SAPBEXexcCritical4 11" xfId="744"/>
    <cellStyle name="SAPBEXexcCritical4 12" xfId="745"/>
    <cellStyle name="SAPBEXexcCritical4 2" xfId="746"/>
    <cellStyle name="SAPBEXexcCritical4 2 10" xfId="747"/>
    <cellStyle name="SAPBEXexcCritical4 2 2" xfId="748"/>
    <cellStyle name="SAPBEXexcCritical4 2 3" xfId="749"/>
    <cellStyle name="SAPBEXexcCritical4 2 4" xfId="750"/>
    <cellStyle name="SAPBEXexcCritical4 2 5" xfId="751"/>
    <cellStyle name="SAPBEXexcCritical4 2 6" xfId="752"/>
    <cellStyle name="SAPBEXexcCritical4 2 7" xfId="753"/>
    <cellStyle name="SAPBEXexcCritical4 2 8" xfId="754"/>
    <cellStyle name="SAPBEXexcCritical4 2 9" xfId="755"/>
    <cellStyle name="SAPBEXexcCritical4 3" xfId="756"/>
    <cellStyle name="SAPBEXexcCritical4 4" xfId="757"/>
    <cellStyle name="SAPBEXexcCritical4 5" xfId="758"/>
    <cellStyle name="SAPBEXexcCritical4 6" xfId="759"/>
    <cellStyle name="SAPBEXexcCritical4 7" xfId="760"/>
    <cellStyle name="SAPBEXexcCritical4 8" xfId="761"/>
    <cellStyle name="SAPBEXexcCritical4 9" xfId="762"/>
    <cellStyle name="SAPBEXexcCritical5" xfId="30"/>
    <cellStyle name="SAPBEXexcCritical5 10" xfId="763"/>
    <cellStyle name="SAPBEXexcCritical5 11" xfId="764"/>
    <cellStyle name="SAPBEXexcCritical5 12" xfId="765"/>
    <cellStyle name="SAPBEXexcCritical5 2" xfId="766"/>
    <cellStyle name="SAPBEXexcCritical5 2 10" xfId="767"/>
    <cellStyle name="SAPBEXexcCritical5 2 2" xfId="768"/>
    <cellStyle name="SAPBEXexcCritical5 2 3" xfId="769"/>
    <cellStyle name="SAPBEXexcCritical5 2 4" xfId="770"/>
    <cellStyle name="SAPBEXexcCritical5 2 5" xfId="771"/>
    <cellStyle name="SAPBEXexcCritical5 2 6" xfId="772"/>
    <cellStyle name="SAPBEXexcCritical5 2 7" xfId="773"/>
    <cellStyle name="SAPBEXexcCritical5 2 8" xfId="774"/>
    <cellStyle name="SAPBEXexcCritical5 2 9" xfId="775"/>
    <cellStyle name="SAPBEXexcCritical5 3" xfId="776"/>
    <cellStyle name="SAPBEXexcCritical5 4" xfId="777"/>
    <cellStyle name="SAPBEXexcCritical5 5" xfId="778"/>
    <cellStyle name="SAPBEXexcCritical5 6" xfId="779"/>
    <cellStyle name="SAPBEXexcCritical5 7" xfId="780"/>
    <cellStyle name="SAPBEXexcCritical5 8" xfId="781"/>
    <cellStyle name="SAPBEXexcCritical5 9" xfId="782"/>
    <cellStyle name="SAPBEXexcCritical6" xfId="31"/>
    <cellStyle name="SAPBEXexcCritical6 10" xfId="783"/>
    <cellStyle name="SAPBEXexcCritical6 11" xfId="784"/>
    <cellStyle name="SAPBEXexcCritical6 12" xfId="785"/>
    <cellStyle name="SAPBEXexcCritical6 2" xfId="786"/>
    <cellStyle name="SAPBEXexcCritical6 2 10" xfId="787"/>
    <cellStyle name="SAPBEXexcCritical6 2 2" xfId="788"/>
    <cellStyle name="SAPBEXexcCritical6 2 3" xfId="789"/>
    <cellStyle name="SAPBEXexcCritical6 2 4" xfId="790"/>
    <cellStyle name="SAPBEXexcCritical6 2 5" xfId="791"/>
    <cellStyle name="SAPBEXexcCritical6 2 6" xfId="792"/>
    <cellStyle name="SAPBEXexcCritical6 2 7" xfId="793"/>
    <cellStyle name="SAPBEXexcCritical6 2 8" xfId="794"/>
    <cellStyle name="SAPBEXexcCritical6 2 9" xfId="795"/>
    <cellStyle name="SAPBEXexcCritical6 3" xfId="796"/>
    <cellStyle name="SAPBEXexcCritical6 4" xfId="797"/>
    <cellStyle name="SAPBEXexcCritical6 5" xfId="798"/>
    <cellStyle name="SAPBEXexcCritical6 6" xfId="799"/>
    <cellStyle name="SAPBEXexcCritical6 7" xfId="800"/>
    <cellStyle name="SAPBEXexcCritical6 8" xfId="801"/>
    <cellStyle name="SAPBEXexcCritical6 9" xfId="802"/>
    <cellStyle name="SAPBEXexcGood1" xfId="32"/>
    <cellStyle name="SAPBEXexcGood1 10" xfId="803"/>
    <cellStyle name="SAPBEXexcGood1 11" xfId="804"/>
    <cellStyle name="SAPBEXexcGood1 12" xfId="805"/>
    <cellStyle name="SAPBEXexcGood1 2" xfId="806"/>
    <cellStyle name="SAPBEXexcGood1 2 10" xfId="807"/>
    <cellStyle name="SAPBEXexcGood1 2 2" xfId="808"/>
    <cellStyle name="SAPBEXexcGood1 2 3" xfId="809"/>
    <cellStyle name="SAPBEXexcGood1 2 4" xfId="810"/>
    <cellStyle name="SAPBEXexcGood1 2 5" xfId="811"/>
    <cellStyle name="SAPBEXexcGood1 2 6" xfId="812"/>
    <cellStyle name="SAPBEXexcGood1 2 7" xfId="813"/>
    <cellStyle name="SAPBEXexcGood1 2 8" xfId="814"/>
    <cellStyle name="SAPBEXexcGood1 2 9" xfId="815"/>
    <cellStyle name="SAPBEXexcGood1 3" xfId="816"/>
    <cellStyle name="SAPBEXexcGood1 4" xfId="817"/>
    <cellStyle name="SAPBEXexcGood1 5" xfId="818"/>
    <cellStyle name="SAPBEXexcGood1 6" xfId="819"/>
    <cellStyle name="SAPBEXexcGood1 7" xfId="820"/>
    <cellStyle name="SAPBEXexcGood1 8" xfId="821"/>
    <cellStyle name="SAPBEXexcGood1 9" xfId="822"/>
    <cellStyle name="SAPBEXexcGood2" xfId="33"/>
    <cellStyle name="SAPBEXexcGood2 10" xfId="823"/>
    <cellStyle name="SAPBEXexcGood2 11" xfId="824"/>
    <cellStyle name="SAPBEXexcGood2 12" xfId="825"/>
    <cellStyle name="SAPBEXexcGood2 2" xfId="826"/>
    <cellStyle name="SAPBEXexcGood2 2 10" xfId="827"/>
    <cellStyle name="SAPBEXexcGood2 2 2" xfId="828"/>
    <cellStyle name="SAPBEXexcGood2 2 3" xfId="829"/>
    <cellStyle name="SAPBEXexcGood2 2 4" xfId="830"/>
    <cellStyle name="SAPBEXexcGood2 2 5" xfId="831"/>
    <cellStyle name="SAPBEXexcGood2 2 6" xfId="832"/>
    <cellStyle name="SAPBEXexcGood2 2 7" xfId="833"/>
    <cellStyle name="SAPBEXexcGood2 2 8" xfId="834"/>
    <cellStyle name="SAPBEXexcGood2 2 9" xfId="835"/>
    <cellStyle name="SAPBEXexcGood2 3" xfId="836"/>
    <cellStyle name="SAPBEXexcGood2 4" xfId="837"/>
    <cellStyle name="SAPBEXexcGood2 5" xfId="838"/>
    <cellStyle name="SAPBEXexcGood2 6" xfId="839"/>
    <cellStyle name="SAPBEXexcGood2 7" xfId="840"/>
    <cellStyle name="SAPBEXexcGood2 8" xfId="841"/>
    <cellStyle name="SAPBEXexcGood2 9" xfId="842"/>
    <cellStyle name="SAPBEXexcGood3" xfId="34"/>
    <cellStyle name="SAPBEXexcGood3 10" xfId="843"/>
    <cellStyle name="SAPBEXexcGood3 11" xfId="844"/>
    <cellStyle name="SAPBEXexcGood3 12" xfId="845"/>
    <cellStyle name="SAPBEXexcGood3 2" xfId="846"/>
    <cellStyle name="SAPBEXexcGood3 2 10" xfId="847"/>
    <cellStyle name="SAPBEXexcGood3 2 2" xfId="848"/>
    <cellStyle name="SAPBEXexcGood3 2 3" xfId="849"/>
    <cellStyle name="SAPBEXexcGood3 2 4" xfId="850"/>
    <cellStyle name="SAPBEXexcGood3 2 5" xfId="851"/>
    <cellStyle name="SAPBEXexcGood3 2 6" xfId="852"/>
    <cellStyle name="SAPBEXexcGood3 2 7" xfId="853"/>
    <cellStyle name="SAPBEXexcGood3 2 8" xfId="854"/>
    <cellStyle name="SAPBEXexcGood3 2 9" xfId="855"/>
    <cellStyle name="SAPBEXexcGood3 3" xfId="856"/>
    <cellStyle name="SAPBEXexcGood3 4" xfId="857"/>
    <cellStyle name="SAPBEXexcGood3 5" xfId="858"/>
    <cellStyle name="SAPBEXexcGood3 6" xfId="859"/>
    <cellStyle name="SAPBEXexcGood3 7" xfId="860"/>
    <cellStyle name="SAPBEXexcGood3 8" xfId="861"/>
    <cellStyle name="SAPBEXexcGood3 9" xfId="862"/>
    <cellStyle name="SAPBEXfilterDrill" xfId="35"/>
    <cellStyle name="SAPBEXfilterDrill 10" xfId="863"/>
    <cellStyle name="SAPBEXfilterDrill 11" xfId="864"/>
    <cellStyle name="SAPBEXfilterDrill 12" xfId="865"/>
    <cellStyle name="SAPBEXfilterDrill 2" xfId="866"/>
    <cellStyle name="SAPBEXfilterDrill 2 10" xfId="867"/>
    <cellStyle name="SAPBEXfilterDrill 2 2" xfId="868"/>
    <cellStyle name="SAPBEXfilterDrill 2 3" xfId="869"/>
    <cellStyle name="SAPBEXfilterDrill 2 4" xfId="870"/>
    <cellStyle name="SAPBEXfilterDrill 2 5" xfId="871"/>
    <cellStyle name="SAPBEXfilterDrill 2 6" xfId="872"/>
    <cellStyle name="SAPBEXfilterDrill 2 7" xfId="873"/>
    <cellStyle name="SAPBEXfilterDrill 2 8" xfId="874"/>
    <cellStyle name="SAPBEXfilterDrill 2 9" xfId="875"/>
    <cellStyle name="SAPBEXfilterDrill 3" xfId="876"/>
    <cellStyle name="SAPBEXfilterDrill 4" xfId="877"/>
    <cellStyle name="SAPBEXfilterDrill 5" xfId="878"/>
    <cellStyle name="SAPBEXfilterDrill 6" xfId="879"/>
    <cellStyle name="SAPBEXfilterDrill 7" xfId="880"/>
    <cellStyle name="SAPBEXfilterDrill 8" xfId="881"/>
    <cellStyle name="SAPBEXfilterDrill 9" xfId="882"/>
    <cellStyle name="SAPBEXfilterItem" xfId="36"/>
    <cellStyle name="SAPBEXfilterItem 10" xfId="883"/>
    <cellStyle name="SAPBEXfilterItem 11" xfId="884"/>
    <cellStyle name="SAPBEXfilterItem 12" xfId="885"/>
    <cellStyle name="SAPBEXfilterItem 2" xfId="886"/>
    <cellStyle name="SAPBEXfilterItem 2 10" xfId="887"/>
    <cellStyle name="SAPBEXfilterItem 2 2" xfId="888"/>
    <cellStyle name="SAPBEXfilterItem 2 3" xfId="889"/>
    <cellStyle name="SAPBEXfilterItem 2 4" xfId="890"/>
    <cellStyle name="SAPBEXfilterItem 2 5" xfId="891"/>
    <cellStyle name="SAPBEXfilterItem 2 6" xfId="892"/>
    <cellStyle name="SAPBEXfilterItem 2 7" xfId="893"/>
    <cellStyle name="SAPBEXfilterItem 2 8" xfId="894"/>
    <cellStyle name="SAPBEXfilterItem 2 9" xfId="895"/>
    <cellStyle name="SAPBEXfilterItem 3" xfId="896"/>
    <cellStyle name="SAPBEXfilterItem 4" xfId="897"/>
    <cellStyle name="SAPBEXfilterItem 5" xfId="898"/>
    <cellStyle name="SAPBEXfilterItem 6" xfId="899"/>
    <cellStyle name="SAPBEXfilterItem 7" xfId="900"/>
    <cellStyle name="SAPBEXfilterItem 8" xfId="901"/>
    <cellStyle name="SAPBEXfilterItem 9" xfId="902"/>
    <cellStyle name="SAPBEXfilterText" xfId="37"/>
    <cellStyle name="SAPBEXfilterText 10" xfId="903"/>
    <cellStyle name="SAPBEXfilterText 11" xfId="904"/>
    <cellStyle name="SAPBEXfilterText 12" xfId="905"/>
    <cellStyle name="SAPBEXfilterText 2" xfId="906"/>
    <cellStyle name="SAPBEXfilterText 2 10" xfId="907"/>
    <cellStyle name="SAPBEXfilterText 2 2" xfId="908"/>
    <cellStyle name="SAPBEXfilterText 2 3" xfId="909"/>
    <cellStyle name="SAPBEXfilterText 2 4" xfId="910"/>
    <cellStyle name="SAPBEXfilterText 2 5" xfId="911"/>
    <cellStyle name="SAPBEXfilterText 2 6" xfId="912"/>
    <cellStyle name="SAPBEXfilterText 2 7" xfId="913"/>
    <cellStyle name="SAPBEXfilterText 2 8" xfId="914"/>
    <cellStyle name="SAPBEXfilterText 2 9" xfId="915"/>
    <cellStyle name="SAPBEXfilterText 3" xfId="916"/>
    <cellStyle name="SAPBEXfilterText 4" xfId="917"/>
    <cellStyle name="SAPBEXfilterText 5" xfId="918"/>
    <cellStyle name="SAPBEXfilterText 6" xfId="919"/>
    <cellStyle name="SAPBEXfilterText 7" xfId="920"/>
    <cellStyle name="SAPBEXfilterText 8" xfId="921"/>
    <cellStyle name="SAPBEXfilterText 9" xfId="922"/>
    <cellStyle name="SAPBEXformats" xfId="38"/>
    <cellStyle name="SAPBEXformats 10" xfId="923"/>
    <cellStyle name="SAPBEXformats 11" xfId="924"/>
    <cellStyle name="SAPBEXformats 12" xfId="925"/>
    <cellStyle name="SAPBEXformats 2" xfId="926"/>
    <cellStyle name="SAPBEXformats 2 10" xfId="927"/>
    <cellStyle name="SAPBEXformats 2 2" xfId="928"/>
    <cellStyle name="SAPBEXformats 2 3" xfId="929"/>
    <cellStyle name="SAPBEXformats 2 4" xfId="930"/>
    <cellStyle name="SAPBEXformats 2 5" xfId="931"/>
    <cellStyle name="SAPBEXformats 2 6" xfId="932"/>
    <cellStyle name="SAPBEXformats 2 7" xfId="933"/>
    <cellStyle name="SAPBEXformats 2 8" xfId="934"/>
    <cellStyle name="SAPBEXformats 2 9" xfId="935"/>
    <cellStyle name="SAPBEXformats 3" xfId="936"/>
    <cellStyle name="SAPBEXformats 4" xfId="937"/>
    <cellStyle name="SAPBEXformats 5" xfId="938"/>
    <cellStyle name="SAPBEXformats 6" xfId="939"/>
    <cellStyle name="SAPBEXformats 7" xfId="940"/>
    <cellStyle name="SAPBEXformats 8" xfId="941"/>
    <cellStyle name="SAPBEXformats 9" xfId="942"/>
    <cellStyle name="SAPBEXheaderItem" xfId="39"/>
    <cellStyle name="SAPBEXheaderItem 10" xfId="943"/>
    <cellStyle name="SAPBEXheaderItem 11" xfId="944"/>
    <cellStyle name="SAPBEXheaderItem 12" xfId="945"/>
    <cellStyle name="SAPBEXheaderItem 2" xfId="946"/>
    <cellStyle name="SAPBEXheaderItem 2 10" xfId="947"/>
    <cellStyle name="SAPBEXheaderItem 2 2" xfId="948"/>
    <cellStyle name="SAPBEXheaderItem 2 3" xfId="949"/>
    <cellStyle name="SAPBEXheaderItem 2 4" xfId="950"/>
    <cellStyle name="SAPBEXheaderItem 2 5" xfId="951"/>
    <cellStyle name="SAPBEXheaderItem 2 6" xfId="952"/>
    <cellStyle name="SAPBEXheaderItem 2 7" xfId="953"/>
    <cellStyle name="SAPBEXheaderItem 2 8" xfId="954"/>
    <cellStyle name="SAPBEXheaderItem 2 9" xfId="955"/>
    <cellStyle name="SAPBEXheaderItem 3" xfId="956"/>
    <cellStyle name="SAPBEXheaderItem 4" xfId="957"/>
    <cellStyle name="SAPBEXheaderItem 5" xfId="958"/>
    <cellStyle name="SAPBEXheaderItem 6" xfId="959"/>
    <cellStyle name="SAPBEXheaderItem 7" xfId="960"/>
    <cellStyle name="SAPBEXheaderItem 8" xfId="961"/>
    <cellStyle name="SAPBEXheaderItem 9" xfId="962"/>
    <cellStyle name="SAPBEXheaderText" xfId="40"/>
    <cellStyle name="SAPBEXheaderText 10" xfId="963"/>
    <cellStyle name="SAPBEXheaderText 11" xfId="964"/>
    <cellStyle name="SAPBEXheaderText 12" xfId="965"/>
    <cellStyle name="SAPBEXheaderText 2" xfId="966"/>
    <cellStyle name="SAPBEXheaderText 2 10" xfId="967"/>
    <cellStyle name="SAPBEXheaderText 2 2" xfId="968"/>
    <cellStyle name="SAPBEXheaderText 2 3" xfId="969"/>
    <cellStyle name="SAPBEXheaderText 2 4" xfId="970"/>
    <cellStyle name="SAPBEXheaderText 2 5" xfId="971"/>
    <cellStyle name="SAPBEXheaderText 2 6" xfId="972"/>
    <cellStyle name="SAPBEXheaderText 2 7" xfId="973"/>
    <cellStyle name="SAPBEXheaderText 2 8" xfId="974"/>
    <cellStyle name="SAPBEXheaderText 2 9" xfId="975"/>
    <cellStyle name="SAPBEXheaderText 3" xfId="976"/>
    <cellStyle name="SAPBEXheaderText 4" xfId="977"/>
    <cellStyle name="SAPBEXheaderText 5" xfId="978"/>
    <cellStyle name="SAPBEXheaderText 6" xfId="979"/>
    <cellStyle name="SAPBEXheaderText 7" xfId="980"/>
    <cellStyle name="SAPBEXheaderText 8" xfId="981"/>
    <cellStyle name="SAPBEXheaderText 9" xfId="982"/>
    <cellStyle name="SAPBEXHLevel0" xfId="41"/>
    <cellStyle name="SAPBEXHLevel0 10" xfId="983"/>
    <cellStyle name="SAPBEXHLevel0 11" xfId="984"/>
    <cellStyle name="SAPBEXHLevel0 12" xfId="985"/>
    <cellStyle name="SAPBEXHLevel0 2" xfId="986"/>
    <cellStyle name="SAPBEXHLevel0 2 10" xfId="987"/>
    <cellStyle name="SAPBEXHLevel0 2 11" xfId="988"/>
    <cellStyle name="SAPBEXHLevel0 2 2" xfId="989"/>
    <cellStyle name="SAPBEXHLevel0 2 3" xfId="990"/>
    <cellStyle name="SAPBEXHLevel0 2 4" xfId="991"/>
    <cellStyle name="SAPBEXHLevel0 2 5" xfId="992"/>
    <cellStyle name="SAPBEXHLevel0 2 6" xfId="993"/>
    <cellStyle name="SAPBEXHLevel0 2 7" xfId="994"/>
    <cellStyle name="SAPBEXHLevel0 2 8" xfId="995"/>
    <cellStyle name="SAPBEXHLevel0 2 9" xfId="996"/>
    <cellStyle name="SAPBEXHLevel0 3" xfId="997"/>
    <cellStyle name="SAPBEXHLevel0 4" xfId="998"/>
    <cellStyle name="SAPBEXHLevel0 5" xfId="999"/>
    <cellStyle name="SAPBEXHLevel0 6" xfId="1000"/>
    <cellStyle name="SAPBEXHLevel0 7" xfId="1001"/>
    <cellStyle name="SAPBEXHLevel0 8" xfId="1002"/>
    <cellStyle name="SAPBEXHLevel0 9" xfId="1003"/>
    <cellStyle name="SAPBEXHLevel0X" xfId="42"/>
    <cellStyle name="SAPBEXHLevel0X 10" xfId="1004"/>
    <cellStyle name="SAPBEXHLevel0X 11" xfId="1005"/>
    <cellStyle name="SAPBEXHLevel0X 12" xfId="1006"/>
    <cellStyle name="SAPBEXHLevel0X 2" xfId="1007"/>
    <cellStyle name="SAPBEXHLevel0X 2 10" xfId="1008"/>
    <cellStyle name="SAPBEXHLevel0X 2 2" xfId="1009"/>
    <cellStyle name="SAPBEXHLevel0X 2 3" xfId="1010"/>
    <cellStyle name="SAPBEXHLevel0X 2 4" xfId="1011"/>
    <cellStyle name="SAPBEXHLevel0X 2 5" xfId="1012"/>
    <cellStyle name="SAPBEXHLevel0X 2 6" xfId="1013"/>
    <cellStyle name="SAPBEXHLevel0X 2 7" xfId="1014"/>
    <cellStyle name="SAPBEXHLevel0X 2 8" xfId="1015"/>
    <cellStyle name="SAPBEXHLevel0X 2 9" xfId="1016"/>
    <cellStyle name="SAPBEXHLevel0X 3" xfId="1017"/>
    <cellStyle name="SAPBEXHLevel0X 4" xfId="1018"/>
    <cellStyle name="SAPBEXHLevel0X 5" xfId="1019"/>
    <cellStyle name="SAPBEXHLevel0X 6" xfId="1020"/>
    <cellStyle name="SAPBEXHLevel0X 7" xfId="1021"/>
    <cellStyle name="SAPBEXHLevel0X 8" xfId="1022"/>
    <cellStyle name="SAPBEXHLevel0X 9" xfId="1023"/>
    <cellStyle name="SAPBEXHLevel1" xfId="43"/>
    <cellStyle name="SAPBEXHLevel1 10" xfId="1024"/>
    <cellStyle name="SAPBEXHLevel1 11" xfId="1025"/>
    <cellStyle name="SAPBEXHLevel1 12" xfId="1026"/>
    <cellStyle name="SAPBEXHLevel1 2" xfId="1027"/>
    <cellStyle name="SAPBEXHLevel1 2 10" xfId="1028"/>
    <cellStyle name="SAPBEXHLevel1 2 11" xfId="1029"/>
    <cellStyle name="SAPBEXHLevel1 2 2" xfId="1030"/>
    <cellStyle name="SAPBEXHLevel1 2 3" xfId="1031"/>
    <cellStyle name="SAPBEXHLevel1 2 4" xfId="1032"/>
    <cellStyle name="SAPBEXHLevel1 2 5" xfId="1033"/>
    <cellStyle name="SAPBEXHLevel1 2 6" xfId="1034"/>
    <cellStyle name="SAPBEXHLevel1 2 7" xfId="1035"/>
    <cellStyle name="SAPBEXHLevel1 2 8" xfId="1036"/>
    <cellStyle name="SAPBEXHLevel1 2 9" xfId="1037"/>
    <cellStyle name="SAPBEXHLevel1 3" xfId="1038"/>
    <cellStyle name="SAPBEXHLevel1 4" xfId="1039"/>
    <cellStyle name="SAPBEXHLevel1 5" xfId="1040"/>
    <cellStyle name="SAPBEXHLevel1 6" xfId="1041"/>
    <cellStyle name="SAPBEXHLevel1 7" xfId="1042"/>
    <cellStyle name="SAPBEXHLevel1 8" xfId="1043"/>
    <cellStyle name="SAPBEXHLevel1 9" xfId="1044"/>
    <cellStyle name="SAPBEXHLevel1X" xfId="44"/>
    <cellStyle name="SAPBEXHLevel1X 10" xfId="1045"/>
    <cellStyle name="SAPBEXHLevel1X 11" xfId="1046"/>
    <cellStyle name="SAPBEXHLevel1X 12" xfId="1047"/>
    <cellStyle name="SAPBEXHLevel1X 2" xfId="1048"/>
    <cellStyle name="SAPBEXHLevel1X 2 10" xfId="1049"/>
    <cellStyle name="SAPBEXHLevel1X 2 2" xfId="1050"/>
    <cellStyle name="SAPBEXHLevel1X 2 3" xfId="1051"/>
    <cellStyle name="SAPBEXHLevel1X 2 4" xfId="1052"/>
    <cellStyle name="SAPBEXHLevel1X 2 5" xfId="1053"/>
    <cellStyle name="SAPBEXHLevel1X 2 6" xfId="1054"/>
    <cellStyle name="SAPBEXHLevel1X 2 7" xfId="1055"/>
    <cellStyle name="SAPBEXHLevel1X 2 8" xfId="1056"/>
    <cellStyle name="SAPBEXHLevel1X 2 9" xfId="1057"/>
    <cellStyle name="SAPBEXHLevel1X 3" xfId="1058"/>
    <cellStyle name="SAPBEXHLevel1X 4" xfId="1059"/>
    <cellStyle name="SAPBEXHLevel1X 5" xfId="1060"/>
    <cellStyle name="SAPBEXHLevel1X 6" xfId="1061"/>
    <cellStyle name="SAPBEXHLevel1X 7" xfId="1062"/>
    <cellStyle name="SAPBEXHLevel1X 8" xfId="1063"/>
    <cellStyle name="SAPBEXHLevel1X 9" xfId="1064"/>
    <cellStyle name="SAPBEXHLevel2" xfId="45"/>
    <cellStyle name="SAPBEXHLevel2 10" xfId="1065"/>
    <cellStyle name="SAPBEXHLevel2 11" xfId="1066"/>
    <cellStyle name="SAPBEXHLevel2 12" xfId="1067"/>
    <cellStyle name="SAPBEXHLevel2 2" xfId="1068"/>
    <cellStyle name="SAPBEXHLevel2 2 10" xfId="1069"/>
    <cellStyle name="SAPBEXHLevel2 2 2" xfId="1070"/>
    <cellStyle name="SAPBEXHLevel2 2 3" xfId="1071"/>
    <cellStyle name="SAPBEXHLevel2 2 4" xfId="1072"/>
    <cellStyle name="SAPBEXHLevel2 2 5" xfId="1073"/>
    <cellStyle name="SAPBEXHLevel2 2 6" xfId="1074"/>
    <cellStyle name="SAPBEXHLevel2 2 7" xfId="1075"/>
    <cellStyle name="SAPBEXHLevel2 2 8" xfId="1076"/>
    <cellStyle name="SAPBEXHLevel2 2 9" xfId="1077"/>
    <cellStyle name="SAPBEXHLevel2 3" xfId="1078"/>
    <cellStyle name="SAPBEXHLevel2 4" xfId="1079"/>
    <cellStyle name="SAPBEXHLevel2 5" xfId="1080"/>
    <cellStyle name="SAPBEXHLevel2 6" xfId="1081"/>
    <cellStyle name="SAPBEXHLevel2 7" xfId="1082"/>
    <cellStyle name="SAPBEXHLevel2 8" xfId="1083"/>
    <cellStyle name="SAPBEXHLevel2 9" xfId="1084"/>
    <cellStyle name="SAPBEXHLevel2X" xfId="46"/>
    <cellStyle name="SAPBEXHLevel2X 10" xfId="1085"/>
    <cellStyle name="SAPBEXHLevel2X 11" xfId="1086"/>
    <cellStyle name="SAPBEXHLevel2X 12" xfId="1087"/>
    <cellStyle name="SAPBEXHLevel2X 2" xfId="1088"/>
    <cellStyle name="SAPBEXHLevel2X 2 10" xfId="1089"/>
    <cellStyle name="SAPBEXHLevel2X 2 2" xfId="1090"/>
    <cellStyle name="SAPBEXHLevel2X 2 3" xfId="1091"/>
    <cellStyle name="SAPBEXHLevel2X 2 4" xfId="1092"/>
    <cellStyle name="SAPBEXHLevel2X 2 5" xfId="1093"/>
    <cellStyle name="SAPBEXHLevel2X 2 6" xfId="1094"/>
    <cellStyle name="SAPBEXHLevel2X 2 7" xfId="1095"/>
    <cellStyle name="SAPBEXHLevel2X 2 8" xfId="1096"/>
    <cellStyle name="SAPBEXHLevel2X 2 9" xfId="1097"/>
    <cellStyle name="SAPBEXHLevel2X 3" xfId="1098"/>
    <cellStyle name="SAPBEXHLevel2X 4" xfId="1099"/>
    <cellStyle name="SAPBEXHLevel2X 5" xfId="1100"/>
    <cellStyle name="SAPBEXHLevel2X 6" xfId="1101"/>
    <cellStyle name="SAPBEXHLevel2X 7" xfId="1102"/>
    <cellStyle name="SAPBEXHLevel2X 8" xfId="1103"/>
    <cellStyle name="SAPBEXHLevel2X 9" xfId="1104"/>
    <cellStyle name="SAPBEXHLevel3" xfId="47"/>
    <cellStyle name="SAPBEXHLevel3 10" xfId="1105"/>
    <cellStyle name="SAPBEXHLevel3 11" xfId="1106"/>
    <cellStyle name="SAPBEXHLevel3 12" xfId="1107"/>
    <cellStyle name="SAPBEXHLevel3 2" xfId="1108"/>
    <cellStyle name="SAPBEXHLevel3 2 10" xfId="1109"/>
    <cellStyle name="SAPBEXHLevel3 2 2" xfId="1110"/>
    <cellStyle name="SAPBEXHLevel3 2 3" xfId="1111"/>
    <cellStyle name="SAPBEXHLevel3 2 4" xfId="1112"/>
    <cellStyle name="SAPBEXHLevel3 2 5" xfId="1113"/>
    <cellStyle name="SAPBEXHLevel3 2 6" xfId="1114"/>
    <cellStyle name="SAPBEXHLevel3 2 7" xfId="1115"/>
    <cellStyle name="SAPBEXHLevel3 2 8" xfId="1116"/>
    <cellStyle name="SAPBEXHLevel3 2 9" xfId="1117"/>
    <cellStyle name="SAPBEXHLevel3 3" xfId="1118"/>
    <cellStyle name="SAPBEXHLevel3 4" xfId="1119"/>
    <cellStyle name="SAPBEXHLevel3 5" xfId="1120"/>
    <cellStyle name="SAPBEXHLevel3 6" xfId="1121"/>
    <cellStyle name="SAPBEXHLevel3 7" xfId="1122"/>
    <cellStyle name="SAPBEXHLevel3 8" xfId="1123"/>
    <cellStyle name="SAPBEXHLevel3 9" xfId="1124"/>
    <cellStyle name="SAPBEXHLevel3X" xfId="48"/>
    <cellStyle name="SAPBEXHLevel3X 10" xfId="1125"/>
    <cellStyle name="SAPBEXHLevel3X 11" xfId="1126"/>
    <cellStyle name="SAPBEXHLevel3X 12" xfId="1127"/>
    <cellStyle name="SAPBEXHLevel3X 2" xfId="1128"/>
    <cellStyle name="SAPBEXHLevel3X 2 10" xfId="1129"/>
    <cellStyle name="SAPBEXHLevel3X 2 2" xfId="1130"/>
    <cellStyle name="SAPBEXHLevel3X 2 3" xfId="1131"/>
    <cellStyle name="SAPBEXHLevel3X 2 4" xfId="1132"/>
    <cellStyle name="SAPBEXHLevel3X 2 5" xfId="1133"/>
    <cellStyle name="SAPBEXHLevel3X 2 6" xfId="1134"/>
    <cellStyle name="SAPBEXHLevel3X 2 7" xfId="1135"/>
    <cellStyle name="SAPBEXHLevel3X 2 8" xfId="1136"/>
    <cellStyle name="SAPBEXHLevel3X 2 9" xfId="1137"/>
    <cellStyle name="SAPBEXHLevel3X 3" xfId="1138"/>
    <cellStyle name="SAPBEXHLevel3X 4" xfId="1139"/>
    <cellStyle name="SAPBEXHLevel3X 5" xfId="1140"/>
    <cellStyle name="SAPBEXHLevel3X 6" xfId="1141"/>
    <cellStyle name="SAPBEXHLevel3X 7" xfId="1142"/>
    <cellStyle name="SAPBEXHLevel3X 8" xfId="1143"/>
    <cellStyle name="SAPBEXHLevel3X 9" xfId="1144"/>
    <cellStyle name="SAPBEXchaText" xfId="10"/>
    <cellStyle name="SAPBEXchaText 10" xfId="1145"/>
    <cellStyle name="SAPBEXchaText 11" xfId="1146"/>
    <cellStyle name="SAPBEXchaText 12" xfId="1147"/>
    <cellStyle name="SAPBEXchaText 2" xfId="1148"/>
    <cellStyle name="SAPBEXchaText 2 10" xfId="1149"/>
    <cellStyle name="SAPBEXchaText 2 11" xfId="1150"/>
    <cellStyle name="SAPBEXchaText 2 12" xfId="1151"/>
    <cellStyle name="SAPBEXchaText 2 2" xfId="1152"/>
    <cellStyle name="SAPBEXchaText 2 2 10" xfId="1153"/>
    <cellStyle name="SAPBEXchaText 2 2 2" xfId="1154"/>
    <cellStyle name="SAPBEXchaText 2 2 3" xfId="1155"/>
    <cellStyle name="SAPBEXchaText 2 2 4" xfId="1156"/>
    <cellStyle name="SAPBEXchaText 2 2 5" xfId="1157"/>
    <cellStyle name="SAPBEXchaText 2 2 6" xfId="1158"/>
    <cellStyle name="SAPBEXchaText 2 2 7" xfId="1159"/>
    <cellStyle name="SAPBEXchaText 2 2 8" xfId="1160"/>
    <cellStyle name="SAPBEXchaText 2 2 9" xfId="1161"/>
    <cellStyle name="SAPBEXchaText 2 3" xfId="1162"/>
    <cellStyle name="SAPBEXchaText 2 4" xfId="1163"/>
    <cellStyle name="SAPBEXchaText 2 5" xfId="1164"/>
    <cellStyle name="SAPBEXchaText 2 6" xfId="1165"/>
    <cellStyle name="SAPBEXchaText 2 7" xfId="1166"/>
    <cellStyle name="SAPBEXchaText 2 8" xfId="1167"/>
    <cellStyle name="SAPBEXchaText 2 9" xfId="1168"/>
    <cellStyle name="SAPBEXchaText 3" xfId="1169"/>
    <cellStyle name="SAPBEXchaText 3 10" xfId="1170"/>
    <cellStyle name="SAPBEXchaText 3 2" xfId="1171"/>
    <cellStyle name="SAPBEXchaText 3 3" xfId="1172"/>
    <cellStyle name="SAPBEXchaText 3 4" xfId="1173"/>
    <cellStyle name="SAPBEXchaText 3 5" xfId="1174"/>
    <cellStyle name="SAPBEXchaText 3 6" xfId="1175"/>
    <cellStyle name="SAPBEXchaText 3 7" xfId="1176"/>
    <cellStyle name="SAPBEXchaText 3 8" xfId="1177"/>
    <cellStyle name="SAPBEXchaText 3 9" xfId="1178"/>
    <cellStyle name="SAPBEXchaText 4" xfId="1179"/>
    <cellStyle name="SAPBEXchaText 5" xfId="1180"/>
    <cellStyle name="SAPBEXchaText 6" xfId="1181"/>
    <cellStyle name="SAPBEXchaText 7" xfId="1182"/>
    <cellStyle name="SAPBEXchaText 8" xfId="1183"/>
    <cellStyle name="SAPBEXchaText 9" xfId="1184"/>
    <cellStyle name="SAPBEXchaText_Výkaz 13-D3a _2011_jk" xfId="1185"/>
    <cellStyle name="SAPBEXinputData" xfId="1186"/>
    <cellStyle name="SAPBEXinputData 2" xfId="1187"/>
    <cellStyle name="SAPBEXItemHeader" xfId="1188"/>
    <cellStyle name="SAPBEXItemHeader 10" xfId="1189"/>
    <cellStyle name="SAPBEXItemHeader 11" xfId="1190"/>
    <cellStyle name="SAPBEXItemHeader 2" xfId="1191"/>
    <cellStyle name="SAPBEXItemHeader 2 10" xfId="1192"/>
    <cellStyle name="SAPBEXItemHeader 2 2" xfId="1193"/>
    <cellStyle name="SAPBEXItemHeader 2 3" xfId="1194"/>
    <cellStyle name="SAPBEXItemHeader 2 4" xfId="1195"/>
    <cellStyle name="SAPBEXItemHeader 2 5" xfId="1196"/>
    <cellStyle name="SAPBEXItemHeader 2 6" xfId="1197"/>
    <cellStyle name="SAPBEXItemHeader 2 7" xfId="1198"/>
    <cellStyle name="SAPBEXItemHeader 2 8" xfId="1199"/>
    <cellStyle name="SAPBEXItemHeader 2 9" xfId="1200"/>
    <cellStyle name="SAPBEXItemHeader 3" xfId="1201"/>
    <cellStyle name="SAPBEXItemHeader 4" xfId="1202"/>
    <cellStyle name="SAPBEXItemHeader 5" xfId="1203"/>
    <cellStyle name="SAPBEXItemHeader 6" xfId="1204"/>
    <cellStyle name="SAPBEXItemHeader 7" xfId="1205"/>
    <cellStyle name="SAPBEXItemHeader 8" xfId="1206"/>
    <cellStyle name="SAPBEXItemHeader 9" xfId="1207"/>
    <cellStyle name="SAPBEXresData" xfId="49"/>
    <cellStyle name="SAPBEXresData 10" xfId="1208"/>
    <cellStyle name="SAPBEXresData 11" xfId="1209"/>
    <cellStyle name="SAPBEXresData 12" xfId="1210"/>
    <cellStyle name="SAPBEXresData 2" xfId="1211"/>
    <cellStyle name="SAPBEXresData 2 10" xfId="1212"/>
    <cellStyle name="SAPBEXresData 2 2" xfId="1213"/>
    <cellStyle name="SAPBEXresData 2 3" xfId="1214"/>
    <cellStyle name="SAPBEXresData 2 4" xfId="1215"/>
    <cellStyle name="SAPBEXresData 2 5" xfId="1216"/>
    <cellStyle name="SAPBEXresData 2 6" xfId="1217"/>
    <cellStyle name="SAPBEXresData 2 7" xfId="1218"/>
    <cellStyle name="SAPBEXresData 2 8" xfId="1219"/>
    <cellStyle name="SAPBEXresData 2 9" xfId="1220"/>
    <cellStyle name="SAPBEXresData 3" xfId="1221"/>
    <cellStyle name="SAPBEXresData 4" xfId="1222"/>
    <cellStyle name="SAPBEXresData 5" xfId="1223"/>
    <cellStyle name="SAPBEXresData 6" xfId="1224"/>
    <cellStyle name="SAPBEXresData 7" xfId="1225"/>
    <cellStyle name="SAPBEXresData 8" xfId="1226"/>
    <cellStyle name="SAPBEXresData 9" xfId="1227"/>
    <cellStyle name="SAPBEXresDataEmph" xfId="50"/>
    <cellStyle name="SAPBEXresDataEmph 2" xfId="1228"/>
    <cellStyle name="SAPBEXresDataEmph 2 2" xfId="1229"/>
    <cellStyle name="SAPBEXresDataEmph 2 3" xfId="1230"/>
    <cellStyle name="SAPBEXresDataEmph 2 4" xfId="1231"/>
    <cellStyle name="SAPBEXresDataEmph 2 5" xfId="1232"/>
    <cellStyle name="SAPBEXresDataEmph 2 6" xfId="1233"/>
    <cellStyle name="SAPBEXresDataEmph 2 7" xfId="1234"/>
    <cellStyle name="SAPBEXresDataEmph 3" xfId="1235"/>
    <cellStyle name="SAPBEXresDataEmph 4" xfId="1236"/>
    <cellStyle name="SAPBEXresDataEmph 5" xfId="1237"/>
    <cellStyle name="SAPBEXresDataEmph 6" xfId="1238"/>
    <cellStyle name="SAPBEXresDataEmph 7" xfId="1239"/>
    <cellStyle name="SAPBEXresDataEmph 8" xfId="1240"/>
    <cellStyle name="SAPBEXresDataEmph 9" xfId="1241"/>
    <cellStyle name="SAPBEXresItem" xfId="51"/>
    <cellStyle name="SAPBEXresItem 10" xfId="1242"/>
    <cellStyle name="SAPBEXresItem 11" xfId="1243"/>
    <cellStyle name="SAPBEXresItem 12" xfId="1244"/>
    <cellStyle name="SAPBEXresItem 2" xfId="1245"/>
    <cellStyle name="SAPBEXresItem 2 10" xfId="1246"/>
    <cellStyle name="SAPBEXresItem 2 2" xfId="1247"/>
    <cellStyle name="SAPBEXresItem 2 3" xfId="1248"/>
    <cellStyle name="SAPBEXresItem 2 4" xfId="1249"/>
    <cellStyle name="SAPBEXresItem 2 5" xfId="1250"/>
    <cellStyle name="SAPBEXresItem 2 6" xfId="1251"/>
    <cellStyle name="SAPBEXresItem 2 7" xfId="1252"/>
    <cellStyle name="SAPBEXresItem 2 8" xfId="1253"/>
    <cellStyle name="SAPBEXresItem 2 9" xfId="1254"/>
    <cellStyle name="SAPBEXresItem 3" xfId="1255"/>
    <cellStyle name="SAPBEXresItem 4" xfId="1256"/>
    <cellStyle name="SAPBEXresItem 5" xfId="1257"/>
    <cellStyle name="SAPBEXresItem 6" xfId="1258"/>
    <cellStyle name="SAPBEXresItem 7" xfId="1259"/>
    <cellStyle name="SAPBEXresItem 8" xfId="1260"/>
    <cellStyle name="SAPBEXresItem 9" xfId="1261"/>
    <cellStyle name="SAPBEXresItemX" xfId="52"/>
    <cellStyle name="SAPBEXresItemX 10" xfId="1262"/>
    <cellStyle name="SAPBEXresItemX 11" xfId="1263"/>
    <cellStyle name="SAPBEXresItemX 12" xfId="1264"/>
    <cellStyle name="SAPBEXresItemX 2" xfId="1265"/>
    <cellStyle name="SAPBEXresItemX 2 10" xfId="1266"/>
    <cellStyle name="SAPBEXresItemX 2 2" xfId="1267"/>
    <cellStyle name="SAPBEXresItemX 2 3" xfId="1268"/>
    <cellStyle name="SAPBEXresItemX 2 4" xfId="1269"/>
    <cellStyle name="SAPBEXresItemX 2 5" xfId="1270"/>
    <cellStyle name="SAPBEXresItemX 2 6" xfId="1271"/>
    <cellStyle name="SAPBEXresItemX 2 7" xfId="1272"/>
    <cellStyle name="SAPBEXresItemX 2 8" xfId="1273"/>
    <cellStyle name="SAPBEXresItemX 2 9" xfId="1274"/>
    <cellStyle name="SAPBEXresItemX 3" xfId="1275"/>
    <cellStyle name="SAPBEXresItemX 4" xfId="1276"/>
    <cellStyle name="SAPBEXresItemX 5" xfId="1277"/>
    <cellStyle name="SAPBEXresItemX 6" xfId="1278"/>
    <cellStyle name="SAPBEXresItemX 7" xfId="1279"/>
    <cellStyle name="SAPBEXresItemX 8" xfId="1280"/>
    <cellStyle name="SAPBEXresItemX 9" xfId="1281"/>
    <cellStyle name="SAPBEXstdData" xfId="11"/>
    <cellStyle name="SAPBEXstdData 10" xfId="1282"/>
    <cellStyle name="SAPBEXstdData 11" xfId="1283"/>
    <cellStyle name="SAPBEXstdData 12" xfId="1284"/>
    <cellStyle name="SAPBEXstdData 2" xfId="1285"/>
    <cellStyle name="SAPBEXstdData 2 10" xfId="1286"/>
    <cellStyle name="SAPBEXstdData 2 11" xfId="1287"/>
    <cellStyle name="SAPBEXstdData 2 12" xfId="1288"/>
    <cellStyle name="SAPBEXstdData 2 2" xfId="1289"/>
    <cellStyle name="SAPBEXstdData 2 2 10" xfId="1290"/>
    <cellStyle name="SAPBEXstdData 2 2 2" xfId="1291"/>
    <cellStyle name="SAPBEXstdData 2 2 3" xfId="1292"/>
    <cellStyle name="SAPBEXstdData 2 2 4" xfId="1293"/>
    <cellStyle name="SAPBEXstdData 2 2 5" xfId="1294"/>
    <cellStyle name="SAPBEXstdData 2 2 6" xfId="1295"/>
    <cellStyle name="SAPBEXstdData 2 2 7" xfId="1296"/>
    <cellStyle name="SAPBEXstdData 2 2 8" xfId="1297"/>
    <cellStyle name="SAPBEXstdData 2 2 9" xfId="1298"/>
    <cellStyle name="SAPBEXstdData 2 3" xfId="1299"/>
    <cellStyle name="SAPBEXstdData 2 4" xfId="1300"/>
    <cellStyle name="SAPBEXstdData 2 5" xfId="1301"/>
    <cellStyle name="SAPBEXstdData 2 6" xfId="1302"/>
    <cellStyle name="SAPBEXstdData 2 7" xfId="1303"/>
    <cellStyle name="SAPBEXstdData 2 8" xfId="1304"/>
    <cellStyle name="SAPBEXstdData 2 9" xfId="1305"/>
    <cellStyle name="SAPBEXstdData 3" xfId="1306"/>
    <cellStyle name="SAPBEXstdData 3 10" xfId="1307"/>
    <cellStyle name="SAPBEXstdData 3 2" xfId="1308"/>
    <cellStyle name="SAPBEXstdData 3 3" xfId="1309"/>
    <cellStyle name="SAPBEXstdData 3 4" xfId="1310"/>
    <cellStyle name="SAPBEXstdData 3 5" xfId="1311"/>
    <cellStyle name="SAPBEXstdData 3 6" xfId="1312"/>
    <cellStyle name="SAPBEXstdData 3 7" xfId="1313"/>
    <cellStyle name="SAPBEXstdData 3 8" xfId="1314"/>
    <cellStyle name="SAPBEXstdData 3 9" xfId="1315"/>
    <cellStyle name="SAPBEXstdData 4" xfId="1316"/>
    <cellStyle name="SAPBEXstdData 5" xfId="1317"/>
    <cellStyle name="SAPBEXstdData 6" xfId="1318"/>
    <cellStyle name="SAPBEXstdData 7" xfId="1319"/>
    <cellStyle name="SAPBEXstdData 8" xfId="1320"/>
    <cellStyle name="SAPBEXstdData 9" xfId="1321"/>
    <cellStyle name="SAPBEXstdDataEmph" xfId="53"/>
    <cellStyle name="SAPBEXstdDataEmph 10" xfId="1322"/>
    <cellStyle name="SAPBEXstdDataEmph 11" xfId="1323"/>
    <cellStyle name="SAPBEXstdDataEmph 12" xfId="1324"/>
    <cellStyle name="SAPBEXstdDataEmph 2" xfId="1325"/>
    <cellStyle name="SAPBEXstdDataEmph 2 10" xfId="1326"/>
    <cellStyle name="SAPBEXstdDataEmph 2 2" xfId="1327"/>
    <cellStyle name="SAPBEXstdDataEmph 2 3" xfId="1328"/>
    <cellStyle name="SAPBEXstdDataEmph 2 4" xfId="1329"/>
    <cellStyle name="SAPBEXstdDataEmph 2 5" xfId="1330"/>
    <cellStyle name="SAPBEXstdDataEmph 2 6" xfId="1331"/>
    <cellStyle name="SAPBEXstdDataEmph 2 7" xfId="1332"/>
    <cellStyle name="SAPBEXstdDataEmph 2 8" xfId="1333"/>
    <cellStyle name="SAPBEXstdDataEmph 2 9" xfId="1334"/>
    <cellStyle name="SAPBEXstdDataEmph 3" xfId="1335"/>
    <cellStyle name="SAPBEXstdDataEmph 4" xfId="1336"/>
    <cellStyle name="SAPBEXstdDataEmph 5" xfId="1337"/>
    <cellStyle name="SAPBEXstdDataEmph 6" xfId="1338"/>
    <cellStyle name="SAPBEXstdDataEmph 7" xfId="1339"/>
    <cellStyle name="SAPBEXstdDataEmph 8" xfId="1340"/>
    <cellStyle name="SAPBEXstdDataEmph 9" xfId="1341"/>
    <cellStyle name="SAPBEXstdItem" xfId="12"/>
    <cellStyle name="SAPBEXstdItem 10" xfId="1342"/>
    <cellStyle name="SAPBEXstdItem 11" xfId="1343"/>
    <cellStyle name="SAPBEXstdItem 12" xfId="1344"/>
    <cellStyle name="SAPBEXstdItem 2" xfId="1345"/>
    <cellStyle name="SAPBEXstdItem 2 10" xfId="1346"/>
    <cellStyle name="SAPBEXstdItem 2 11" xfId="1347"/>
    <cellStyle name="SAPBEXstdItem 2 12" xfId="1348"/>
    <cellStyle name="SAPBEXstdItem 2 2" xfId="1349"/>
    <cellStyle name="SAPBEXstdItem 2 2 10" xfId="1350"/>
    <cellStyle name="SAPBEXstdItem 2 2 2" xfId="1351"/>
    <cellStyle name="SAPBEXstdItem 2 2 3" xfId="1352"/>
    <cellStyle name="SAPBEXstdItem 2 2 4" xfId="1353"/>
    <cellStyle name="SAPBEXstdItem 2 2 5" xfId="1354"/>
    <cellStyle name="SAPBEXstdItem 2 2 6" xfId="1355"/>
    <cellStyle name="SAPBEXstdItem 2 2 7" xfId="1356"/>
    <cellStyle name="SAPBEXstdItem 2 2 8" xfId="1357"/>
    <cellStyle name="SAPBEXstdItem 2 2 9" xfId="1358"/>
    <cellStyle name="SAPBEXstdItem 2 3" xfId="1359"/>
    <cellStyle name="SAPBEXstdItem 2 4" xfId="1360"/>
    <cellStyle name="SAPBEXstdItem 2 5" xfId="1361"/>
    <cellStyle name="SAPBEXstdItem 2 6" xfId="1362"/>
    <cellStyle name="SAPBEXstdItem 2 7" xfId="1363"/>
    <cellStyle name="SAPBEXstdItem 2 8" xfId="1364"/>
    <cellStyle name="SAPBEXstdItem 2 9" xfId="1365"/>
    <cellStyle name="SAPBEXstdItem 3" xfId="1366"/>
    <cellStyle name="SAPBEXstdItem 3 10" xfId="1367"/>
    <cellStyle name="SAPBEXstdItem 3 2" xfId="1368"/>
    <cellStyle name="SAPBEXstdItem 3 3" xfId="1369"/>
    <cellStyle name="SAPBEXstdItem 3 4" xfId="1370"/>
    <cellStyle name="SAPBEXstdItem 3 5" xfId="1371"/>
    <cellStyle name="SAPBEXstdItem 3 6" xfId="1372"/>
    <cellStyle name="SAPBEXstdItem 3 7" xfId="1373"/>
    <cellStyle name="SAPBEXstdItem 3 8" xfId="1374"/>
    <cellStyle name="SAPBEXstdItem 3 9" xfId="1375"/>
    <cellStyle name="SAPBEXstdItem 4" xfId="1376"/>
    <cellStyle name="SAPBEXstdItem 4 2" xfId="1377"/>
    <cellStyle name="SAPBEXstdItem 5" xfId="1378"/>
    <cellStyle name="SAPBEXstdItem 6" xfId="1379"/>
    <cellStyle name="SAPBEXstdItem 7" xfId="1380"/>
    <cellStyle name="SAPBEXstdItem 8" xfId="1381"/>
    <cellStyle name="SAPBEXstdItem 9" xfId="1382"/>
    <cellStyle name="SAPBEXstdItem_Výkaz 13-D3a _2011_jk" xfId="1383"/>
    <cellStyle name="SAPBEXstdItemX" xfId="54"/>
    <cellStyle name="SAPBEXstdItemX 10" xfId="1384"/>
    <cellStyle name="SAPBEXstdItemX 11" xfId="1385"/>
    <cellStyle name="SAPBEXstdItemX 12" xfId="1386"/>
    <cellStyle name="SAPBEXstdItemX 13" xfId="1387"/>
    <cellStyle name="SAPBEXstdItemX 2" xfId="1388"/>
    <cellStyle name="SAPBEXstdItemX 2 10" xfId="1389"/>
    <cellStyle name="SAPBEXstdItemX 2 11" xfId="1390"/>
    <cellStyle name="SAPBEXstdItemX 2 2" xfId="1391"/>
    <cellStyle name="SAPBEXstdItemX 2 2 10" xfId="1392"/>
    <cellStyle name="SAPBEXstdItemX 2 2 2" xfId="1393"/>
    <cellStyle name="SAPBEXstdItemX 2 2 3" xfId="1394"/>
    <cellStyle name="SAPBEXstdItemX 2 2 4" xfId="1395"/>
    <cellStyle name="SAPBEXstdItemX 2 2 5" xfId="1396"/>
    <cellStyle name="SAPBEXstdItemX 2 2 6" xfId="1397"/>
    <cellStyle name="SAPBEXstdItemX 2 2 7" xfId="1398"/>
    <cellStyle name="SAPBEXstdItemX 2 2 8" xfId="1399"/>
    <cellStyle name="SAPBEXstdItemX 2 2 9" xfId="1400"/>
    <cellStyle name="SAPBEXstdItemX 2 3" xfId="1401"/>
    <cellStyle name="SAPBEXstdItemX 2 4" xfId="1402"/>
    <cellStyle name="SAPBEXstdItemX 2 5" xfId="1403"/>
    <cellStyle name="SAPBEXstdItemX 2 6" xfId="1404"/>
    <cellStyle name="SAPBEXstdItemX 2 7" xfId="1405"/>
    <cellStyle name="SAPBEXstdItemX 2 8" xfId="1406"/>
    <cellStyle name="SAPBEXstdItemX 2 9" xfId="1407"/>
    <cellStyle name="SAPBEXstdItemX 3" xfId="1408"/>
    <cellStyle name="SAPBEXstdItemX 3 10" xfId="1409"/>
    <cellStyle name="SAPBEXstdItemX 3 2" xfId="1410"/>
    <cellStyle name="SAPBEXstdItemX 3 3" xfId="1411"/>
    <cellStyle name="SAPBEXstdItemX 3 4" xfId="1412"/>
    <cellStyle name="SAPBEXstdItemX 3 5" xfId="1413"/>
    <cellStyle name="SAPBEXstdItemX 3 6" xfId="1414"/>
    <cellStyle name="SAPBEXstdItemX 3 7" xfId="1415"/>
    <cellStyle name="SAPBEXstdItemX 3 8" xfId="1416"/>
    <cellStyle name="SAPBEXstdItemX 3 9" xfId="1417"/>
    <cellStyle name="SAPBEXstdItemX 4" xfId="1418"/>
    <cellStyle name="SAPBEXstdItemX 5" xfId="1419"/>
    <cellStyle name="SAPBEXstdItemX 6" xfId="1420"/>
    <cellStyle name="SAPBEXstdItemX 7" xfId="1421"/>
    <cellStyle name="SAPBEXstdItemX 8" xfId="1422"/>
    <cellStyle name="SAPBEXstdItemX 9" xfId="1423"/>
    <cellStyle name="SAPBEXstdItemX_Výkaz 13-D3a _2011_jk" xfId="1424"/>
    <cellStyle name="SAPBEXtitle" xfId="55"/>
    <cellStyle name="SAPBEXtitle 2" xfId="1425"/>
    <cellStyle name="SAPBEXtitle 3" xfId="1426"/>
    <cellStyle name="SAPBEXtitle_Výkaz 13-D3a _2011_jk" xfId="1427"/>
    <cellStyle name="SAPBEXunassignedItem" xfId="1428"/>
    <cellStyle name="SAPBEXunassignedItem 2" xfId="1429"/>
    <cellStyle name="SAPBEXunassignedItem 2 2" xfId="1430"/>
    <cellStyle name="SAPBEXunassignedItem 2 3" xfId="1431"/>
    <cellStyle name="SAPBEXunassignedItem 2 4" xfId="1432"/>
    <cellStyle name="SAPBEXunassignedItem 2 5" xfId="1433"/>
    <cellStyle name="SAPBEXunassignedItem 2 6" xfId="1434"/>
    <cellStyle name="SAPBEXunassignedItem 2 7" xfId="1435"/>
    <cellStyle name="SAPBEXunassignedItem 3" xfId="1436"/>
    <cellStyle name="SAPBEXunassignedItem 4" xfId="1437"/>
    <cellStyle name="SAPBEXunassignedItem 5" xfId="1438"/>
    <cellStyle name="SAPBEXunassignedItem 6" xfId="1439"/>
    <cellStyle name="SAPBEXunassignedItem 7" xfId="1440"/>
    <cellStyle name="SAPBEXunassignedItem 8" xfId="1441"/>
    <cellStyle name="SAPBEXundefined" xfId="56"/>
    <cellStyle name="SAPBEXundefined 10" xfId="1442"/>
    <cellStyle name="SAPBEXundefined 11" xfId="1443"/>
    <cellStyle name="SAPBEXundefined 12" xfId="1444"/>
    <cellStyle name="SAPBEXundefined 2" xfId="1445"/>
    <cellStyle name="SAPBEXundefined 2 10" xfId="1446"/>
    <cellStyle name="SAPBEXundefined 2 2" xfId="1447"/>
    <cellStyle name="SAPBEXundefined 2 3" xfId="1448"/>
    <cellStyle name="SAPBEXundefined 2 4" xfId="1449"/>
    <cellStyle name="SAPBEXundefined 2 5" xfId="1450"/>
    <cellStyle name="SAPBEXundefined 2 6" xfId="1451"/>
    <cellStyle name="SAPBEXundefined 2 7" xfId="1452"/>
    <cellStyle name="SAPBEXundefined 2 8" xfId="1453"/>
    <cellStyle name="SAPBEXundefined 2 9" xfId="1454"/>
    <cellStyle name="SAPBEXundefined 3" xfId="1455"/>
    <cellStyle name="SAPBEXundefined 4" xfId="1456"/>
    <cellStyle name="SAPBEXundefined 5" xfId="1457"/>
    <cellStyle name="SAPBEXundefined 6" xfId="1458"/>
    <cellStyle name="SAPBEXundefined 7" xfId="1459"/>
    <cellStyle name="SAPBEXundefined 8" xfId="1460"/>
    <cellStyle name="SAPBEXundefined 9" xfId="1461"/>
    <cellStyle name="Sheet Title" xfId="1462"/>
    <cellStyle name="Správně 2" xfId="1463"/>
    <cellStyle name="Správně 3" xfId="1464"/>
    <cellStyle name="Styl 1" xfId="1465"/>
    <cellStyle name="Subtotal" xfId="1466"/>
    <cellStyle name="Text upozornění 2" xfId="1467"/>
    <cellStyle name="Vstup 2" xfId="1468"/>
    <cellStyle name="Vstup 2 10" xfId="1469"/>
    <cellStyle name="Vstup 2 11" xfId="1470"/>
    <cellStyle name="Vstup 2 2" xfId="1471"/>
    <cellStyle name="Vstup 2 2 10" xfId="1472"/>
    <cellStyle name="Vstup 2 2 2" xfId="1473"/>
    <cellStyle name="Vstup 2 2 3" xfId="1474"/>
    <cellStyle name="Vstup 2 2 4" xfId="1475"/>
    <cellStyle name="Vstup 2 2 5" xfId="1476"/>
    <cellStyle name="Vstup 2 2 6" xfId="1477"/>
    <cellStyle name="Vstup 2 2 7" xfId="1478"/>
    <cellStyle name="Vstup 2 2 8" xfId="1479"/>
    <cellStyle name="Vstup 2 2 9" xfId="1480"/>
    <cellStyle name="Vstup 2 3" xfId="1481"/>
    <cellStyle name="Vstup 2 4" xfId="1482"/>
    <cellStyle name="Vstup 2 5" xfId="1483"/>
    <cellStyle name="Vstup 2 6" xfId="1484"/>
    <cellStyle name="Vstup 2 7" xfId="1485"/>
    <cellStyle name="Vstup 2 8" xfId="1486"/>
    <cellStyle name="Vstup 2 9" xfId="1487"/>
    <cellStyle name="Výpočet 2" xfId="1488"/>
    <cellStyle name="Výpočet 2 10" xfId="1489"/>
    <cellStyle name="Výpočet 2 11" xfId="1490"/>
    <cellStyle name="Výpočet 2 2" xfId="1491"/>
    <cellStyle name="Výpočet 2 2 10" xfId="1492"/>
    <cellStyle name="Výpočet 2 2 2" xfId="1493"/>
    <cellStyle name="Výpočet 2 2 3" xfId="1494"/>
    <cellStyle name="Výpočet 2 2 4" xfId="1495"/>
    <cellStyle name="Výpočet 2 2 5" xfId="1496"/>
    <cellStyle name="Výpočet 2 2 6" xfId="1497"/>
    <cellStyle name="Výpočet 2 2 7" xfId="1498"/>
    <cellStyle name="Výpočet 2 2 8" xfId="1499"/>
    <cellStyle name="Výpočet 2 2 9" xfId="1500"/>
    <cellStyle name="Výpočet 2 3" xfId="1501"/>
    <cellStyle name="Výpočet 2 4" xfId="1502"/>
    <cellStyle name="Výpočet 2 5" xfId="1503"/>
    <cellStyle name="Výpočet 2 6" xfId="1504"/>
    <cellStyle name="Výpočet 2 7" xfId="1505"/>
    <cellStyle name="Výpočet 2 8" xfId="1506"/>
    <cellStyle name="Výpočet 2 9" xfId="1507"/>
    <cellStyle name="Výstup 2" xfId="1508"/>
    <cellStyle name="Výstup 2 10" xfId="1509"/>
    <cellStyle name="Výstup 2 11" xfId="1510"/>
    <cellStyle name="Výstup 2 2" xfId="1511"/>
    <cellStyle name="Výstup 2 2 10" xfId="1512"/>
    <cellStyle name="Výstup 2 2 2" xfId="1513"/>
    <cellStyle name="Výstup 2 2 3" xfId="1514"/>
    <cellStyle name="Výstup 2 2 4" xfId="1515"/>
    <cellStyle name="Výstup 2 2 5" xfId="1516"/>
    <cellStyle name="Výstup 2 2 6" xfId="1517"/>
    <cellStyle name="Výstup 2 2 7" xfId="1518"/>
    <cellStyle name="Výstup 2 2 8" xfId="1519"/>
    <cellStyle name="Výstup 2 2 9" xfId="1520"/>
    <cellStyle name="Výstup 2 3" xfId="1521"/>
    <cellStyle name="Výstup 2 4" xfId="1522"/>
    <cellStyle name="Výstup 2 5" xfId="1523"/>
    <cellStyle name="Výstup 2 6" xfId="1524"/>
    <cellStyle name="Výstup 2 7" xfId="1525"/>
    <cellStyle name="Výstup 2 8" xfId="1526"/>
    <cellStyle name="Výstup 2 9" xfId="1527"/>
    <cellStyle name="Vysvětlující text 2" xfId="1528"/>
    <cellStyle name="Záhlaví 1" xfId="86"/>
    <cellStyle name="Záhlaví 2" xfId="87"/>
    <cellStyle name="Zvýraznění 1 2" xfId="1529"/>
    <cellStyle name="Zvýraznění 2 2" xfId="1530"/>
    <cellStyle name="Zvýraznění 3 2" xfId="1531"/>
    <cellStyle name="Zvýraznění 4 2" xfId="1532"/>
    <cellStyle name="Zvýraznění 5 2" xfId="1533"/>
    <cellStyle name="Zvýraznění 6 2" xfId="1534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#,##0.0</c:formatCode>
                <c:ptCount val="12"/>
                <c:pt idx="0">
                  <c:v>3953.8865949906567</c:v>
                </c:pt>
                <c:pt idx="1">
                  <c:v>3589.3981260973706</c:v>
                </c:pt>
                <c:pt idx="2">
                  <c:v>3721.6796563444259</c:v>
                </c:pt>
                <c:pt idx="3">
                  <c:v>3422.7759458686733</c:v>
                </c:pt>
                <c:pt idx="4">
                  <c:v>3370.9095927522017</c:v>
                </c:pt>
                <c:pt idx="5">
                  <c:v>3904.1354891306464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#,##0.0</c:formatCode>
                <c:ptCount val="12"/>
                <c:pt idx="0">
                  <c:v>-3516.6692237756142</c:v>
                </c:pt>
                <c:pt idx="1">
                  <c:v>-3031.6268481559036</c:v>
                </c:pt>
                <c:pt idx="2">
                  <c:v>-3462.2777269387129</c:v>
                </c:pt>
                <c:pt idx="3">
                  <c:v>-2686.7948189524859</c:v>
                </c:pt>
                <c:pt idx="4">
                  <c:v>-2341.3211458054911</c:v>
                </c:pt>
                <c:pt idx="5">
                  <c:v>-2955.0008302643373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46848"/>
        <c:axId val="82848384"/>
      </c:barChart>
      <c:catAx>
        <c:axId val="82846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82848384"/>
        <c:crosses val="autoZero"/>
        <c:auto val="1"/>
        <c:lblAlgn val="ctr"/>
        <c:lblOffset val="100"/>
        <c:noMultiLvlLbl val="0"/>
      </c:catAx>
      <c:valAx>
        <c:axId val="82848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284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16178.515916953958</c:v>
                </c:pt>
                <c:pt idx="1">
                  <c:v>9029.2256952225889</c:v>
                </c:pt>
                <c:pt idx="2">
                  <c:v>13449.531084655815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8190976"/>
        <c:axId val="328192768"/>
      </c:barChart>
      <c:catAx>
        <c:axId val="32819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28192768"/>
        <c:crosses val="autoZero"/>
        <c:auto val="1"/>
        <c:lblAlgn val="ctr"/>
        <c:lblOffset val="100"/>
        <c:noMultiLvlLbl val="0"/>
      </c:catAx>
      <c:valAx>
        <c:axId val="32819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819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574977.91279910633</c:v>
                </c:pt>
                <c:pt idx="1">
                  <c:v>601125.65652337566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492345.00831307162</c:v>
                </c:pt>
                <c:pt idx="1">
                  <c:v>557353.66615377087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403485.74995004485</c:v>
                </c:pt>
                <c:pt idx="1">
                  <c:v>377600.71616259252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2877952"/>
        <c:axId val="202887936"/>
      </c:barChart>
      <c:catAx>
        <c:axId val="20287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2887936"/>
        <c:crosses val="autoZero"/>
        <c:auto val="1"/>
        <c:lblAlgn val="ctr"/>
        <c:lblOffset val="100"/>
        <c:noMultiLvlLbl val="0"/>
      </c:catAx>
      <c:valAx>
        <c:axId val="202887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0287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0.39092638227639448</c:v>
                </c:pt>
                <c:pt idx="1">
                  <c:v>0.39133745724436941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0.33474442869411314</c:v>
                </c:pt>
                <c:pt idx="1">
                  <c:v>0.36284155256308243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0.27432918902949227</c:v>
                </c:pt>
                <c:pt idx="1">
                  <c:v>0.24582099019254819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085696"/>
        <c:axId val="329087616"/>
      </c:barChart>
      <c:catAx>
        <c:axId val="32908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29087616"/>
        <c:crosses val="autoZero"/>
        <c:auto val="1"/>
        <c:lblAlgn val="ctr"/>
        <c:lblOffset val="100"/>
        <c:noMultiLvlLbl val="0"/>
      </c:catAx>
      <c:valAx>
        <c:axId val="329087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32908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55939.457977388724</c:v>
                </c:pt>
                <c:pt idx="1">
                  <c:v>61012.832212849149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42756.089586598893</c:v>
                </c:pt>
                <c:pt idx="1">
                  <c:v>53738.889525638209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23697.557000000001</c:v>
                </c:pt>
                <c:pt idx="1">
                  <c:v>20167.829549890161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896384"/>
        <c:axId val="82897920"/>
      </c:barChart>
      <c:catAx>
        <c:axId val="828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82897920"/>
        <c:crosses val="autoZero"/>
        <c:auto val="1"/>
        <c:lblAlgn val="ctr"/>
        <c:lblOffset val="100"/>
        <c:noMultiLvlLbl val="0"/>
      </c:catAx>
      <c:valAx>
        <c:axId val="8289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8289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0.45704746338992774</c:v>
                </c:pt>
                <c:pt idx="1">
                  <c:v>0.45221638843461703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0.34933413723683948</c:v>
                </c:pt>
                <c:pt idx="1">
                  <c:v>0.39830320374232886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0.19361839937323286</c:v>
                </c:pt>
                <c:pt idx="1">
                  <c:v>0.1494804078230543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116672"/>
        <c:axId val="329118848"/>
      </c:barChart>
      <c:catAx>
        <c:axId val="32911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118848"/>
        <c:crosses val="autoZero"/>
        <c:auto val="1"/>
        <c:lblAlgn val="ctr"/>
        <c:lblOffset val="100"/>
        <c:noMultiLvlLbl val="0"/>
      </c:catAx>
      <c:valAx>
        <c:axId val="329118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32911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0.40917614051547135</c:v>
                </c:pt>
                <c:pt idx="1">
                  <c:v>0.39858898723553504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0.33494119856314286</c:v>
                </c:pt>
                <c:pt idx="1">
                  <c:v>0.37591757554049432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0.2558826609213859</c:v>
                </c:pt>
                <c:pt idx="1">
                  <c:v>0.22549343722397061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028736"/>
        <c:axId val="329030656"/>
      </c:barChart>
      <c:catAx>
        <c:axId val="32902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030656"/>
        <c:crosses val="autoZero"/>
        <c:auto val="1"/>
        <c:lblAlgn val="ctr"/>
        <c:lblOffset val="100"/>
        <c:noMultiLvlLbl val="0"/>
      </c:catAx>
      <c:valAx>
        <c:axId val="329030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329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449179.02951171761</c:v>
                </c:pt>
                <c:pt idx="1">
                  <c:v>482864.66831052635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367686.54771647276</c:v>
                </c:pt>
                <c:pt idx="1">
                  <c:v>455399.72562813287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280898.89395004482</c:v>
                </c:pt>
                <c:pt idx="1">
                  <c:v>273170.6526227023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401472"/>
        <c:axId val="329403008"/>
      </c:barChart>
      <c:catAx>
        <c:axId val="3294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9403008"/>
        <c:crosses val="autoZero"/>
        <c:auto val="1"/>
        <c:lblAlgn val="ctr"/>
        <c:lblOffset val="100"/>
        <c:noMultiLvlLbl val="0"/>
      </c:catAx>
      <c:valAx>
        <c:axId val="329403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940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22501.164009999997</c:v>
                </c:pt>
                <c:pt idx="1">
                  <c:v>23644.331000000006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18224.634010000005</c:v>
                </c:pt>
                <c:pt idx="1">
                  <c:v>22638.873000000007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13296.904999999999</c:v>
                </c:pt>
                <c:pt idx="1">
                  <c:v>11366.402989999999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144576"/>
        <c:axId val="329154560"/>
      </c:barChart>
      <c:catAx>
        <c:axId val="3291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154560"/>
        <c:crosses val="autoZero"/>
        <c:auto val="1"/>
        <c:lblAlgn val="ctr"/>
        <c:lblOffset val="100"/>
        <c:noMultiLvlLbl val="0"/>
      </c:catAx>
      <c:valAx>
        <c:axId val="329154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914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0.41651310934348723</c:v>
                </c:pt>
                <c:pt idx="1">
                  <c:v>0.4101386329329425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0.33735139101153411</c:v>
                </c:pt>
                <c:pt idx="1">
                  <c:v>0.39269778550141693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0.24613549964497869</c:v>
                </c:pt>
                <c:pt idx="1">
                  <c:v>0.19716358156564076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9420800"/>
        <c:axId val="329422720"/>
      </c:barChart>
      <c:catAx>
        <c:axId val="32942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422720"/>
        <c:crosses val="autoZero"/>
        <c:auto val="1"/>
        <c:lblAlgn val="ctr"/>
        <c:lblOffset val="100"/>
        <c:noMultiLvlLbl val="0"/>
      </c:catAx>
      <c:valAx>
        <c:axId val="329422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329420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47358.261299999998</c:v>
                </c:pt>
                <c:pt idx="1">
                  <c:v>33603.824999999997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63677.736999999994</c:v>
                </c:pt>
                <c:pt idx="1">
                  <c:v>25576.178000000004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85592.394</c:v>
                </c:pt>
                <c:pt idx="1">
                  <c:v>72895.830999999991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8807168"/>
        <c:axId val="328808704"/>
      </c:barChart>
      <c:catAx>
        <c:axId val="3288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8808704"/>
        <c:crosses val="autoZero"/>
        <c:auto val="1"/>
        <c:lblAlgn val="ctr"/>
        <c:lblOffset val="100"/>
        <c:noMultiLvlLbl val="0"/>
      </c:catAx>
      <c:valAx>
        <c:axId val="32880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880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#,##0.0</c:formatCode>
                <c:ptCount val="12"/>
                <c:pt idx="0">
                  <c:v>767.78891500000009</c:v>
                </c:pt>
                <c:pt idx="1">
                  <c:v>420.143348</c:v>
                </c:pt>
                <c:pt idx="2">
                  <c:v>650.70495800000003</c:v>
                </c:pt>
                <c:pt idx="3">
                  <c:v>45.360324999999996</c:v>
                </c:pt>
                <c:pt idx="4">
                  <c:v>6.7985790000000001</c:v>
                </c:pt>
                <c:pt idx="5">
                  <c:v>10.552137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#,##0.0</c:formatCode>
                <c:ptCount val="12"/>
                <c:pt idx="0">
                  <c:v>-6.014875</c:v>
                </c:pt>
                <c:pt idx="1">
                  <c:v>-10.880583999999999</c:v>
                </c:pt>
                <c:pt idx="2">
                  <c:v>-8.513103000000001</c:v>
                </c:pt>
                <c:pt idx="3">
                  <c:v>-215.94929799999997</c:v>
                </c:pt>
                <c:pt idx="4">
                  <c:v>-555.26132770000004</c:v>
                </c:pt>
                <c:pt idx="5">
                  <c:v>-562.24011800000005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82560"/>
        <c:axId val="82884096"/>
      </c:barChart>
      <c:catAx>
        <c:axId val="82882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82884096"/>
        <c:crosses val="autoZero"/>
        <c:auto val="1"/>
        <c:lblAlgn val="ctr"/>
        <c:lblOffset val="100"/>
        <c:noMultiLvlLbl val="0"/>
      </c:catAx>
      <c:valAx>
        <c:axId val="8288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2882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0.24085159190919142</c:v>
                </c:pt>
                <c:pt idx="1">
                  <c:v>0.254428262781214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0.32384812923072448</c:v>
                </c:pt>
                <c:pt idx="1">
                  <c:v>0.19364767365391009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0.43530027886008404</c:v>
                </c:pt>
                <c:pt idx="1">
                  <c:v>0.55192406356487589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8849664"/>
        <c:axId val="328860032"/>
      </c:barChart>
      <c:catAx>
        <c:axId val="32884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8860032"/>
        <c:crosses val="autoZero"/>
        <c:auto val="1"/>
        <c:lblAlgn val="ctr"/>
        <c:lblOffset val="100"/>
        <c:noMultiLvlLbl val="0"/>
      </c:catAx>
      <c:valAx>
        <c:axId val="328860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328849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55939.457977388724</c:v>
                </c:pt>
                <c:pt idx="1">
                  <c:v>449179.02951171761</c:v>
                </c:pt>
                <c:pt idx="2">
                  <c:v>22501.164009999997</c:v>
                </c:pt>
                <c:pt idx="3">
                  <c:v>47358.261299999998</c:v>
                </c:pt>
                <c:pt idx="4">
                  <c:v>574977.91279910633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8935680"/>
        <c:axId val="328937472"/>
      </c:barChart>
      <c:catAx>
        <c:axId val="328935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8937472"/>
        <c:crosses val="autoZero"/>
        <c:auto val="1"/>
        <c:lblAlgn val="ctr"/>
        <c:lblOffset val="100"/>
        <c:noMultiLvlLbl val="0"/>
      </c:catAx>
      <c:valAx>
        <c:axId val="3289374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89356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11.366666666666669</c:v>
                </c:pt>
                <c:pt idx="1">
                  <c:v>9.4111111111111079</c:v>
                </c:pt>
                <c:pt idx="2">
                  <c:v>9.3333333333333321</c:v>
                </c:pt>
                <c:pt idx="3">
                  <c:v>9.4466666666666654</c:v>
                </c:pt>
                <c:pt idx="4">
                  <c:v>9.4466666666666654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8970624"/>
        <c:axId val="328972160"/>
      </c:barChart>
      <c:catAx>
        <c:axId val="32897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28972160"/>
        <c:crosses val="autoZero"/>
        <c:auto val="1"/>
        <c:lblAlgn val="ctr"/>
        <c:lblOffset val="100"/>
        <c:noMultiLvlLbl val="0"/>
      </c:catAx>
      <c:valAx>
        <c:axId val="3289721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8970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17.399999999999999</c:v>
                </c:pt>
                <c:pt idx="1">
                  <c:v>15.416666666666666</c:v>
                </c:pt>
                <c:pt idx="2">
                  <c:v>15.4</c:v>
                </c:pt>
                <c:pt idx="3">
                  <c:v>15.4</c:v>
                </c:pt>
                <c:pt idx="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2.2999999999999998</c:v>
                </c:pt>
                <c:pt idx="1">
                  <c:v>0.18333333333333335</c:v>
                </c:pt>
                <c:pt idx="2">
                  <c:v>-0.3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9793920"/>
        <c:axId val="329795456"/>
      </c:barChart>
      <c:catAx>
        <c:axId val="329793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29795456"/>
        <c:crosses val="autoZero"/>
        <c:auto val="1"/>
        <c:lblAlgn val="ctr"/>
        <c:lblOffset val="100"/>
        <c:noMultiLvlLbl val="0"/>
      </c:catAx>
      <c:valAx>
        <c:axId val="3297954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793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9.7289751018546727E-2</c:v>
                </c:pt>
                <c:pt idx="1">
                  <c:v>0.78121092917295754</c:v>
                </c:pt>
                <c:pt idx="2">
                  <c:v>3.9133962382067643E-2</c:v>
                </c:pt>
                <c:pt idx="3">
                  <c:v>8.2365357426428101E-2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42756.089586598893</c:v>
                </c:pt>
                <c:pt idx="1">
                  <c:v>367686.54771647276</c:v>
                </c:pt>
                <c:pt idx="2">
                  <c:v>18224.634010000005</c:v>
                </c:pt>
                <c:pt idx="3">
                  <c:v>63677.736999999994</c:v>
                </c:pt>
                <c:pt idx="4">
                  <c:v>492345.00831307168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3030912"/>
        <c:axId val="333032448"/>
      </c:barChart>
      <c:catAx>
        <c:axId val="333030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33032448"/>
        <c:crosses val="autoZero"/>
        <c:auto val="1"/>
        <c:lblAlgn val="ctr"/>
        <c:lblOffset val="100"/>
        <c:noMultiLvlLbl val="0"/>
      </c:catAx>
      <c:valAx>
        <c:axId val="3330324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303091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12.858064516129033</c:v>
                </c:pt>
                <c:pt idx="1">
                  <c:v>11.172043010752692</c:v>
                </c:pt>
                <c:pt idx="2">
                  <c:v>10.929032258064515</c:v>
                </c:pt>
                <c:pt idx="3">
                  <c:v>11.2</c:v>
                </c:pt>
                <c:pt idx="4">
                  <c:v>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3041024"/>
        <c:axId val="333460608"/>
      </c:barChart>
      <c:catAx>
        <c:axId val="333041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33460608"/>
        <c:crosses val="autoZero"/>
        <c:auto val="1"/>
        <c:lblAlgn val="ctr"/>
        <c:lblOffset val="100"/>
        <c:noMultiLvlLbl val="0"/>
      </c:catAx>
      <c:valAx>
        <c:axId val="3334606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304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18.2</c:v>
                </c:pt>
                <c:pt idx="1">
                  <c:v>17.400000000000002</c:v>
                </c:pt>
                <c:pt idx="2">
                  <c:v>17.600000000000001</c:v>
                </c:pt>
                <c:pt idx="3">
                  <c:v>17.600000000000001</c:v>
                </c:pt>
                <c:pt idx="4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7.2</c:v>
                </c:pt>
                <c:pt idx="1">
                  <c:v>5.0166666666666666</c:v>
                </c:pt>
                <c:pt idx="2">
                  <c:v>5.3</c:v>
                </c:pt>
                <c:pt idx="3">
                  <c:v>5.0999999999999996</c:v>
                </c:pt>
                <c:pt idx="4">
                  <c:v>5.0999999999999996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487488"/>
        <c:axId val="333501568"/>
      </c:barChart>
      <c:catAx>
        <c:axId val="333487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33501568"/>
        <c:crosses val="autoZero"/>
        <c:auto val="1"/>
        <c:lblAlgn val="ctr"/>
        <c:lblOffset val="100"/>
        <c:noMultiLvlLbl val="0"/>
      </c:catAx>
      <c:valAx>
        <c:axId val="333501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348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8.6841724531938808E-2</c:v>
                </c:pt>
                <c:pt idx="1">
                  <c:v>0.74680669349382078</c:v>
                </c:pt>
                <c:pt idx="2">
                  <c:v>3.7015982090370561E-2</c:v>
                </c:pt>
                <c:pt idx="3">
                  <c:v>0.12933559988386981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23697.557000000001</c:v>
                </c:pt>
                <c:pt idx="1">
                  <c:v>280898.89395004482</c:v>
                </c:pt>
                <c:pt idx="2">
                  <c:v>13296.904999999999</c:v>
                </c:pt>
                <c:pt idx="3">
                  <c:v>85592.394</c:v>
                </c:pt>
                <c:pt idx="4">
                  <c:v>403485.74995004479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9511680"/>
        <c:axId val="329513216"/>
      </c:barChart>
      <c:catAx>
        <c:axId val="329511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513216"/>
        <c:crosses val="autoZero"/>
        <c:auto val="1"/>
        <c:lblAlgn val="ctr"/>
        <c:lblOffset val="100"/>
        <c:noMultiLvlLbl val="0"/>
      </c:catAx>
      <c:valAx>
        <c:axId val="3295132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5116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#,##0.0</c:formatCode>
                <c:ptCount val="12"/>
                <c:pt idx="0">
                  <c:v>1216.7322796016583</c:v>
                </c:pt>
                <c:pt idx="1">
                  <c:v>975.54125699611575</c:v>
                </c:pt>
                <c:pt idx="2">
                  <c:v>919.13700933084067</c:v>
                </c:pt>
                <c:pt idx="3">
                  <c:v>574.97798965047207</c:v>
                </c:pt>
                <c:pt idx="4">
                  <c:v>492.34544307306646</c:v>
                </c:pt>
                <c:pt idx="5">
                  <c:v>403.50894853967435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#,##0.0</c:formatCode>
                <c:ptCount val="12"/>
                <c:pt idx="0">
                  <c:v>1271.0979736947015</c:v>
                </c:pt>
                <c:pt idx="1">
                  <c:v>1101.6918661298514</c:v>
                </c:pt>
                <c:pt idx="2">
                  <c:v>941.55439681020118</c:v>
                </c:pt>
                <c:pt idx="3">
                  <c:v>600.75621979039772</c:v>
                </c:pt>
                <c:pt idx="4">
                  <c:v>446.34197489009364</c:v>
                </c:pt>
                <c:pt idx="5">
                  <c:v>403.58857910906676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50016"/>
        <c:axId val="203351552"/>
      </c:barChart>
      <c:catAx>
        <c:axId val="20335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03351552"/>
        <c:crosses val="autoZero"/>
        <c:auto val="1"/>
        <c:lblAlgn val="ctr"/>
        <c:lblOffset val="100"/>
        <c:noMultiLvlLbl val="0"/>
      </c:catAx>
      <c:valAx>
        <c:axId val="20335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0335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18.02</c:v>
                </c:pt>
                <c:pt idx="1">
                  <c:v>16.682777777777776</c:v>
                </c:pt>
                <c:pt idx="2">
                  <c:v>16.069999999999997</c:v>
                </c:pt>
                <c:pt idx="3">
                  <c:v>16.643333333333331</c:v>
                </c:pt>
                <c:pt idx="4">
                  <c:v>16.643333333333331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9525888"/>
        <c:axId val="329535872"/>
      </c:barChart>
      <c:catAx>
        <c:axId val="32952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29535872"/>
        <c:crosses val="autoZero"/>
        <c:auto val="1"/>
        <c:lblAlgn val="ctr"/>
        <c:lblOffset val="100"/>
        <c:noMultiLvlLbl val="0"/>
      </c:catAx>
      <c:valAx>
        <c:axId val="3295358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52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24.3</c:v>
                </c:pt>
                <c:pt idx="1">
                  <c:v>21.683333333333337</c:v>
                </c:pt>
                <c:pt idx="2">
                  <c:v>22</c:v>
                </c:pt>
                <c:pt idx="3">
                  <c:v>21.9</c:v>
                </c:pt>
                <c:pt idx="4">
                  <c:v>21.9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13.5</c:v>
                </c:pt>
                <c:pt idx="1">
                  <c:v>12.966666666666667</c:v>
                </c:pt>
                <c:pt idx="2">
                  <c:v>12.7</c:v>
                </c:pt>
                <c:pt idx="3">
                  <c:v>13</c:v>
                </c:pt>
                <c:pt idx="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9566848"/>
        <c:axId val="329585024"/>
      </c:barChart>
      <c:catAx>
        <c:axId val="329566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29585024"/>
        <c:crosses val="autoZero"/>
        <c:auto val="1"/>
        <c:lblAlgn val="ctr"/>
        <c:lblOffset val="100"/>
        <c:noMultiLvlLbl val="0"/>
      </c:catAx>
      <c:valAx>
        <c:axId val="3295850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56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5.8732079145134557E-2</c:v>
                </c:pt>
                <c:pt idx="1">
                  <c:v>0.69618045738870005</c:v>
                </c:pt>
                <c:pt idx="2">
                  <c:v>3.2955079582479126E-2</c:v>
                </c:pt>
                <c:pt idx="3">
                  <c:v>0.21213238388368641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122393.10456398761</c:v>
                </c:pt>
                <c:pt idx="1">
                  <c:v>1097764.471178235</c:v>
                </c:pt>
                <c:pt idx="2">
                  <c:v>54022.703020000001</c:v>
                </c:pt>
                <c:pt idx="3">
                  <c:v>196628.39230000001</c:v>
                </c:pt>
                <c:pt idx="4">
                  <c:v>1470808.6710622229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9662464"/>
        <c:axId val="329664000"/>
      </c:barChart>
      <c:catAx>
        <c:axId val="329662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9664000"/>
        <c:crosses val="autoZero"/>
        <c:auto val="1"/>
        <c:lblAlgn val="ctr"/>
        <c:lblOffset val="100"/>
        <c:noMultiLvlLbl val="0"/>
      </c:catAx>
      <c:valAx>
        <c:axId val="3296640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662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14.081577060931901</c:v>
                </c:pt>
                <c:pt idx="1">
                  <c:v>12.421977299880524</c:v>
                </c:pt>
                <c:pt idx="2">
                  <c:v>12.110788530465948</c:v>
                </c:pt>
                <c:pt idx="3">
                  <c:v>12.429999999999998</c:v>
                </c:pt>
                <c:pt idx="4">
                  <c:v>12.429999999999998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9701248"/>
        <c:axId val="329702784"/>
      </c:barChart>
      <c:catAx>
        <c:axId val="329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29702784"/>
        <c:crosses val="autoZero"/>
        <c:auto val="1"/>
        <c:lblAlgn val="ctr"/>
        <c:lblOffset val="100"/>
        <c:noMultiLvlLbl val="0"/>
      </c:catAx>
      <c:valAx>
        <c:axId val="3297027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9701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24.3</c:v>
                </c:pt>
                <c:pt idx="1">
                  <c:v>21.683333333333337</c:v>
                </c:pt>
                <c:pt idx="2">
                  <c:v>22</c:v>
                </c:pt>
                <c:pt idx="3">
                  <c:v>21.9</c:v>
                </c:pt>
                <c:pt idx="4">
                  <c:v>21.9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2.2999999999999998</c:v>
                </c:pt>
                <c:pt idx="1">
                  <c:v>0.18333333333333335</c:v>
                </c:pt>
                <c:pt idx="2">
                  <c:v>-0.3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399936"/>
        <c:axId val="333401472"/>
      </c:barChart>
      <c:catAx>
        <c:axId val="333399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333401472"/>
        <c:crosses val="autoZero"/>
        <c:auto val="1"/>
        <c:lblAlgn val="ctr"/>
        <c:lblOffset val="100"/>
        <c:noMultiLvlLbl val="0"/>
      </c:catAx>
      <c:valAx>
        <c:axId val="333401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339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8.3214837505407757E-2</c:v>
                </c:pt>
                <c:pt idx="1">
                  <c:v>0.74636796258851656</c:v>
                </c:pt>
                <c:pt idx="2">
                  <c:v>3.6729932371818715E-2</c:v>
                </c:pt>
                <c:pt idx="3">
                  <c:v>0.13368726753425675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344124.35814673814</c:v>
                </c:pt>
                <c:pt idx="1">
                  <c:v>2446471.1744401595</c:v>
                </c:pt>
                <c:pt idx="2">
                  <c:v>118692.59298</c:v>
                </c:pt>
                <c:pt idx="3">
                  <c:v>202122.057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122393.10456398761</c:v>
                </c:pt>
                <c:pt idx="1">
                  <c:v>1097764.4711782353</c:v>
                </c:pt>
                <c:pt idx="2">
                  <c:v>54022.703020000001</c:v>
                </c:pt>
                <c:pt idx="3">
                  <c:v>196628.39230000001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33539200"/>
        <c:axId val="333540736"/>
      </c:barChart>
      <c:catAx>
        <c:axId val="33353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33540736"/>
        <c:crosses val="autoZero"/>
        <c:auto val="1"/>
        <c:lblAlgn val="ctr"/>
        <c:lblOffset val="100"/>
        <c:noMultiLvlLbl val="0"/>
      </c:catAx>
      <c:valAx>
        <c:axId val="33354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33539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209533.18440999999</c:v>
                </c:pt>
                <c:pt idx="1">
                  <c:v>732582.40233000007</c:v>
                </c:pt>
                <c:pt idx="2">
                  <c:v>168839.58278999999</c:v>
                </c:pt>
                <c:pt idx="3">
                  <c:v>224743.36313000001</c:v>
                </c:pt>
                <c:pt idx="4">
                  <c:v>222638.25701000003</c:v>
                </c:pt>
                <c:pt idx="5">
                  <c:v>678098.75861000014</c:v>
                </c:pt>
                <c:pt idx="6">
                  <c:v>338552.83009999996</c:v>
                </c:pt>
                <c:pt idx="7">
                  <c:v>275894.52731999999</c:v>
                </c:pt>
                <c:pt idx="8">
                  <c:v>270857.75691</c:v>
                </c:pt>
                <c:pt idx="9">
                  <c:v>581117.86046600004</c:v>
                </c:pt>
                <c:pt idx="10">
                  <c:v>805923.41086199996</c:v>
                </c:pt>
                <c:pt idx="11">
                  <c:v>979646.8345600001</c:v>
                </c:pt>
                <c:pt idx="12">
                  <c:v>236203.76584000001</c:v>
                </c:pt>
                <c:pt idx="13">
                  <c:v>292846.8869199999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8530560"/>
        <c:axId val="333173120"/>
      </c:barChart>
      <c:catAx>
        <c:axId val="3285305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33173120"/>
        <c:crosses val="autoZero"/>
        <c:auto val="1"/>
        <c:lblAlgn val="ctr"/>
        <c:lblOffset val="100"/>
        <c:noMultiLvlLbl val="0"/>
      </c:catAx>
      <c:valAx>
        <c:axId val="3331731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28530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#,##0.0</c:formatCode>
                <c:ptCount val="14"/>
                <c:pt idx="0">
                  <c:v>9.1999999999999993</c:v>
                </c:pt>
                <c:pt idx="1">
                  <c:v>10.66333333333333</c:v>
                </c:pt>
                <c:pt idx="2">
                  <c:v>8.5666666666666664</c:v>
                </c:pt>
                <c:pt idx="3">
                  <c:v>8.93</c:v>
                </c:pt>
                <c:pt idx="4">
                  <c:v>8.8333333333333357</c:v>
                </c:pt>
                <c:pt idx="5">
                  <c:v>9.2566666666666642</c:v>
                </c:pt>
                <c:pt idx="6">
                  <c:v>8.9233333333333356</c:v>
                </c:pt>
                <c:pt idx="7">
                  <c:v>8.9933333333333358</c:v>
                </c:pt>
                <c:pt idx="8">
                  <c:v>9.7100000000000009</c:v>
                </c:pt>
                <c:pt idx="9">
                  <c:v>11.723333333333333</c:v>
                </c:pt>
                <c:pt idx="10">
                  <c:v>9.9533333333333314</c:v>
                </c:pt>
                <c:pt idx="11">
                  <c:v>9.793333333333333</c:v>
                </c:pt>
                <c:pt idx="12">
                  <c:v>9.1233333333333331</c:v>
                </c:pt>
                <c:pt idx="13">
                  <c:v>7.996666666666667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209024"/>
        <c:axId val="334210560"/>
      </c:barChart>
      <c:catAx>
        <c:axId val="3342090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34210560"/>
        <c:crosses val="autoZero"/>
        <c:auto val="1"/>
        <c:lblAlgn val="ctr"/>
        <c:lblOffset val="100"/>
        <c:noMultiLvlLbl val="0"/>
      </c:catAx>
      <c:valAx>
        <c:axId val="3342105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209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#,##0.0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9.4466666666666654</c:v>
                </c:pt>
                <c:pt idx="4">
                  <c:v>11.2</c:v>
                </c:pt>
                <c:pt idx="5">
                  <c:v>16.643333333333331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75744"/>
        <c:axId val="227377536"/>
      </c:barChart>
      <c:catAx>
        <c:axId val="227375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27377536"/>
        <c:crosses val="autoZero"/>
        <c:auto val="1"/>
        <c:lblAlgn val="ctr"/>
        <c:lblOffset val="100"/>
        <c:noMultiLvlLbl val="0"/>
      </c:catAx>
      <c:valAx>
        <c:axId val="227377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737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#,##0.0</c:formatCode>
                <c:ptCount val="14"/>
                <c:pt idx="0">
                  <c:v>10.796774193548389</c:v>
                </c:pt>
                <c:pt idx="1">
                  <c:v>12.896774193548387</c:v>
                </c:pt>
                <c:pt idx="2">
                  <c:v>10.14838709677419</c:v>
                </c:pt>
                <c:pt idx="3">
                  <c:v>10.874193548387092</c:v>
                </c:pt>
                <c:pt idx="4">
                  <c:v>10.625806451612906</c:v>
                </c:pt>
                <c:pt idx="5">
                  <c:v>10.970967741935484</c:v>
                </c:pt>
                <c:pt idx="6">
                  <c:v>10.92258064516129</c:v>
                </c:pt>
                <c:pt idx="7">
                  <c:v>10.85483870967742</c:v>
                </c:pt>
                <c:pt idx="8">
                  <c:v>11.512903225806452</c:v>
                </c:pt>
                <c:pt idx="9">
                  <c:v>13.241935483870968</c:v>
                </c:pt>
                <c:pt idx="10">
                  <c:v>11.767741935483871</c:v>
                </c:pt>
                <c:pt idx="11">
                  <c:v>11.75483870967742</c:v>
                </c:pt>
                <c:pt idx="12">
                  <c:v>10.793548387096777</c:v>
                </c:pt>
                <c:pt idx="13">
                  <c:v>10.448387096774191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448512"/>
        <c:axId val="334450048"/>
      </c:barChart>
      <c:catAx>
        <c:axId val="3344485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34450048"/>
        <c:crosses val="autoZero"/>
        <c:auto val="1"/>
        <c:lblAlgn val="ctr"/>
        <c:lblOffset val="100"/>
        <c:noMultiLvlLbl val="0"/>
      </c:catAx>
      <c:valAx>
        <c:axId val="3344500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448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170717.46171</c:v>
                </c:pt>
                <c:pt idx="1">
                  <c:v>533124.88332000002</c:v>
                </c:pt>
                <c:pt idx="2">
                  <c:v>141781.23664000005</c:v>
                </c:pt>
                <c:pt idx="3">
                  <c:v>197247.39175000001</c:v>
                </c:pt>
                <c:pt idx="4">
                  <c:v>188916.02929999999</c:v>
                </c:pt>
                <c:pt idx="5">
                  <c:v>601496.37173999997</c:v>
                </c:pt>
                <c:pt idx="6">
                  <c:v>285521.22130000003</c:v>
                </c:pt>
                <c:pt idx="7">
                  <c:v>234192.76239000002</c:v>
                </c:pt>
                <c:pt idx="8">
                  <c:v>216284.49739999999</c:v>
                </c:pt>
                <c:pt idx="9">
                  <c:v>442173.26541601116</c:v>
                </c:pt>
                <c:pt idx="10">
                  <c:v>655860.92920499993</c:v>
                </c:pt>
                <c:pt idx="11">
                  <c:v>1006116.2790099998</c:v>
                </c:pt>
                <c:pt idx="12">
                  <c:v>185252.19768000001</c:v>
                </c:pt>
                <c:pt idx="13">
                  <c:v>272480.22115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482432"/>
        <c:axId val="334484224"/>
      </c:barChart>
      <c:catAx>
        <c:axId val="3344824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34484224"/>
        <c:crosses val="autoZero"/>
        <c:auto val="1"/>
        <c:lblAlgn val="ctr"/>
        <c:lblOffset val="100"/>
        <c:noMultiLvlLbl val="0"/>
      </c:catAx>
      <c:valAx>
        <c:axId val="3344842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482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#,##0.0</c:formatCode>
                <c:ptCount val="14"/>
                <c:pt idx="0">
                  <c:v>15.986666666666672</c:v>
                </c:pt>
                <c:pt idx="1">
                  <c:v>18.05</c:v>
                </c:pt>
                <c:pt idx="2">
                  <c:v>15.333333333333334</c:v>
                </c:pt>
                <c:pt idx="3">
                  <c:v>16.706666666666667</c:v>
                </c:pt>
                <c:pt idx="4">
                  <c:v>16.450000000000003</c:v>
                </c:pt>
                <c:pt idx="5">
                  <c:v>16.670000000000002</c:v>
                </c:pt>
                <c:pt idx="6">
                  <c:v>16.613333333333337</c:v>
                </c:pt>
                <c:pt idx="7">
                  <c:v>16.613333333333333</c:v>
                </c:pt>
                <c:pt idx="8">
                  <c:v>16.623333333333338</c:v>
                </c:pt>
                <c:pt idx="9">
                  <c:v>18.393333333333331</c:v>
                </c:pt>
                <c:pt idx="10">
                  <c:v>17.09</c:v>
                </c:pt>
                <c:pt idx="11">
                  <c:v>17.223333333333336</c:v>
                </c:pt>
                <c:pt idx="12">
                  <c:v>16.083333333333332</c:v>
                </c:pt>
                <c:pt idx="13">
                  <c:v>16.43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890112"/>
        <c:axId val="334891648"/>
      </c:barChart>
      <c:catAx>
        <c:axId val="334890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34891648"/>
        <c:crosses val="autoZero"/>
        <c:auto val="1"/>
        <c:lblAlgn val="ctr"/>
        <c:lblOffset val="100"/>
        <c:noMultiLvlLbl val="0"/>
      </c:catAx>
      <c:valAx>
        <c:axId val="3348916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89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124052.32879</c:v>
                </c:pt>
                <c:pt idx="1">
                  <c:v>346481.67340000015</c:v>
                </c:pt>
                <c:pt idx="2">
                  <c:v>108333.1029</c:v>
                </c:pt>
                <c:pt idx="3">
                  <c:v>136697.94030999998</c:v>
                </c:pt>
                <c:pt idx="4">
                  <c:v>120657.56075999995</c:v>
                </c:pt>
                <c:pt idx="5">
                  <c:v>473792.52699999989</c:v>
                </c:pt>
                <c:pt idx="6">
                  <c:v>201204.99601000003</c:v>
                </c:pt>
                <c:pt idx="7">
                  <c:v>173535.47270000004</c:v>
                </c:pt>
                <c:pt idx="8">
                  <c:v>156754.97903000002</c:v>
                </c:pt>
                <c:pt idx="9">
                  <c:v>241490.16324398125</c:v>
                </c:pt>
                <c:pt idx="10">
                  <c:v>505623.69508799998</c:v>
                </c:pt>
                <c:pt idx="11">
                  <c:v>1287228.0359199999</c:v>
                </c:pt>
                <c:pt idx="12">
                  <c:v>130698.27300000002</c:v>
                </c:pt>
                <c:pt idx="13">
                  <c:v>206691.91996999996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928128"/>
        <c:axId val="334934016"/>
      </c:barChart>
      <c:catAx>
        <c:axId val="3349281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34934016"/>
        <c:crosses val="autoZero"/>
        <c:auto val="1"/>
        <c:lblAlgn val="ctr"/>
        <c:lblOffset val="100"/>
        <c:noMultiLvlLbl val="0"/>
      </c:catAx>
      <c:valAx>
        <c:axId val="334934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928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#,##0.0</c:formatCode>
                <c:ptCount val="14"/>
                <c:pt idx="0">
                  <c:v>11.994480286738353</c:v>
                </c:pt>
                <c:pt idx="1">
                  <c:v>13.870035842293907</c:v>
                </c:pt>
                <c:pt idx="2">
                  <c:v>11.349462365591398</c:v>
                </c:pt>
                <c:pt idx="3">
                  <c:v>12.170286738351251</c:v>
                </c:pt>
                <c:pt idx="4">
                  <c:v>11.969713261648749</c:v>
                </c:pt>
                <c:pt idx="5">
                  <c:v>12.29921146953405</c:v>
                </c:pt>
                <c:pt idx="6">
                  <c:v>12.153082437275989</c:v>
                </c:pt>
                <c:pt idx="7">
                  <c:v>12.153835125448031</c:v>
                </c:pt>
                <c:pt idx="8">
                  <c:v>12.615412186379933</c:v>
                </c:pt>
                <c:pt idx="9">
                  <c:v>14.452867383512546</c:v>
                </c:pt>
                <c:pt idx="10">
                  <c:v>12.937025089605735</c:v>
                </c:pt>
                <c:pt idx="11">
                  <c:v>12.923835125448029</c:v>
                </c:pt>
                <c:pt idx="12">
                  <c:v>12.000071684587814</c:v>
                </c:pt>
                <c:pt idx="13">
                  <c:v>11.625017921146954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4983552"/>
        <c:axId val="334985088"/>
      </c:barChart>
      <c:catAx>
        <c:axId val="3349835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34985088"/>
        <c:crosses val="autoZero"/>
        <c:auto val="1"/>
        <c:lblAlgn val="ctr"/>
        <c:lblOffset val="100"/>
        <c:noMultiLvlLbl val="0"/>
      </c:catAx>
      <c:valAx>
        <c:axId val="3349850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4983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504302.97490999999</c:v>
                </c:pt>
                <c:pt idx="1">
                  <c:v>1612188.9590499999</c:v>
                </c:pt>
                <c:pt idx="2">
                  <c:v>418953.92233000003</c:v>
                </c:pt>
                <c:pt idx="3">
                  <c:v>558688.69519</c:v>
                </c:pt>
                <c:pt idx="4">
                  <c:v>532211.8470699999</c:v>
                </c:pt>
                <c:pt idx="5">
                  <c:v>1753387.6573499998</c:v>
                </c:pt>
                <c:pt idx="6">
                  <c:v>825279.04741</c:v>
                </c:pt>
                <c:pt idx="7">
                  <c:v>683622.76241000008</c:v>
                </c:pt>
                <c:pt idx="8">
                  <c:v>643897.23333999992</c:v>
                </c:pt>
                <c:pt idx="9">
                  <c:v>1264781.2891259922</c:v>
                </c:pt>
                <c:pt idx="10">
                  <c:v>1967408.0351549997</c:v>
                </c:pt>
                <c:pt idx="11">
                  <c:v>3272991.1494899997</c:v>
                </c:pt>
                <c:pt idx="12">
                  <c:v>552154.23652000003</c:v>
                </c:pt>
                <c:pt idx="13">
                  <c:v>772019.02803999989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5009280"/>
        <c:axId val="335010816"/>
      </c:barChart>
      <c:catAx>
        <c:axId val="335009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35010816"/>
        <c:crosses val="autoZero"/>
        <c:auto val="1"/>
        <c:lblAlgn val="ctr"/>
        <c:lblOffset val="100"/>
        <c:noMultiLvlLbl val="0"/>
      </c:catAx>
      <c:valAx>
        <c:axId val="3350108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335009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5.2702318460192479E-2"/>
                  <c:y val="-0.236797900262467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1126494604841061"/>
                  <c:y val="-0.243171429414019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1754884806065908"/>
                  <c:y val="-0.19208174820844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18994276757072037"/>
                  <c:y val="5.9789436432805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0362933799941674"/>
                  <c:y val="-0.210799492760034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1599</c:v>
                </c:pt>
                <c:pt idx="1">
                  <c:v>6517</c:v>
                </c:pt>
                <c:pt idx="2">
                  <c:v>206338</c:v>
                </c:pt>
                <c:pt idx="3">
                  <c:v>2616766</c:v>
                </c:pt>
                <c:pt idx="4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#,##0.0</c:formatCode>
                <c:ptCount val="4"/>
                <c:pt idx="0">
                  <c:v>1230.9485132482782</c:v>
                </c:pt>
                <c:pt idx="1">
                  <c:v>841.73422192309715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#,##0.0</c:formatCode>
                <c:ptCount val="4"/>
                <c:pt idx="0">
                  <c:v>309.18084071916974</c:v>
                </c:pt>
                <c:pt idx="1">
                  <c:v>127.0096902620883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#,##0.0</c:formatCode>
                <c:ptCount val="4"/>
                <c:pt idx="0">
                  <c:v>517.65588967785368</c:v>
                </c:pt>
                <c:pt idx="1">
                  <c:v>148.4442940678554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#,##0.0</c:formatCode>
                <c:ptCount val="4"/>
                <c:pt idx="0">
                  <c:v>983.90067223482845</c:v>
                </c:pt>
                <c:pt idx="1">
                  <c:v>300.07154571927816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#,##0.0</c:formatCode>
                <c:ptCount val="4"/>
                <c:pt idx="0">
                  <c:v>22.314752086827312</c:v>
                </c:pt>
                <c:pt idx="1">
                  <c:v>20.111587433697633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54752"/>
        <c:axId val="218556288"/>
      </c:barChart>
      <c:catAx>
        <c:axId val="21855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218556288"/>
        <c:crosses val="autoZero"/>
        <c:auto val="1"/>
        <c:lblAlgn val="ctr"/>
        <c:lblOffset val="100"/>
        <c:noMultiLvlLbl val="0"/>
      </c:catAx>
      <c:valAx>
        <c:axId val="218556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855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13128.471031835001</c:v>
                </c:pt>
                <c:pt idx="1">
                  <c:v>8997.6864816050002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3297.4998240799996</c:v>
                </c:pt>
                <c:pt idx="1">
                  <c:v>1357.2392886999999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5521.1408223793196</c:v>
                </c:pt>
                <c:pt idx="1">
                  <c:v>1585.8729867708935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10494.122458062702</c:v>
                </c:pt>
                <c:pt idx="1">
                  <c:v>3206.097580795099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238.09362708</c:v>
                </c:pt>
                <c:pt idx="1">
                  <c:v>214.99049952000001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436352"/>
        <c:axId val="328450432"/>
      </c:barChart>
      <c:catAx>
        <c:axId val="32843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28450432"/>
        <c:crosses val="autoZero"/>
        <c:auto val="1"/>
        <c:lblAlgn val="ctr"/>
        <c:lblOffset val="100"/>
        <c:noMultiLvlLbl val="0"/>
      </c:catAx>
      <c:valAx>
        <c:axId val="32845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2843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32934.799696856702</c:v>
                </c:pt>
                <c:pt idx="1">
                  <c:v>12682.165046787792</c:v>
                </c:pt>
                <c:pt idx="2">
                  <c:v>19165.932988349065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8122368"/>
        <c:axId val="328123904"/>
      </c:barChart>
      <c:catAx>
        <c:axId val="32812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8123904"/>
        <c:crosses val="autoZero"/>
        <c:auto val="1"/>
        <c:lblAlgn val="ctr"/>
        <c:lblOffset val="100"/>
        <c:noMultiLvlLbl val="0"/>
      </c:catAx>
      <c:valAx>
        <c:axId val="328123904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812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21439.039175947957</c:v>
                </c:pt>
                <c:pt idx="1">
                  <c:v>10353.565089058951</c:v>
                </c:pt>
                <c:pt idx="2">
                  <c:v>15882.111066873111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8146304"/>
        <c:axId val="328148096"/>
      </c:barChart>
      <c:catAx>
        <c:axId val="32814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28148096"/>
        <c:crosses val="autoZero"/>
        <c:auto val="1"/>
        <c:lblAlgn val="ctr"/>
        <c:lblOffset val="100"/>
        <c:noMultiLvlLbl val="0"/>
      </c:catAx>
      <c:valAx>
        <c:axId val="328148096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28146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84843</xdr:rowOff>
    </xdr:from>
    <xdr:to>
      <xdr:col>9</xdr:col>
      <xdr:colOff>674473</xdr:colOff>
      <xdr:row>38</xdr:row>
      <xdr:rowOff>28575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942593"/>
          <a:ext cx="6618073" cy="1239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Čtvrtletní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plynárenské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II. čtvrtletí 2020</a:t>
          </a:r>
        </a:p>
      </xdr:txBody>
    </xdr:sp>
    <xdr:clientData/>
  </xdr:twoCellAnchor>
  <xdr:twoCellAnchor editAs="oneCell">
    <xdr:from>
      <xdr:col>2</xdr:col>
      <xdr:colOff>304534</xdr:colOff>
      <xdr:row>17</xdr:row>
      <xdr:rowOff>136072</xdr:rowOff>
    </xdr:from>
    <xdr:to>
      <xdr:col>7</xdr:col>
      <xdr:colOff>342725</xdr:colOff>
      <xdr:row>28</xdr:row>
      <xdr:rowOff>44269</xdr:rowOff>
    </xdr:to>
    <xdr:pic>
      <xdr:nvPicPr>
        <xdr:cNvPr id="14" name="Obrázek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59" y="2888797"/>
          <a:ext cx="3324316" cy="1689372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=""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=""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=""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=""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=""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=""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323850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323850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=""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=""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=""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=""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=""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=""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=""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=""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=""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=""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=""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=""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=""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=""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=""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=""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=""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=""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=""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=""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=""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=""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=""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=""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17462</xdr:rowOff>
    </xdr:from>
    <xdr:to>
      <xdr:col>9</xdr:col>
      <xdr:colOff>161926</xdr:colOff>
      <xdr:row>47</xdr:row>
      <xdr:rowOff>133349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47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47624</xdr:rowOff>
    </xdr:from>
    <xdr:to>
      <xdr:col>13</xdr:col>
      <xdr:colOff>285751</xdr:colOff>
      <xdr:row>42</xdr:row>
      <xdr:rowOff>9525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42</xdr:row>
      <xdr:rowOff>9525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5"/>
  <sheetViews>
    <sheetView showGridLines="0" tabSelected="1" showWhiteSpace="0" zoomScaleNormal="100" zoomScaleSheetLayoutView="100" zoomScalePageLayoutView="70" workbookViewId="0"/>
  </sheetViews>
  <sheetFormatPr defaultColWidth="9.140625" defaultRowHeight="12.75"/>
  <cols>
    <col min="1" max="1" width="10.28515625" style="231" customWidth="1"/>
    <col min="2" max="9" width="9.85546875" style="231" customWidth="1"/>
    <col min="10" max="10" width="10.28515625" style="231" customWidth="1"/>
    <col min="11" max="16384" width="9.140625" style="231"/>
  </cols>
  <sheetData>
    <row r="1" spans="1:10" s="159" customForma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s="159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59" customForma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59" customFormat="1">
      <c r="A4" s="2"/>
      <c r="B4" s="2"/>
      <c r="C4" s="2"/>
      <c r="D4" s="5"/>
      <c r="E4" s="6"/>
      <c r="F4" s="6"/>
      <c r="G4" s="6"/>
      <c r="H4" s="2"/>
      <c r="I4" s="2"/>
      <c r="J4" s="7"/>
    </row>
    <row r="5" spans="1:10" s="159" customForma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159" customForma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159" customForma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s="159" customForma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s="159" customForma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s="159" customFormat="1">
      <c r="A10" s="2"/>
      <c r="B10" s="8"/>
      <c r="C10" s="2"/>
      <c r="D10" s="2"/>
      <c r="E10" s="2"/>
      <c r="F10" s="2"/>
      <c r="G10" s="2"/>
      <c r="H10" s="2"/>
      <c r="I10" s="9"/>
      <c r="J10" s="2"/>
    </row>
    <row r="11" spans="1:10" s="159" customFormat="1">
      <c r="A11" s="2"/>
      <c r="B11" s="10"/>
      <c r="C11" s="11"/>
      <c r="D11" s="2"/>
      <c r="E11" s="2"/>
      <c r="F11" s="2"/>
      <c r="G11" s="2"/>
      <c r="H11" s="2"/>
      <c r="I11" s="2"/>
      <c r="J11" s="2"/>
    </row>
    <row r="12" spans="1:10" s="159" customFormat="1">
      <c r="A12" s="2"/>
      <c r="B12" s="10"/>
      <c r="C12" s="11"/>
      <c r="D12" s="2"/>
      <c r="E12" s="2"/>
      <c r="F12" s="2"/>
      <c r="G12" s="2"/>
      <c r="H12" s="2"/>
      <c r="I12" s="2"/>
      <c r="J12" s="2"/>
    </row>
    <row r="13" spans="1:10" s="159" customFormat="1">
      <c r="A13" s="2"/>
      <c r="B13" s="10"/>
      <c r="C13" s="11"/>
      <c r="D13" s="2"/>
      <c r="E13" s="2"/>
      <c r="F13" s="2"/>
      <c r="G13" s="2"/>
      <c r="H13" s="2"/>
      <c r="I13" s="2"/>
      <c r="J13" s="2"/>
    </row>
    <row r="14" spans="1:10" s="159" customFormat="1">
      <c r="A14" s="12"/>
      <c r="B14" s="13"/>
      <c r="C14" s="14"/>
      <c r="D14" s="12"/>
      <c r="E14" s="12"/>
      <c r="F14" s="12"/>
      <c r="G14" s="12"/>
      <c r="H14" s="12"/>
      <c r="I14" s="12"/>
      <c r="J14" s="12"/>
    </row>
    <row r="15" spans="1:10" s="159" customFormat="1">
      <c r="A15" s="12"/>
      <c r="B15" s="13"/>
      <c r="C15" s="14"/>
      <c r="D15" s="12"/>
      <c r="E15" s="12"/>
      <c r="F15" s="12"/>
      <c r="G15" s="12"/>
      <c r="H15" s="12"/>
      <c r="I15" s="12"/>
      <c r="J15" s="12"/>
    </row>
    <row r="16" spans="1:10" s="159" customFormat="1">
      <c r="A16" s="12"/>
      <c r="B16" s="13"/>
      <c r="C16" s="14"/>
      <c r="D16" s="12"/>
      <c r="E16" s="12"/>
      <c r="F16" s="12"/>
      <c r="G16" s="12"/>
      <c r="H16" s="12"/>
      <c r="I16" s="12"/>
      <c r="J16" s="12"/>
    </row>
    <row r="17" spans="1:10" s="159" customFormat="1">
      <c r="A17" s="12"/>
      <c r="B17" s="13"/>
      <c r="C17" s="14"/>
      <c r="D17" s="12"/>
      <c r="E17" s="12"/>
      <c r="F17" s="12"/>
      <c r="G17" s="12"/>
      <c r="H17" s="12"/>
      <c r="I17" s="12"/>
      <c r="J17" s="12"/>
    </row>
    <row r="18" spans="1:10" s="159" customFormat="1">
      <c r="A18" s="12"/>
      <c r="B18" s="13"/>
      <c r="C18" s="14"/>
      <c r="D18" s="12"/>
      <c r="E18" s="12"/>
      <c r="F18" s="12"/>
      <c r="G18" s="12"/>
      <c r="H18" s="12"/>
      <c r="I18" s="12"/>
      <c r="J18" s="12"/>
    </row>
    <row r="19" spans="1:10" s="159" customFormat="1">
      <c r="A19" s="12"/>
      <c r="B19" s="13"/>
      <c r="C19" s="14"/>
      <c r="D19" s="12"/>
      <c r="E19" s="12"/>
      <c r="F19" s="12"/>
      <c r="G19" s="12"/>
      <c r="H19" s="12"/>
      <c r="I19" s="12"/>
      <c r="J19" s="12"/>
    </row>
    <row r="20" spans="1:10" s="159" customFormat="1">
      <c r="A20" s="12"/>
      <c r="B20" s="13"/>
      <c r="C20" s="14"/>
      <c r="D20" s="12"/>
      <c r="E20" s="12"/>
      <c r="F20" s="12"/>
      <c r="G20" s="12"/>
      <c r="H20" s="12"/>
      <c r="I20" s="12"/>
      <c r="J20" s="12"/>
    </row>
    <row r="21" spans="1:10" s="159" customFormat="1"/>
    <row r="22" spans="1:10" s="159" customFormat="1">
      <c r="A22" s="12"/>
      <c r="B22" s="13"/>
      <c r="C22" s="14"/>
      <c r="D22" s="12"/>
      <c r="E22" s="12"/>
      <c r="F22" s="12"/>
      <c r="G22" s="12"/>
      <c r="H22" s="12"/>
      <c r="I22" s="12"/>
      <c r="J22" s="12"/>
    </row>
    <row r="23" spans="1:10" s="159" customFormat="1">
      <c r="A23" s="12"/>
      <c r="B23" s="13"/>
      <c r="C23" s="14"/>
      <c r="D23" s="12"/>
      <c r="E23" s="12"/>
      <c r="F23" s="12"/>
      <c r="G23" s="12"/>
      <c r="H23" s="12"/>
      <c r="I23" s="12"/>
      <c r="J23" s="12"/>
    </row>
    <row r="24" spans="1:10" s="159" customFormat="1">
      <c r="A24" s="12"/>
      <c r="B24" s="13"/>
      <c r="C24" s="14"/>
      <c r="D24" s="12"/>
      <c r="E24" s="12"/>
      <c r="F24" s="12"/>
      <c r="G24" s="12"/>
      <c r="H24" s="12"/>
      <c r="I24" s="12"/>
      <c r="J24" s="12"/>
    </row>
    <row r="25" spans="1:10" s="159" customFormat="1"/>
    <row r="26" spans="1:10" s="159" customFormat="1">
      <c r="A26" s="12"/>
      <c r="B26" s="13"/>
      <c r="C26" s="14"/>
      <c r="D26" s="12"/>
      <c r="E26" s="12"/>
      <c r="F26" s="12"/>
      <c r="G26" s="12"/>
      <c r="H26" s="12"/>
      <c r="I26" s="12"/>
      <c r="J26" s="12"/>
    </row>
    <row r="27" spans="1:10" s="159" customFormat="1">
      <c r="A27" s="12"/>
      <c r="B27" s="13"/>
      <c r="C27" s="14"/>
      <c r="D27" s="12"/>
      <c r="E27" s="12"/>
      <c r="F27" s="12"/>
      <c r="G27" s="12"/>
      <c r="H27" s="12"/>
      <c r="I27" s="12"/>
      <c r="J27" s="12"/>
    </row>
    <row r="28" spans="1:10" s="159" customFormat="1">
      <c r="A28" s="12"/>
      <c r="B28" s="13"/>
      <c r="C28" s="14"/>
      <c r="D28" s="12"/>
      <c r="E28" s="12"/>
      <c r="F28" s="12"/>
      <c r="G28" s="12"/>
      <c r="H28" s="12"/>
      <c r="I28" s="12"/>
      <c r="J28" s="12"/>
    </row>
    <row r="29" spans="1:10" s="159" customFormat="1">
      <c r="A29" s="582"/>
      <c r="B29" s="582"/>
      <c r="C29" s="582"/>
      <c r="D29" s="582"/>
      <c r="E29" s="582"/>
      <c r="F29" s="582"/>
      <c r="G29" s="582"/>
      <c r="H29" s="582"/>
      <c r="I29" s="582"/>
      <c r="J29" s="582"/>
    </row>
    <row r="30" spans="1:10" s="159" customFormat="1">
      <c r="A30" s="12"/>
      <c r="B30" s="13"/>
      <c r="C30" s="14"/>
      <c r="D30" s="12"/>
      <c r="E30" s="12"/>
      <c r="F30" s="12"/>
      <c r="G30" s="12"/>
      <c r="H30" s="12"/>
      <c r="I30" s="12"/>
      <c r="J30" s="12"/>
    </row>
    <row r="31" spans="1:10" s="159" customFormat="1"/>
    <row r="32" spans="1:10" s="159" customFormat="1">
      <c r="A32" s="12"/>
      <c r="B32" s="13"/>
      <c r="C32" s="14"/>
      <c r="D32" s="12"/>
      <c r="E32" s="12"/>
      <c r="F32" s="12"/>
      <c r="G32" s="12"/>
      <c r="H32" s="12"/>
      <c r="I32" s="12"/>
      <c r="J32" s="12"/>
    </row>
    <row r="33" spans="1:10" s="159" customFormat="1">
      <c r="A33" s="12"/>
      <c r="B33" s="13"/>
      <c r="C33" s="14"/>
      <c r="D33" s="12"/>
      <c r="E33" s="12"/>
      <c r="F33" s="12"/>
      <c r="G33" s="12"/>
      <c r="H33" s="12"/>
      <c r="I33" s="12"/>
      <c r="J33" s="12"/>
    </row>
    <row r="34" spans="1:10" s="159" customFormat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</row>
    <row r="35" spans="1:10" s="159" customFormat="1">
      <c r="A35" s="12"/>
      <c r="B35" s="13"/>
      <c r="C35" s="12"/>
      <c r="D35" s="12"/>
      <c r="E35" s="12"/>
      <c r="F35" s="12"/>
      <c r="G35" s="12"/>
      <c r="H35" s="12"/>
      <c r="I35" s="12"/>
      <c r="J35" s="12"/>
    </row>
    <row r="36" spans="1:10" s="159" customFormat="1"/>
    <row r="37" spans="1:10" s="159" customFormat="1"/>
    <row r="38" spans="1:10" s="159" customFormat="1">
      <c r="B38" s="10"/>
      <c r="C38" s="11"/>
      <c r="D38" s="2"/>
      <c r="E38" s="2"/>
      <c r="F38" s="2"/>
      <c r="G38" s="2"/>
      <c r="H38" s="2"/>
      <c r="I38" s="2"/>
      <c r="J38" s="2"/>
    </row>
    <row r="39" spans="1:10" s="159" customFormat="1"/>
    <row r="40" spans="1:10" s="159" customFormat="1">
      <c r="B40" s="230"/>
      <c r="C40" s="230"/>
      <c r="D40" s="230"/>
      <c r="E40" s="230"/>
      <c r="F40" s="230"/>
      <c r="G40" s="230"/>
      <c r="H40" s="230"/>
      <c r="I40" s="230"/>
    </row>
    <row r="41" spans="1:10" s="159" customFormat="1"/>
    <row r="42" spans="1:10" s="159" customFormat="1"/>
    <row r="43" spans="1:10" s="159" customFormat="1"/>
    <row r="44" spans="1:10" s="159" customFormat="1"/>
    <row r="45" spans="1:10" s="159" customFormat="1"/>
    <row r="46" spans="1:10" s="159" customFormat="1"/>
    <row r="47" spans="1:10" s="159" customFormat="1"/>
    <row r="48" spans="1:10" s="159" customFormat="1"/>
    <row r="49" spans="1:10" s="159" customFormat="1"/>
    <row r="50" spans="1:10" s="159" customFormat="1"/>
    <row r="51" spans="1:10" s="159" customFormat="1">
      <c r="A51" s="584"/>
      <c r="B51" s="584"/>
      <c r="C51" s="584"/>
      <c r="D51" s="584"/>
      <c r="E51" s="584"/>
      <c r="F51" s="584"/>
      <c r="G51" s="584"/>
      <c r="H51" s="584"/>
      <c r="I51" s="584"/>
      <c r="J51" s="584"/>
    </row>
    <row r="52" spans="1:10" s="159" customFormat="1"/>
    <row r="53" spans="1:10" s="159" customFormat="1"/>
    <row r="54" spans="1:10" s="159" customFormat="1"/>
    <row r="55" spans="1:10" s="159" customFormat="1"/>
  </sheetData>
  <mergeCells count="3">
    <mergeCell ref="A29:J29"/>
    <mergeCell ref="A34:J34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O57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18.42578125" style="91" customWidth="1"/>
    <col min="2" max="10" width="9" style="91" customWidth="1"/>
    <col min="11" max="12" width="7.7109375" style="91" customWidth="1"/>
    <col min="13" max="16384" width="9.140625" style="91"/>
  </cols>
  <sheetData>
    <row r="1" spans="1:10" ht="15.75">
      <c r="A1" s="638" t="s">
        <v>141</v>
      </c>
      <c r="B1" s="638"/>
      <c r="C1" s="638"/>
      <c r="D1" s="638"/>
      <c r="E1" s="638"/>
      <c r="F1" s="638"/>
      <c r="G1" s="638"/>
      <c r="H1" s="638"/>
      <c r="I1" s="638"/>
      <c r="J1" s="638"/>
    </row>
    <row r="2" spans="1:10" ht="6" customHeight="1">
      <c r="A2" s="217"/>
      <c r="B2" s="218"/>
      <c r="C2" s="218"/>
      <c r="D2" s="218"/>
      <c r="E2" s="218"/>
      <c r="F2" s="218"/>
      <c r="G2" s="218"/>
      <c r="H2" s="218"/>
      <c r="I2" s="218"/>
      <c r="J2" s="218"/>
    </row>
    <row r="3" spans="1:10" ht="15" customHeight="1">
      <c r="A3" s="423"/>
      <c r="B3" s="640">
        <v>2020</v>
      </c>
      <c r="C3" s="641"/>
      <c r="D3" s="641"/>
      <c r="E3" s="641"/>
      <c r="F3" s="641"/>
      <c r="G3" s="641"/>
      <c r="H3" s="641"/>
      <c r="I3" s="641"/>
      <c r="J3" s="641"/>
    </row>
    <row r="4" spans="1:10" ht="15.75" customHeight="1">
      <c r="A4" s="642"/>
      <c r="B4" s="604" t="str">
        <f>'3.1'!D6</f>
        <v>Duben</v>
      </c>
      <c r="C4" s="605"/>
      <c r="D4" s="606"/>
      <c r="E4" s="604" t="str">
        <f>'3.1'!E6</f>
        <v>Květen</v>
      </c>
      <c r="F4" s="605"/>
      <c r="G4" s="606"/>
      <c r="H4" s="604" t="str">
        <f>'3.1'!F6</f>
        <v>Červen</v>
      </c>
      <c r="I4" s="605"/>
      <c r="J4" s="605"/>
    </row>
    <row r="5" spans="1:10" ht="28.5" customHeight="1">
      <c r="A5" s="642"/>
      <c r="B5" s="643" t="s">
        <v>67</v>
      </c>
      <c r="C5" s="643"/>
      <c r="D5" s="401" t="s">
        <v>251</v>
      </c>
      <c r="E5" s="643" t="s">
        <v>67</v>
      </c>
      <c r="F5" s="643"/>
      <c r="G5" s="401" t="s">
        <v>251</v>
      </c>
      <c r="H5" s="643" t="s">
        <v>67</v>
      </c>
      <c r="I5" s="643"/>
      <c r="J5" s="424" t="s">
        <v>251</v>
      </c>
    </row>
    <row r="6" spans="1:10" ht="15" customHeight="1">
      <c r="A6" s="404" t="s">
        <v>243</v>
      </c>
      <c r="B6" s="406" t="s">
        <v>294</v>
      </c>
      <c r="C6" s="407" t="s">
        <v>289</v>
      </c>
      <c r="D6" s="404" t="s">
        <v>292</v>
      </c>
      <c r="E6" s="406" t="s">
        <v>294</v>
      </c>
      <c r="F6" s="407" t="s">
        <v>289</v>
      </c>
      <c r="G6" s="404" t="s">
        <v>292</v>
      </c>
      <c r="H6" s="406" t="s">
        <v>294</v>
      </c>
      <c r="I6" s="407" t="s">
        <v>289</v>
      </c>
      <c r="J6" s="407" t="s">
        <v>292</v>
      </c>
    </row>
    <row r="7" spans="1:10" ht="12.6" customHeight="1">
      <c r="A7" s="425">
        <v>1</v>
      </c>
      <c r="B7" s="104">
        <v>32934.799696856702</v>
      </c>
      <c r="C7" s="105">
        <v>351637.12635063333</v>
      </c>
      <c r="D7" s="106">
        <v>0.1</v>
      </c>
      <c r="E7" s="104">
        <v>12542.687372966504</v>
      </c>
      <c r="F7" s="105">
        <v>133990.19673016129</v>
      </c>
      <c r="G7" s="106">
        <v>11.1</v>
      </c>
      <c r="H7" s="104">
        <v>14198.012665116983</v>
      </c>
      <c r="I7" s="105">
        <v>152012.80129700003</v>
      </c>
      <c r="J7" s="426">
        <v>15.1</v>
      </c>
    </row>
    <row r="8" spans="1:10" ht="12.6" customHeight="1">
      <c r="A8" s="425">
        <v>2</v>
      </c>
      <c r="B8" s="104">
        <v>30099.40334473562</v>
      </c>
      <c r="C8" s="105">
        <v>321372.47435063333</v>
      </c>
      <c r="D8" s="106">
        <v>3.8</v>
      </c>
      <c r="E8" s="104">
        <v>12389.591582026995</v>
      </c>
      <c r="F8" s="105">
        <v>132360.30073016128</v>
      </c>
      <c r="G8" s="106">
        <v>9.1999999999999993</v>
      </c>
      <c r="H8" s="104">
        <v>15794.783870813886</v>
      </c>
      <c r="I8" s="105">
        <v>169062.16529700003</v>
      </c>
      <c r="J8" s="426">
        <v>14.4</v>
      </c>
    </row>
    <row r="9" spans="1:10" ht="12.6" customHeight="1">
      <c r="A9" s="425">
        <v>3</v>
      </c>
      <c r="B9" s="104">
        <v>29337.929697106345</v>
      </c>
      <c r="C9" s="105">
        <v>313183.13235063333</v>
      </c>
      <c r="D9" s="106">
        <v>4.4000000000000004</v>
      </c>
      <c r="E9" s="104">
        <v>15996.67802375638</v>
      </c>
      <c r="F9" s="105">
        <v>170870.44373016129</v>
      </c>
      <c r="G9" s="106">
        <v>8.5</v>
      </c>
      <c r="H9" s="104">
        <v>15040.266937263857</v>
      </c>
      <c r="I9" s="105">
        <v>160973.84129700001</v>
      </c>
      <c r="J9" s="426">
        <v>15.5</v>
      </c>
    </row>
    <row r="10" spans="1:10" ht="12.6" customHeight="1">
      <c r="A10" s="425">
        <v>4</v>
      </c>
      <c r="B10" s="104">
        <v>23573.009536606387</v>
      </c>
      <c r="C10" s="105">
        <v>251690.30135063332</v>
      </c>
      <c r="D10" s="106">
        <v>5.4</v>
      </c>
      <c r="E10" s="104">
        <v>18467.044246950638</v>
      </c>
      <c r="F10" s="105">
        <v>197240.14873016128</v>
      </c>
      <c r="G10" s="106">
        <v>10.7</v>
      </c>
      <c r="H10" s="104">
        <v>13824.962477888219</v>
      </c>
      <c r="I10" s="105">
        <v>147982.78829700002</v>
      </c>
      <c r="J10" s="426">
        <v>15.9</v>
      </c>
    </row>
    <row r="11" spans="1:10" ht="12.6" customHeight="1">
      <c r="A11" s="425">
        <v>5</v>
      </c>
      <c r="B11" s="104">
        <v>21077.989338161373</v>
      </c>
      <c r="C11" s="105">
        <v>225055.72935063334</v>
      </c>
      <c r="D11" s="106">
        <v>7.9</v>
      </c>
      <c r="E11" s="104">
        <v>19942.771983323972</v>
      </c>
      <c r="F11" s="105">
        <v>212988.55773016129</v>
      </c>
      <c r="G11" s="106">
        <v>6.7</v>
      </c>
      <c r="H11" s="104">
        <v>12230.703941751135</v>
      </c>
      <c r="I11" s="105">
        <v>130986.36329699999</v>
      </c>
      <c r="J11" s="426">
        <v>13.1</v>
      </c>
    </row>
    <row r="12" spans="1:10" ht="12.6" customHeight="1">
      <c r="A12" s="425">
        <v>6</v>
      </c>
      <c r="B12" s="104">
        <v>21708.674623874955</v>
      </c>
      <c r="C12" s="105">
        <v>231795.65335063334</v>
      </c>
      <c r="D12" s="106">
        <v>11.4</v>
      </c>
      <c r="E12" s="104">
        <v>21366.269083491548</v>
      </c>
      <c r="F12" s="105">
        <v>228179.95873016128</v>
      </c>
      <c r="G12" s="106">
        <v>8.4</v>
      </c>
      <c r="H12" s="104">
        <v>9419.1557934206085</v>
      </c>
      <c r="I12" s="105">
        <v>100890.63529699999</v>
      </c>
      <c r="J12" s="426">
        <v>14.7</v>
      </c>
    </row>
    <row r="13" spans="1:10" ht="12.6" customHeight="1">
      <c r="A13" s="425">
        <v>7</v>
      </c>
      <c r="B13" s="104">
        <v>20867.767180238236</v>
      </c>
      <c r="C13" s="105">
        <v>222830.72835063332</v>
      </c>
      <c r="D13" s="106">
        <v>10.6</v>
      </c>
      <c r="E13" s="104">
        <v>18110.79589960974</v>
      </c>
      <c r="F13" s="105">
        <v>193422.52573016129</v>
      </c>
      <c r="G13" s="106">
        <v>10.5</v>
      </c>
      <c r="H13" s="104">
        <v>11827.129433056363</v>
      </c>
      <c r="I13" s="105">
        <v>126694.52129699998</v>
      </c>
      <c r="J13" s="426">
        <v>14.4</v>
      </c>
    </row>
    <row r="14" spans="1:10" ht="12.6" customHeight="1">
      <c r="A14" s="425">
        <v>8</v>
      </c>
      <c r="B14" s="104">
        <v>20497.146246694672</v>
      </c>
      <c r="C14" s="105">
        <v>218872.96535063331</v>
      </c>
      <c r="D14" s="106">
        <v>10.5</v>
      </c>
      <c r="E14" s="104">
        <v>14430.34867319255</v>
      </c>
      <c r="F14" s="105">
        <v>154116.36673016127</v>
      </c>
      <c r="G14" s="106">
        <v>13.8</v>
      </c>
      <c r="H14" s="104">
        <v>15655.779545807542</v>
      </c>
      <c r="I14" s="105">
        <v>167673.97029700002</v>
      </c>
      <c r="J14" s="426">
        <v>13</v>
      </c>
    </row>
    <row r="15" spans="1:10" ht="12.6" customHeight="1">
      <c r="A15" s="425">
        <v>9</v>
      </c>
      <c r="B15" s="104">
        <v>17968.669277772718</v>
      </c>
      <c r="C15" s="105">
        <v>191878.10535063333</v>
      </c>
      <c r="D15" s="106">
        <v>12.5</v>
      </c>
      <c r="E15" s="104">
        <v>11205.382976373061</v>
      </c>
      <c r="F15" s="105">
        <v>119691.3547301613</v>
      </c>
      <c r="G15" s="106">
        <v>16.5</v>
      </c>
      <c r="H15" s="104">
        <v>15798.304430533166</v>
      </c>
      <c r="I15" s="105">
        <v>169213.73029700003</v>
      </c>
      <c r="J15" s="426">
        <v>14.7</v>
      </c>
    </row>
    <row r="16" spans="1:10" ht="12.6" customHeight="1">
      <c r="A16" s="425">
        <v>10</v>
      </c>
      <c r="B16" s="104">
        <v>15831.027202797979</v>
      </c>
      <c r="C16" s="105">
        <v>169047.10435063334</v>
      </c>
      <c r="D16" s="106">
        <v>10.3</v>
      </c>
      <c r="E16" s="104">
        <v>10353.565089058951</v>
      </c>
      <c r="F16" s="105">
        <v>110620.71973016129</v>
      </c>
      <c r="G16" s="106">
        <v>16</v>
      </c>
      <c r="H16" s="104">
        <v>16178.515916953958</v>
      </c>
      <c r="I16" s="105">
        <v>173289.02829700001</v>
      </c>
      <c r="J16" s="426">
        <v>14</v>
      </c>
    </row>
    <row r="17" spans="1:10" ht="12.6" customHeight="1">
      <c r="A17" s="425">
        <v>11</v>
      </c>
      <c r="B17" s="104">
        <v>15317.749880159827</v>
      </c>
      <c r="C17" s="105">
        <v>163563.53335063331</v>
      </c>
      <c r="D17" s="106">
        <v>9.3000000000000007</v>
      </c>
      <c r="E17" s="104">
        <v>17976.443342886116</v>
      </c>
      <c r="F17" s="105">
        <v>191962.61773016129</v>
      </c>
      <c r="G17" s="106">
        <v>9.5</v>
      </c>
      <c r="H17" s="104">
        <v>14265.203800519816</v>
      </c>
      <c r="I17" s="105">
        <v>152798.38429700001</v>
      </c>
      <c r="J17" s="426">
        <v>16.600000000000001</v>
      </c>
    </row>
    <row r="18" spans="1:10" ht="12.6" customHeight="1">
      <c r="A18" s="425">
        <v>12</v>
      </c>
      <c r="B18" s="104">
        <v>13179.768692266452</v>
      </c>
      <c r="C18" s="105">
        <v>140739.64735063331</v>
      </c>
      <c r="D18" s="106">
        <v>12.1</v>
      </c>
      <c r="E18" s="104">
        <v>21439.039175947957</v>
      </c>
      <c r="F18" s="105">
        <v>228952.32173016129</v>
      </c>
      <c r="G18" s="106">
        <v>5.0999999999999996</v>
      </c>
      <c r="H18" s="104">
        <v>12353.998870745028</v>
      </c>
      <c r="I18" s="105">
        <v>132345.13929699999</v>
      </c>
      <c r="J18" s="426">
        <v>19.600000000000001</v>
      </c>
    </row>
    <row r="19" spans="1:10" ht="12.6" customHeight="1">
      <c r="A19" s="425">
        <v>13</v>
      </c>
      <c r="B19" s="104">
        <v>16633.124318725066</v>
      </c>
      <c r="C19" s="105">
        <v>177597.66635063331</v>
      </c>
      <c r="D19" s="107">
        <v>7.8</v>
      </c>
      <c r="E19" s="104">
        <v>20821.412414657854</v>
      </c>
      <c r="F19" s="105">
        <v>222371.53173016128</v>
      </c>
      <c r="G19" s="107">
        <v>7.9</v>
      </c>
      <c r="H19" s="104">
        <v>9029.2256952225889</v>
      </c>
      <c r="I19" s="105">
        <v>96730.747296999994</v>
      </c>
      <c r="J19" s="427">
        <v>21.3</v>
      </c>
    </row>
    <row r="20" spans="1:10" ht="12.6" customHeight="1">
      <c r="A20" s="425">
        <v>14</v>
      </c>
      <c r="B20" s="104">
        <v>26271.190431637919</v>
      </c>
      <c r="C20" s="105">
        <v>280491.96335063333</v>
      </c>
      <c r="D20" s="107">
        <v>2.2999999999999998</v>
      </c>
      <c r="E20" s="104">
        <v>20551.505387021181</v>
      </c>
      <c r="F20" s="105">
        <v>219492.47073016127</v>
      </c>
      <c r="G20" s="107">
        <v>8.6999999999999993</v>
      </c>
      <c r="H20" s="104">
        <v>10349.858273410711</v>
      </c>
      <c r="I20" s="105">
        <v>110895.15429699999</v>
      </c>
      <c r="J20" s="427">
        <v>18.100000000000001</v>
      </c>
    </row>
    <row r="21" spans="1:10" ht="12.6" customHeight="1">
      <c r="A21" s="425">
        <v>15</v>
      </c>
      <c r="B21" s="104">
        <v>23478.950927594808</v>
      </c>
      <c r="C21" s="105">
        <v>250676.16935063331</v>
      </c>
      <c r="D21" s="107">
        <v>6.6</v>
      </c>
      <c r="E21" s="104">
        <v>20245.492245128815</v>
      </c>
      <c r="F21" s="105">
        <v>216251.88573016127</v>
      </c>
      <c r="G21" s="107">
        <v>7.9</v>
      </c>
      <c r="H21" s="104">
        <v>13773.280170963195</v>
      </c>
      <c r="I21" s="105">
        <v>147571.58029700001</v>
      </c>
      <c r="J21" s="427">
        <v>17.600000000000001</v>
      </c>
    </row>
    <row r="22" spans="1:10" ht="12.6" customHeight="1">
      <c r="A22" s="425">
        <v>16</v>
      </c>
      <c r="B22" s="104">
        <v>20100.812449942587</v>
      </c>
      <c r="C22" s="105">
        <v>214609.70535063333</v>
      </c>
      <c r="D22" s="107">
        <v>11.8</v>
      </c>
      <c r="E22" s="104">
        <v>14433.353718534749</v>
      </c>
      <c r="F22" s="105">
        <v>154193.87073016129</v>
      </c>
      <c r="G22" s="107">
        <v>10.5</v>
      </c>
      <c r="H22" s="104">
        <v>14109.165992857674</v>
      </c>
      <c r="I22" s="105">
        <v>151127.02329700001</v>
      </c>
      <c r="J22" s="427">
        <v>17.899999999999999</v>
      </c>
    </row>
    <row r="23" spans="1:10" ht="12.6" customHeight="1">
      <c r="A23" s="425">
        <v>17</v>
      </c>
      <c r="B23" s="104">
        <v>16502.448946710756</v>
      </c>
      <c r="C23" s="105">
        <v>176202.70235063334</v>
      </c>
      <c r="D23" s="107">
        <v>12.7</v>
      </c>
      <c r="E23" s="104">
        <v>12801.993838328863</v>
      </c>
      <c r="F23" s="105">
        <v>136771.19373016129</v>
      </c>
      <c r="G23" s="107">
        <v>12.1</v>
      </c>
      <c r="H23" s="104">
        <v>14079.206003337677</v>
      </c>
      <c r="I23" s="105">
        <v>150797.19029700002</v>
      </c>
      <c r="J23" s="427">
        <v>18.5</v>
      </c>
    </row>
    <row r="24" spans="1:10" ht="12.6" customHeight="1">
      <c r="A24" s="425">
        <v>18</v>
      </c>
      <c r="B24" s="104">
        <v>12682.165046787792</v>
      </c>
      <c r="C24" s="108">
        <v>135438.72435063333</v>
      </c>
      <c r="D24" s="109">
        <v>12.8</v>
      </c>
      <c r="E24" s="104">
        <v>15715.017484542142</v>
      </c>
      <c r="F24" s="108">
        <v>167872.93573016129</v>
      </c>
      <c r="G24" s="109">
        <v>14.8</v>
      </c>
      <c r="H24" s="104">
        <v>14449.084165487609</v>
      </c>
      <c r="I24" s="108">
        <v>154792.67029700003</v>
      </c>
      <c r="J24" s="428">
        <v>16.2</v>
      </c>
    </row>
    <row r="25" spans="1:10" ht="12.6" customHeight="1">
      <c r="A25" s="425">
        <v>19</v>
      </c>
      <c r="B25" s="104">
        <v>15641.515590595471</v>
      </c>
      <c r="C25" s="108">
        <v>167025.94435063333</v>
      </c>
      <c r="D25" s="109">
        <v>8.6</v>
      </c>
      <c r="E25" s="104">
        <v>15461.535058750482</v>
      </c>
      <c r="F25" s="108">
        <v>165168.92273016128</v>
      </c>
      <c r="G25" s="109">
        <v>17.600000000000001</v>
      </c>
      <c r="H25" s="104">
        <v>14092.901988982734</v>
      </c>
      <c r="I25" s="108">
        <v>150953.38129700001</v>
      </c>
      <c r="J25" s="428">
        <v>15.3</v>
      </c>
    </row>
    <row r="26" spans="1:10" ht="12.6" customHeight="1">
      <c r="A26" s="425">
        <v>20</v>
      </c>
      <c r="B26" s="104">
        <v>18036.064928552798</v>
      </c>
      <c r="C26" s="105">
        <v>192583.23935063332</v>
      </c>
      <c r="D26" s="107">
        <v>8.4</v>
      </c>
      <c r="E26" s="104">
        <v>15941.772214374712</v>
      </c>
      <c r="F26" s="105">
        <v>170303.24173016127</v>
      </c>
      <c r="G26" s="107">
        <v>13.5</v>
      </c>
      <c r="H26" s="104">
        <v>12489.285497224992</v>
      </c>
      <c r="I26" s="105">
        <v>133781.502297</v>
      </c>
      <c r="J26" s="427">
        <v>14.4</v>
      </c>
    </row>
    <row r="27" spans="1:10" ht="12.6" customHeight="1">
      <c r="A27" s="425">
        <v>21</v>
      </c>
      <c r="B27" s="104">
        <v>17683.137520299628</v>
      </c>
      <c r="C27" s="105">
        <v>188815.85735063333</v>
      </c>
      <c r="D27" s="107">
        <v>9.8000000000000007</v>
      </c>
      <c r="E27" s="104">
        <v>14246.900070984282</v>
      </c>
      <c r="F27" s="105">
        <v>152205.58973016127</v>
      </c>
      <c r="G27" s="107">
        <v>12.6</v>
      </c>
      <c r="H27" s="104">
        <v>12049.809143984039</v>
      </c>
      <c r="I27" s="105">
        <v>129099.00429699999</v>
      </c>
      <c r="J27" s="427">
        <v>15.6</v>
      </c>
    </row>
    <row r="28" spans="1:10" ht="12.6" customHeight="1">
      <c r="A28" s="425">
        <v>22</v>
      </c>
      <c r="B28" s="104">
        <v>18070.922223759946</v>
      </c>
      <c r="C28" s="105">
        <v>192953.99835063334</v>
      </c>
      <c r="D28" s="107">
        <v>10.3</v>
      </c>
      <c r="E28" s="104">
        <v>13111.870222743815</v>
      </c>
      <c r="F28" s="105">
        <v>140082.20473016129</v>
      </c>
      <c r="G28" s="107">
        <v>14.1</v>
      </c>
      <c r="H28" s="104">
        <v>14832.133826330706</v>
      </c>
      <c r="I28" s="105">
        <v>158947.31729700003</v>
      </c>
      <c r="J28" s="427">
        <v>18.399999999999999</v>
      </c>
    </row>
    <row r="29" spans="1:10" ht="12.6" customHeight="1">
      <c r="A29" s="425">
        <v>23</v>
      </c>
      <c r="B29" s="110">
        <v>18723.757812331252</v>
      </c>
      <c r="C29" s="111">
        <v>199935.40135063333</v>
      </c>
      <c r="D29" s="106">
        <v>10.9</v>
      </c>
      <c r="E29" s="110">
        <v>11330.917227278846</v>
      </c>
      <c r="F29" s="111">
        <v>121062.51573016129</v>
      </c>
      <c r="G29" s="106">
        <v>12.3</v>
      </c>
      <c r="H29" s="110">
        <v>14763.74107708283</v>
      </c>
      <c r="I29" s="111">
        <v>158182.11529700001</v>
      </c>
      <c r="J29" s="426">
        <v>17</v>
      </c>
    </row>
    <row r="30" spans="1:10" ht="12.6" customHeight="1">
      <c r="A30" s="425">
        <v>24</v>
      </c>
      <c r="B30" s="112">
        <v>14178.567129293251</v>
      </c>
      <c r="C30" s="113">
        <v>151414.11435063332</v>
      </c>
      <c r="D30" s="106">
        <v>13</v>
      </c>
      <c r="E30" s="112">
        <v>12216.131022003814</v>
      </c>
      <c r="F30" s="113">
        <v>130513.88273016129</v>
      </c>
      <c r="G30" s="106">
        <v>10.9</v>
      </c>
      <c r="H30" s="112">
        <v>14908.896813097279</v>
      </c>
      <c r="I30" s="113">
        <v>159676.35129700002</v>
      </c>
      <c r="J30" s="426">
        <v>15.2</v>
      </c>
    </row>
    <row r="31" spans="1:10" ht="12.6" customHeight="1">
      <c r="A31" s="425">
        <v>25</v>
      </c>
      <c r="B31" s="104">
        <v>15002.761802600869</v>
      </c>
      <c r="C31" s="105">
        <v>160195.64035063333</v>
      </c>
      <c r="D31" s="107">
        <v>8.4</v>
      </c>
      <c r="E31" s="104">
        <v>17177.612540748727</v>
      </c>
      <c r="F31" s="105">
        <v>183496.34973016128</v>
      </c>
      <c r="G31" s="107">
        <v>10.3</v>
      </c>
      <c r="H31" s="104">
        <v>14387.223283011906</v>
      </c>
      <c r="I31" s="105">
        <v>154095.83629700003</v>
      </c>
      <c r="J31" s="427">
        <v>17.7</v>
      </c>
    </row>
    <row r="32" spans="1:10" ht="12.6" customHeight="1">
      <c r="A32" s="425">
        <v>26</v>
      </c>
      <c r="B32" s="104">
        <v>15429.399550126556</v>
      </c>
      <c r="C32" s="105">
        <v>164750.91635063331</v>
      </c>
      <c r="D32" s="107">
        <v>8.6</v>
      </c>
      <c r="E32" s="104">
        <v>18122.818195914548</v>
      </c>
      <c r="F32" s="105">
        <v>193594.91373016129</v>
      </c>
      <c r="G32" s="107">
        <v>10.8</v>
      </c>
      <c r="H32" s="104">
        <v>13487.935486125793</v>
      </c>
      <c r="I32" s="105">
        <v>144449.00429700001</v>
      </c>
      <c r="J32" s="427">
        <v>17.8</v>
      </c>
    </row>
    <row r="33" spans="1:15" ht="12.6" customHeight="1">
      <c r="A33" s="425">
        <v>27</v>
      </c>
      <c r="B33" s="104">
        <v>18215.411766515143</v>
      </c>
      <c r="C33" s="105">
        <v>194480.35835063332</v>
      </c>
      <c r="D33" s="107">
        <v>12.2</v>
      </c>
      <c r="E33" s="104">
        <v>16324.233312766222</v>
      </c>
      <c r="F33" s="105">
        <v>174390.30473016127</v>
      </c>
      <c r="G33" s="107">
        <v>13.1</v>
      </c>
      <c r="H33" s="104">
        <v>10967.989321872694</v>
      </c>
      <c r="I33" s="105">
        <v>117460.73029699999</v>
      </c>
      <c r="J33" s="427">
        <v>21.2</v>
      </c>
    </row>
    <row r="34" spans="1:15" ht="12.6" customHeight="1">
      <c r="A34" s="425">
        <v>28</v>
      </c>
      <c r="B34" s="104">
        <v>15787.255971520592</v>
      </c>
      <c r="C34" s="105">
        <v>168564.65435063333</v>
      </c>
      <c r="D34" s="107">
        <v>15.4</v>
      </c>
      <c r="E34" s="104">
        <v>18285.662079079244</v>
      </c>
      <c r="F34" s="105">
        <v>195337.12573016129</v>
      </c>
      <c r="G34" s="107">
        <v>10.7</v>
      </c>
      <c r="H34" s="104">
        <v>10485.695713215908</v>
      </c>
      <c r="I34" s="105">
        <v>112298.07029699998</v>
      </c>
      <c r="J34" s="427">
        <v>21.9</v>
      </c>
    </row>
    <row r="35" spans="1:15" ht="12.6" customHeight="1">
      <c r="A35" s="425">
        <v>29</v>
      </c>
      <c r="B35" s="104">
        <v>16781.021591169163</v>
      </c>
      <c r="C35" s="105">
        <v>179167.02635063333</v>
      </c>
      <c r="D35" s="107">
        <v>12.1</v>
      </c>
      <c r="E35" s="104">
        <v>15980.711000299138</v>
      </c>
      <c r="F35" s="105">
        <v>170722.51273016128</v>
      </c>
      <c r="G35" s="107">
        <v>11.6</v>
      </c>
      <c r="H35" s="104">
        <v>14226.457927634299</v>
      </c>
      <c r="I35" s="105">
        <v>152334.95529700001</v>
      </c>
      <c r="J35" s="427">
        <v>15.9</v>
      </c>
    </row>
    <row r="36" spans="1:15" ht="12.6" customHeight="1">
      <c r="A36" s="425">
        <v>30</v>
      </c>
      <c r="B36" s="104">
        <v>13365.546925037155</v>
      </c>
      <c r="C36" s="105">
        <v>142723.16135063331</v>
      </c>
      <c r="D36" s="107">
        <v>13.4</v>
      </c>
      <c r="E36" s="104">
        <v>11580.336016639965</v>
      </c>
      <c r="F36" s="105">
        <v>123724.82673016129</v>
      </c>
      <c r="G36" s="107">
        <v>11</v>
      </c>
      <c r="H36" s="104">
        <v>14417.224475961093</v>
      </c>
      <c r="I36" s="105">
        <v>154368.20229700001</v>
      </c>
      <c r="J36" s="427">
        <v>18.3</v>
      </c>
    </row>
    <row r="37" spans="1:15" ht="12.6" customHeight="1">
      <c r="A37" s="425">
        <v>31</v>
      </c>
      <c r="B37" s="104"/>
      <c r="C37" s="105"/>
      <c r="D37" s="107"/>
      <c r="E37" s="104">
        <v>13775.551573684514</v>
      </c>
      <c r="F37" s="105">
        <v>147165.87573016129</v>
      </c>
      <c r="G37" s="107">
        <v>10.8</v>
      </c>
      <c r="H37" s="104"/>
      <c r="I37" s="105"/>
      <c r="J37" s="427"/>
    </row>
    <row r="38" spans="1:15" ht="12.6" customHeight="1">
      <c r="A38" s="429" t="s">
        <v>0</v>
      </c>
      <c r="B38" s="362">
        <f>SUM(B7:B37)</f>
        <v>574977.98965047195</v>
      </c>
      <c r="C38" s="363">
        <f>SUM(C7:C37)</f>
        <v>6139293.7445190009</v>
      </c>
      <c r="D38" s="364">
        <f>AVERAGE(D7:D37)</f>
        <v>9.4466666666666654</v>
      </c>
      <c r="E38" s="362">
        <f>SUM(E7:E37)</f>
        <v>492345.44307306642</v>
      </c>
      <c r="F38" s="363">
        <f>SUM(F7:F37)</f>
        <v>5259117.6676350003</v>
      </c>
      <c r="G38" s="364">
        <f>AVERAGE(G7:G37)</f>
        <v>11.2</v>
      </c>
      <c r="H38" s="362">
        <f>SUM(H7:H37)</f>
        <v>403485.93253967445</v>
      </c>
      <c r="I38" s="363">
        <f>SUM(I7:I37)</f>
        <v>4321484.2049100008</v>
      </c>
      <c r="J38" s="430">
        <f>AVERAGE(J7:J37)</f>
        <v>16.643333333333331</v>
      </c>
      <c r="M38" s="219"/>
      <c r="N38" s="219"/>
      <c r="O38" s="219"/>
    </row>
    <row r="39" spans="1:15" ht="12.95" customHeight="1">
      <c r="A39" s="431" t="s">
        <v>244</v>
      </c>
      <c r="B39" s="88">
        <f>MAX(B7:B37)</f>
        <v>32934.799696856702</v>
      </c>
      <c r="C39" s="88">
        <f>MAX(C7:C37)</f>
        <v>351637.12635063333</v>
      </c>
      <c r="D39" s="89">
        <f>VLOOKUP(B39,$B$7:$D$37,3,FALSE)</f>
        <v>0.1</v>
      </c>
      <c r="E39" s="88">
        <f>MAX(E7:E37)</f>
        <v>21439.039175947957</v>
      </c>
      <c r="F39" s="88">
        <f>MAX(F7:F37)</f>
        <v>228952.32173016129</v>
      </c>
      <c r="G39" s="89">
        <f>VLOOKUP(E39,$E$7:$G$37,3,FALSE)</f>
        <v>5.0999999999999996</v>
      </c>
      <c r="H39" s="88">
        <f>MAX(H7:H37)</f>
        <v>16178.515916953958</v>
      </c>
      <c r="I39" s="88">
        <f>MAX(I7:I37)</f>
        <v>173289.02829700001</v>
      </c>
      <c r="J39" s="432">
        <f>VLOOKUP(H39,$H$7:$J$37,3,FALSE)</f>
        <v>14</v>
      </c>
    </row>
    <row r="40" spans="1:15" ht="12.95" customHeight="1">
      <c r="A40" s="433" t="s">
        <v>245</v>
      </c>
      <c r="B40" s="88">
        <f>MIN(B7:B37)</f>
        <v>12682.165046787792</v>
      </c>
      <c r="C40" s="88">
        <f>MIN(C7:C37)</f>
        <v>135438.72435063333</v>
      </c>
      <c r="D40" s="90">
        <f>VLOOKUP(B40,$B$7:$D$37,3,FALSE)</f>
        <v>12.8</v>
      </c>
      <c r="E40" s="88">
        <f>MIN(E7:E37)</f>
        <v>10353.565089058951</v>
      </c>
      <c r="F40" s="88">
        <f>MIN(F7:F37)</f>
        <v>110620.71973016129</v>
      </c>
      <c r="G40" s="90">
        <f>VLOOKUP(E40,$E$7:$G$37,3,FALSE)</f>
        <v>16</v>
      </c>
      <c r="H40" s="88">
        <f>MIN(H7:H37)</f>
        <v>9029.2256952225889</v>
      </c>
      <c r="I40" s="88">
        <f>MIN(I7:I37)</f>
        <v>96730.747296999994</v>
      </c>
      <c r="J40" s="434">
        <f>VLOOKUP(H40,$H$7:$J$37,3,FALSE)</f>
        <v>21.3</v>
      </c>
    </row>
    <row r="41" spans="1:15" ht="12.95" customHeight="1">
      <c r="A41" s="433" t="s">
        <v>246</v>
      </c>
      <c r="B41" s="88">
        <f t="shared" ref="B41:J41" si="0">AVERAGE(B7:B37)</f>
        <v>19165.932988349065</v>
      </c>
      <c r="C41" s="88">
        <f t="shared" si="0"/>
        <v>204643.12481730003</v>
      </c>
      <c r="D41" s="90">
        <f t="shared" si="0"/>
        <v>9.4466666666666654</v>
      </c>
      <c r="E41" s="88">
        <f t="shared" si="0"/>
        <v>15882.111066873111</v>
      </c>
      <c r="F41" s="88">
        <f>AVERAGE(F7:F37)</f>
        <v>169648.95702048388</v>
      </c>
      <c r="G41" s="90">
        <f t="shared" si="0"/>
        <v>11.2</v>
      </c>
      <c r="H41" s="88">
        <f>AVERAGE(H7:H37)</f>
        <v>13449.531084655815</v>
      </c>
      <c r="I41" s="88">
        <f t="shared" si="0"/>
        <v>144049.47349700003</v>
      </c>
      <c r="J41" s="434">
        <f t="shared" si="0"/>
        <v>16.643333333333331</v>
      </c>
    </row>
    <row r="42" spans="1:15" ht="7.5" customHeight="1">
      <c r="A42" s="542"/>
      <c r="B42" s="268"/>
      <c r="C42" s="268"/>
      <c r="D42" s="268"/>
      <c r="E42" s="542"/>
      <c r="F42" s="542"/>
      <c r="G42" s="542"/>
      <c r="H42" s="542"/>
      <c r="I42" s="542"/>
      <c r="J42" s="542"/>
    </row>
    <row r="43" spans="1:15" ht="15" customHeight="1">
      <c r="A43" s="40"/>
      <c r="B43" s="639" t="str">
        <f>B4</f>
        <v>Duben</v>
      </c>
      <c r="C43" s="639"/>
      <c r="D43" s="639"/>
      <c r="E43" s="639" t="str">
        <f>E4</f>
        <v>Květen</v>
      </c>
      <c r="F43" s="639"/>
      <c r="G43" s="639"/>
      <c r="H43" s="639" t="str">
        <f>H4</f>
        <v>Červen</v>
      </c>
      <c r="I43" s="639"/>
      <c r="J43" s="639"/>
    </row>
    <row r="44" spans="1:15" ht="15" customHeight="1">
      <c r="A44" s="40"/>
      <c r="B44" s="92"/>
      <c r="C44" s="92"/>
      <c r="D44" s="92"/>
      <c r="E44" s="92"/>
      <c r="F44" s="92"/>
      <c r="G44" s="92"/>
      <c r="H44" s="92"/>
      <c r="I44" s="92"/>
      <c r="J44" s="92"/>
    </row>
    <row r="45" spans="1:15" ht="15" customHeight="1">
      <c r="A45" s="40"/>
      <c r="B45" s="92"/>
      <c r="C45" s="92"/>
      <c r="D45" s="92"/>
      <c r="E45" s="92"/>
      <c r="F45" s="92"/>
      <c r="G45" s="92"/>
      <c r="H45" s="92"/>
      <c r="I45" s="92"/>
      <c r="J45" s="92"/>
    </row>
    <row r="46" spans="1:15" ht="15" customHeight="1">
      <c r="B46" s="92"/>
      <c r="C46" s="92"/>
      <c r="D46" s="92"/>
      <c r="E46" s="92"/>
      <c r="F46" s="92"/>
      <c r="G46" s="92"/>
      <c r="H46" s="92"/>
      <c r="I46" s="92"/>
      <c r="J46" s="92"/>
    </row>
    <row r="47" spans="1:15" ht="15" customHeight="1">
      <c r="B47" s="93" t="s">
        <v>72</v>
      </c>
      <c r="C47" s="94">
        <f>B39</f>
        <v>32934.799696856702</v>
      </c>
      <c r="D47" s="92"/>
      <c r="E47" s="93" t="s">
        <v>72</v>
      </c>
      <c r="F47" s="94">
        <f>E39</f>
        <v>21439.039175947957</v>
      </c>
      <c r="G47" s="92"/>
      <c r="H47" s="93" t="s">
        <v>72</v>
      </c>
      <c r="I47" s="94">
        <f>H39</f>
        <v>16178.515916953958</v>
      </c>
      <c r="J47" s="92"/>
    </row>
    <row r="48" spans="1:15" ht="15" customHeight="1">
      <c r="B48" s="95" t="s">
        <v>73</v>
      </c>
      <c r="C48" s="94">
        <f t="shared" ref="C48:C49" si="1">B40</f>
        <v>12682.165046787792</v>
      </c>
      <c r="D48" s="92"/>
      <c r="E48" s="95" t="s">
        <v>73</v>
      </c>
      <c r="F48" s="94">
        <f t="shared" ref="F48:F49" si="2">E40</f>
        <v>10353.565089058951</v>
      </c>
      <c r="G48" s="92"/>
      <c r="H48" s="95" t="s">
        <v>73</v>
      </c>
      <c r="I48" s="94">
        <f t="shared" ref="I48:I49" si="3">H40</f>
        <v>9029.2256952225889</v>
      </c>
      <c r="J48" s="92"/>
    </row>
    <row r="49" spans="1:10" ht="15" customHeight="1">
      <c r="B49" s="95" t="s">
        <v>74</v>
      </c>
      <c r="C49" s="94">
        <f t="shared" si="1"/>
        <v>19165.932988349065</v>
      </c>
      <c r="D49" s="92"/>
      <c r="E49" s="95" t="s">
        <v>74</v>
      </c>
      <c r="F49" s="94">
        <f t="shared" si="2"/>
        <v>15882.111066873111</v>
      </c>
      <c r="G49" s="92"/>
      <c r="H49" s="95" t="s">
        <v>74</v>
      </c>
      <c r="I49" s="94">
        <f t="shared" si="3"/>
        <v>13449.531084655815</v>
      </c>
      <c r="J49" s="92"/>
    </row>
    <row r="50" spans="1:10" ht="15" customHeight="1"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" customHeight="1">
      <c r="B51" s="92"/>
      <c r="C51" s="92"/>
      <c r="D51" s="92"/>
      <c r="E51" s="92"/>
      <c r="F51" s="92"/>
      <c r="G51" s="92"/>
      <c r="H51" s="92"/>
      <c r="I51" s="92"/>
      <c r="J51" s="92"/>
    </row>
    <row r="52" spans="1:10" ht="15" customHeight="1">
      <c r="B52" s="92"/>
      <c r="C52" s="92"/>
      <c r="D52" s="92"/>
      <c r="E52" s="92"/>
      <c r="F52" s="92"/>
      <c r="G52" s="92"/>
      <c r="H52" s="92"/>
      <c r="I52" s="92"/>
      <c r="J52" s="92"/>
    </row>
    <row r="53" spans="1:10" ht="1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</row>
    <row r="54" spans="1:10" ht="12.75" customHeight="1">
      <c r="A54" s="431" t="s">
        <v>247</v>
      </c>
      <c r="B54" s="35">
        <v>1056.2054864579936</v>
      </c>
      <c r="C54" s="35">
        <v>11277.572103029604</v>
      </c>
      <c r="D54" s="97" t="s">
        <v>130</v>
      </c>
      <c r="E54" s="35">
        <v>679.9575978598732</v>
      </c>
      <c r="F54" s="35">
        <v>7263.1463669641798</v>
      </c>
      <c r="G54" s="97" t="s">
        <v>130</v>
      </c>
      <c r="H54" s="35">
        <v>102.05477964650569</v>
      </c>
      <c r="I54" s="35">
        <v>1093.0378801590232</v>
      </c>
      <c r="J54" s="435" t="s">
        <v>130</v>
      </c>
    </row>
    <row r="55" spans="1:10" ht="12.95" customHeight="1">
      <c r="A55" s="436" t="s">
        <v>248</v>
      </c>
      <c r="B55" s="44">
        <v>1202.4360015085795</v>
      </c>
      <c r="C55" s="36">
        <v>12838.939846608091</v>
      </c>
      <c r="D55" s="98" t="s">
        <v>130</v>
      </c>
      <c r="E55" s="44">
        <v>689.56283186609051</v>
      </c>
      <c r="F55" s="36">
        <v>7365.7472066278242</v>
      </c>
      <c r="G55" s="98" t="s">
        <v>130</v>
      </c>
      <c r="H55" s="44">
        <v>218.5118513954543</v>
      </c>
      <c r="I55" s="36">
        <v>2340.3287103867524</v>
      </c>
      <c r="J55" s="437" t="s">
        <v>130</v>
      </c>
    </row>
    <row r="56" spans="1:10" ht="12.95" customHeight="1">
      <c r="A56" s="438" t="s">
        <v>249</v>
      </c>
      <c r="B56" s="99">
        <v>32085.883909079668</v>
      </c>
      <c r="C56" s="99">
        <v>342595.14262471552</v>
      </c>
      <c r="D56" s="100">
        <v>0</v>
      </c>
      <c r="E56" s="99" t="s">
        <v>307</v>
      </c>
      <c r="F56" s="99" t="s">
        <v>307</v>
      </c>
      <c r="G56" s="100">
        <v>0</v>
      </c>
      <c r="H56" s="99" t="s">
        <v>307</v>
      </c>
      <c r="I56" s="99" t="s">
        <v>307</v>
      </c>
      <c r="J56" s="439">
        <v>0</v>
      </c>
    </row>
    <row r="57" spans="1:10" ht="12.95" customHeight="1">
      <c r="A57" s="436" t="s">
        <v>250</v>
      </c>
      <c r="B57" s="101">
        <v>46515.115927182618</v>
      </c>
      <c r="C57" s="102">
        <v>496662.42078401259</v>
      </c>
      <c r="D57" s="103">
        <v>-12</v>
      </c>
      <c r="E57" s="101" t="s">
        <v>307</v>
      </c>
      <c r="F57" s="102" t="s">
        <v>307</v>
      </c>
      <c r="G57" s="103">
        <v>-12</v>
      </c>
      <c r="H57" s="101" t="s">
        <v>307</v>
      </c>
      <c r="I57" s="102" t="s">
        <v>307</v>
      </c>
      <c r="J57" s="440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 G38:G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U94"/>
  <sheetViews>
    <sheetView showGridLines="0" zoomScaleNormal="100" zoomScaleSheetLayoutView="100" workbookViewId="0">
      <selection activeCell="A3" sqref="A3:C3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21" ht="18.75">
      <c r="A1" s="31" t="s">
        <v>145</v>
      </c>
    </row>
    <row r="2" spans="1:21" s="233" customFormat="1" ht="15.75">
      <c r="A2" s="638" t="s">
        <v>142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</row>
    <row r="3" spans="1:21" ht="6" customHeight="1">
      <c r="A3" s="660"/>
      <c r="B3" s="660"/>
      <c r="C3" s="660"/>
      <c r="D3" s="234"/>
      <c r="E3" s="234"/>
      <c r="F3" s="235"/>
      <c r="G3" s="236"/>
      <c r="H3" s="236"/>
      <c r="I3" s="236"/>
      <c r="J3" s="96"/>
      <c r="K3" s="96"/>
    </row>
    <row r="4" spans="1:21" ht="12.95" customHeight="1">
      <c r="A4" s="666" t="s">
        <v>2</v>
      </c>
      <c r="B4" s="666"/>
      <c r="C4" s="666"/>
      <c r="D4" s="667"/>
      <c r="E4" s="441"/>
      <c r="F4" s="442"/>
      <c r="G4" s="300"/>
      <c r="H4" s="301"/>
      <c r="I4" s="443"/>
      <c r="J4" s="444"/>
      <c r="K4" s="444"/>
    </row>
    <row r="5" spans="1:21" ht="24.95" customHeight="1">
      <c r="A5" s="292"/>
      <c r="B5" s="292"/>
      <c r="C5" s="292"/>
      <c r="D5" s="302"/>
      <c r="E5" s="668">
        <f>'3.1'!D4</f>
        <v>2020</v>
      </c>
      <c r="F5" s="669"/>
      <c r="G5" s="670"/>
      <c r="H5" s="303"/>
      <c r="I5" s="671">
        <f>E5-1</f>
        <v>2019</v>
      </c>
      <c r="J5" s="672"/>
      <c r="K5" s="672"/>
    </row>
    <row r="6" spans="1:21" ht="24.95" customHeight="1">
      <c r="A6" s="445"/>
      <c r="B6" s="304"/>
      <c r="C6" s="305"/>
      <c r="D6" s="306"/>
      <c r="E6" s="663" t="s">
        <v>67</v>
      </c>
      <c r="F6" s="663"/>
      <c r="G6" s="664" t="s">
        <v>37</v>
      </c>
      <c r="H6" s="646" t="s">
        <v>286</v>
      </c>
      <c r="I6" s="661" t="s">
        <v>67</v>
      </c>
      <c r="J6" s="661"/>
      <c r="K6" s="662" t="s">
        <v>37</v>
      </c>
    </row>
    <row r="7" spans="1:21" ht="18" customHeight="1">
      <c r="A7" s="446"/>
      <c r="B7" s="307"/>
      <c r="C7" s="307"/>
      <c r="D7" s="308"/>
      <c r="E7" s="663"/>
      <c r="F7" s="663"/>
      <c r="G7" s="665"/>
      <c r="H7" s="646"/>
      <c r="I7" s="661"/>
      <c r="J7" s="661"/>
      <c r="K7" s="661"/>
    </row>
    <row r="8" spans="1:21" ht="22.5" customHeight="1">
      <c r="A8" s="644" t="s">
        <v>225</v>
      </c>
      <c r="B8" s="645"/>
      <c r="C8" s="309" t="s">
        <v>252</v>
      </c>
      <c r="D8" s="310" t="s">
        <v>226</v>
      </c>
      <c r="E8" s="406" t="s">
        <v>294</v>
      </c>
      <c r="F8" s="407" t="s">
        <v>289</v>
      </c>
      <c r="G8" s="404" t="s">
        <v>295</v>
      </c>
      <c r="H8" s="405" t="s">
        <v>295</v>
      </c>
      <c r="I8" s="329" t="s">
        <v>296</v>
      </c>
      <c r="J8" s="394" t="s">
        <v>289</v>
      </c>
      <c r="K8" s="394" t="s">
        <v>295</v>
      </c>
    </row>
    <row r="9" spans="1:21" ht="12.95" customHeight="1">
      <c r="A9" s="650" t="str">
        <f>'3.1'!D6</f>
        <v>Duben</v>
      </c>
      <c r="B9" s="651"/>
      <c r="C9" s="403" t="s">
        <v>4</v>
      </c>
      <c r="D9" s="120">
        <v>1602</v>
      </c>
      <c r="E9" s="116">
        <v>279676.37725276989</v>
      </c>
      <c r="F9" s="116">
        <v>2986128.3852419998</v>
      </c>
      <c r="G9" s="121">
        <f t="shared" ref="G9:G14" si="0">E9/$E$15</f>
        <v>0.48641238389706121</v>
      </c>
      <c r="H9" s="122">
        <f>(E9-I9)/I9</f>
        <v>-5.9056680463888088E-2</v>
      </c>
      <c r="I9" s="119">
        <v>297229.78148211015</v>
      </c>
      <c r="J9" s="119">
        <v>3171012.9719880004</v>
      </c>
      <c r="K9" s="447">
        <f>I9/$I$15</f>
        <v>0.49445532436786271</v>
      </c>
      <c r="M9" s="237"/>
      <c r="N9" s="237"/>
      <c r="O9" s="237"/>
      <c r="P9" s="237"/>
      <c r="Q9" s="237"/>
      <c r="R9" s="237"/>
      <c r="S9" s="237"/>
      <c r="T9" s="237"/>
      <c r="U9" s="237"/>
    </row>
    <row r="10" spans="1:21" ht="12.95" customHeight="1">
      <c r="A10" s="652"/>
      <c r="B10" s="653"/>
      <c r="C10" s="403" t="s">
        <v>5</v>
      </c>
      <c r="D10" s="115">
        <v>6519</v>
      </c>
      <c r="E10" s="116">
        <v>53680.781070056684</v>
      </c>
      <c r="F10" s="116">
        <v>573127.50654999982</v>
      </c>
      <c r="G10" s="117">
        <f t="shared" si="0"/>
        <v>9.3361466371339408E-2</v>
      </c>
      <c r="H10" s="118">
        <f t="shared" ref="H10:H13" si="1">(E10-I10)/I10</f>
        <v>-8.5647517914368698E-2</v>
      </c>
      <c r="I10" s="119">
        <v>58709.066931837071</v>
      </c>
      <c r="J10" s="119">
        <v>625460.08924</v>
      </c>
      <c r="K10" s="448">
        <f t="shared" ref="K10:K14" si="2">I10/$I$15</f>
        <v>9.7665215741052108E-2</v>
      </c>
      <c r="L10" s="238"/>
      <c r="M10" s="237"/>
      <c r="N10" s="237"/>
      <c r="O10" s="237"/>
      <c r="P10" s="237"/>
      <c r="Q10" s="237"/>
      <c r="R10" s="237"/>
      <c r="S10" s="237"/>
    </row>
    <row r="11" spans="1:21" ht="12.95" customHeight="1">
      <c r="A11" s="652"/>
      <c r="B11" s="653"/>
      <c r="C11" s="403" t="s">
        <v>6</v>
      </c>
      <c r="D11" s="115">
        <v>206298</v>
      </c>
      <c r="E11" s="116">
        <v>75874.18961082575</v>
      </c>
      <c r="F11" s="116">
        <v>810094.73078705114</v>
      </c>
      <c r="G11" s="117">
        <f t="shared" si="0"/>
        <v>0.13196018129019108</v>
      </c>
      <c r="H11" s="118">
        <f t="shared" si="1"/>
        <v>-4.6290338929414247E-2</v>
      </c>
      <c r="I11" s="119">
        <v>79556.905741788607</v>
      </c>
      <c r="J11" s="119">
        <v>849428.67549792794</v>
      </c>
      <c r="K11" s="448">
        <f t="shared" si="2"/>
        <v>0.13234654831056095</v>
      </c>
      <c r="L11" s="238"/>
      <c r="M11" s="237"/>
      <c r="N11" s="237"/>
      <c r="O11" s="237"/>
      <c r="P11" s="237"/>
      <c r="Q11" s="237"/>
      <c r="R11" s="237"/>
      <c r="S11" s="237"/>
    </row>
    <row r="12" spans="1:21" ht="12.95" customHeight="1">
      <c r="A12" s="652"/>
      <c r="B12" s="653"/>
      <c r="C12" s="403" t="s">
        <v>7</v>
      </c>
      <c r="D12" s="115">
        <v>2615736</v>
      </c>
      <c r="E12" s="116">
        <v>148365.15308795427</v>
      </c>
      <c r="F12" s="116">
        <v>1584189.2479389487</v>
      </c>
      <c r="G12" s="117">
        <f t="shared" si="0"/>
        <v>0.25803626502048282</v>
      </c>
      <c r="H12" s="118">
        <f t="shared" si="1"/>
        <v>7.0354806336612721E-3</v>
      </c>
      <c r="I12" s="119">
        <v>147328.62539718841</v>
      </c>
      <c r="J12" s="119">
        <v>1573114.8332560714</v>
      </c>
      <c r="K12" s="448">
        <f t="shared" si="2"/>
        <v>0.24508790100437067</v>
      </c>
      <c r="L12" s="238"/>
      <c r="M12" s="237"/>
      <c r="N12" s="237"/>
      <c r="O12" s="237"/>
      <c r="P12" s="237"/>
      <c r="Q12" s="237"/>
      <c r="R12" s="237"/>
      <c r="S12" s="237"/>
    </row>
    <row r="13" spans="1:21" ht="12.95" customHeight="1">
      <c r="A13" s="652"/>
      <c r="B13" s="653"/>
      <c r="C13" s="403" t="s">
        <v>112</v>
      </c>
      <c r="D13" s="115">
        <v>244</v>
      </c>
      <c r="E13" s="116">
        <v>5988.9118015119966</v>
      </c>
      <c r="F13" s="116">
        <v>63939.550740000006</v>
      </c>
      <c r="G13" s="117">
        <f t="shared" si="0"/>
        <v>1.0415898886196841E-2</v>
      </c>
      <c r="H13" s="118">
        <f t="shared" si="1"/>
        <v>-5.5100518852049467E-2</v>
      </c>
      <c r="I13" s="119">
        <v>6338.1469891761581</v>
      </c>
      <c r="J13" s="119">
        <v>71320.62288000001</v>
      </c>
      <c r="K13" s="448">
        <f t="shared" si="2"/>
        <v>1.0543797158539165E-2</v>
      </c>
      <c r="L13" s="238"/>
      <c r="M13" s="237"/>
      <c r="N13" s="237"/>
      <c r="O13" s="237"/>
      <c r="P13" s="237"/>
      <c r="Q13" s="237"/>
      <c r="R13" s="237"/>
      <c r="S13" s="237"/>
    </row>
    <row r="14" spans="1:21" ht="12.95" customHeight="1">
      <c r="A14" s="652"/>
      <c r="B14" s="653"/>
      <c r="C14" s="403" t="s">
        <v>114</v>
      </c>
      <c r="D14" s="123"/>
      <c r="E14" s="116">
        <v>11392.499975987721</v>
      </c>
      <c r="F14" s="116">
        <v>121814.40689900001</v>
      </c>
      <c r="G14" s="117">
        <f t="shared" si="0"/>
        <v>1.9813804534728606E-2</v>
      </c>
      <c r="H14" s="118">
        <f>(E14-I14)/I14</f>
        <v>-4.769905586419404E-2</v>
      </c>
      <c r="I14" s="119">
        <v>11963.12998127518</v>
      </c>
      <c r="J14" s="119">
        <v>127901.44149700004</v>
      </c>
      <c r="K14" s="448">
        <f t="shared" si="2"/>
        <v>1.9901213417614253E-2</v>
      </c>
      <c r="L14" s="238"/>
      <c r="M14" s="237"/>
      <c r="N14" s="237"/>
      <c r="O14" s="237"/>
      <c r="P14" s="237"/>
      <c r="Q14" s="237"/>
      <c r="R14" s="237"/>
      <c r="S14" s="237"/>
    </row>
    <row r="15" spans="1:21" ht="12.95" customHeight="1">
      <c r="A15" s="654"/>
      <c r="B15" s="655"/>
      <c r="C15" s="365" t="s">
        <v>0</v>
      </c>
      <c r="D15" s="366">
        <v>2830399</v>
      </c>
      <c r="E15" s="367">
        <v>574977.91279910633</v>
      </c>
      <c r="F15" s="368">
        <v>6139293.8281569984</v>
      </c>
      <c r="G15" s="369">
        <f>SUM(G9:G14)</f>
        <v>1</v>
      </c>
      <c r="H15" s="370">
        <f>(E15-I15)/I15</f>
        <v>-4.3497966590704873E-2</v>
      </c>
      <c r="I15" s="371">
        <v>601125.65652337566</v>
      </c>
      <c r="J15" s="372">
        <v>6418238.6343589993</v>
      </c>
      <c r="K15" s="449">
        <f>SUM(K9:K14)</f>
        <v>0.99999999999999989</v>
      </c>
      <c r="L15" s="238"/>
      <c r="M15" s="237"/>
      <c r="N15" s="238"/>
      <c r="O15" s="238"/>
      <c r="P15" s="238"/>
      <c r="Q15" s="237"/>
      <c r="R15" s="237"/>
      <c r="S15" s="237"/>
    </row>
    <row r="16" spans="1:21" ht="12.95" customHeight="1">
      <c r="A16" s="656" t="str">
        <f>'3.1'!E6</f>
        <v>Květen</v>
      </c>
      <c r="B16" s="657"/>
      <c r="C16" s="403" t="s">
        <v>4</v>
      </c>
      <c r="D16" s="120">
        <v>1599</v>
      </c>
      <c r="E16" s="116">
        <v>274819.66430698894</v>
      </c>
      <c r="F16" s="116">
        <v>2935336.1545949993</v>
      </c>
      <c r="G16" s="121">
        <f>E16/$E$22</f>
        <v>0.55818513373093248</v>
      </c>
      <c r="H16" s="122">
        <f>(E16-I16)/I16</f>
        <v>-4.7901769434098775E-2</v>
      </c>
      <c r="I16" s="119">
        <v>288646.33446870669</v>
      </c>
      <c r="J16" s="119">
        <v>3073271.7337040002</v>
      </c>
      <c r="K16" s="447">
        <f>I16/$I$22</f>
        <v>0.51788720878184857</v>
      </c>
      <c r="L16" s="238"/>
      <c r="M16" s="237"/>
      <c r="N16" s="238"/>
      <c r="O16" s="238"/>
      <c r="P16" s="238"/>
      <c r="Q16" s="237"/>
      <c r="R16" s="237"/>
      <c r="S16" s="237"/>
    </row>
    <row r="17" spans="1:20" ht="12.95" customHeight="1">
      <c r="A17" s="656"/>
      <c r="B17" s="657"/>
      <c r="C17" s="403" t="s">
        <v>5</v>
      </c>
      <c r="D17" s="115">
        <v>6518</v>
      </c>
      <c r="E17" s="116">
        <v>43405.863521481377</v>
      </c>
      <c r="F17" s="116">
        <v>463656.36140000005</v>
      </c>
      <c r="G17" s="117">
        <f t="shared" ref="G17:G21" si="3">E17/$E$22</f>
        <v>8.8161477802331079E-2</v>
      </c>
      <c r="H17" s="118">
        <f t="shared" ref="H17:H19" si="4">(E17-I17)/I17</f>
        <v>-0.13884235451173466</v>
      </c>
      <c r="I17" s="119">
        <v>50404.085417915332</v>
      </c>
      <c r="J17" s="119">
        <v>536751.84747000015</v>
      </c>
      <c r="K17" s="448">
        <f t="shared" ref="K17:K21" si="5">I17/$I$22</f>
        <v>9.0434653037716126E-2</v>
      </c>
      <c r="L17" s="239"/>
      <c r="M17" s="237"/>
      <c r="N17" s="238"/>
      <c r="O17" s="238"/>
      <c r="P17" s="238"/>
      <c r="Q17" s="237"/>
      <c r="R17" s="237"/>
      <c r="S17" s="237"/>
    </row>
    <row r="18" spans="1:20" ht="12.95" customHeight="1">
      <c r="A18" s="656"/>
      <c r="B18" s="657"/>
      <c r="C18" s="403" t="s">
        <v>6</v>
      </c>
      <c r="D18" s="115">
        <v>206106</v>
      </c>
      <c r="E18" s="116">
        <v>50471.64144313657</v>
      </c>
      <c r="F18" s="116">
        <v>539121.02747302805</v>
      </c>
      <c r="G18" s="117">
        <f t="shared" si="3"/>
        <v>0.10251275140590586</v>
      </c>
      <c r="H18" s="118">
        <f t="shared" si="4"/>
        <v>-0.2764751475669508</v>
      </c>
      <c r="I18" s="119">
        <v>69757.992795149941</v>
      </c>
      <c r="J18" s="119">
        <v>742881.73228531517</v>
      </c>
      <c r="K18" s="448">
        <f>I18/$I$22</f>
        <v>0.12515929656754798</v>
      </c>
      <c r="L18" s="238"/>
      <c r="M18" s="237"/>
      <c r="N18" s="238"/>
      <c r="O18" s="238"/>
      <c r="P18" s="238"/>
      <c r="Q18" s="237"/>
      <c r="R18" s="237"/>
      <c r="S18" s="237"/>
    </row>
    <row r="19" spans="1:20" ht="12.95" customHeight="1">
      <c r="A19" s="656"/>
      <c r="B19" s="657"/>
      <c r="C19" s="403" t="s">
        <v>7</v>
      </c>
      <c r="D19" s="115">
        <v>2614261</v>
      </c>
      <c r="E19" s="116">
        <v>104951.75351319682</v>
      </c>
      <c r="F19" s="116">
        <v>1121163.597482983</v>
      </c>
      <c r="G19" s="117">
        <f t="shared" si="3"/>
        <v>0.21316709165549264</v>
      </c>
      <c r="H19" s="118">
        <f t="shared" si="4"/>
        <v>-0.17788905083791737</v>
      </c>
      <c r="I19" s="119">
        <v>127661.30121508105</v>
      </c>
      <c r="J19" s="119">
        <v>1359486.4582416522</v>
      </c>
      <c r="K19" s="448">
        <f>I19/$I$22</f>
        <v>0.22904900239744722</v>
      </c>
      <c r="L19" s="238"/>
      <c r="M19" s="237"/>
      <c r="N19" s="237"/>
      <c r="O19" s="237"/>
      <c r="P19" s="237"/>
      <c r="Q19" s="237"/>
      <c r="R19" s="237"/>
      <c r="S19" s="237"/>
    </row>
    <row r="20" spans="1:20" ht="12.95" customHeight="1">
      <c r="A20" s="656"/>
      <c r="B20" s="657"/>
      <c r="C20" s="403" t="s">
        <v>112</v>
      </c>
      <c r="D20" s="115">
        <v>245</v>
      </c>
      <c r="E20" s="116">
        <v>6730.0608461366046</v>
      </c>
      <c r="F20" s="116">
        <v>71887.607060000009</v>
      </c>
      <c r="G20" s="117">
        <f t="shared" si="3"/>
        <v>1.3669399978677357E-2</v>
      </c>
      <c r="H20" s="118">
        <f>(E20-I20)/I20</f>
        <v>-3.3282622524312765E-2</v>
      </c>
      <c r="I20" s="119">
        <v>6961.7666992914528</v>
      </c>
      <c r="J20" s="119">
        <v>74133.517199999987</v>
      </c>
      <c r="K20" s="448">
        <f>I20/$I$22</f>
        <v>1.2490752500712427E-2</v>
      </c>
      <c r="L20" s="238"/>
      <c r="M20" s="237"/>
      <c r="N20" s="237"/>
      <c r="O20" s="237"/>
      <c r="P20" s="237"/>
      <c r="Q20" s="237"/>
      <c r="R20" s="237"/>
      <c r="S20" s="237"/>
    </row>
    <row r="21" spans="1:20" ht="12.95" customHeight="1">
      <c r="A21" s="656"/>
      <c r="B21" s="657"/>
      <c r="C21" s="403" t="s">
        <v>114</v>
      </c>
      <c r="D21" s="123"/>
      <c r="E21" s="116">
        <v>11966.024682131319</v>
      </c>
      <c r="F21" s="116">
        <v>127952.95073500001</v>
      </c>
      <c r="G21" s="117">
        <f t="shared" si="3"/>
        <v>2.4304145426660609E-2</v>
      </c>
      <c r="H21" s="118">
        <f t="shared" ref="H21" si="6">(E21-I21)/I21</f>
        <v>-0.14050673778181891</v>
      </c>
      <c r="I21" s="119">
        <v>13922.185557626584</v>
      </c>
      <c r="J21" s="119">
        <v>148419.62865299999</v>
      </c>
      <c r="K21" s="448">
        <f t="shared" si="5"/>
        <v>2.4979086714727965E-2</v>
      </c>
      <c r="L21" s="238"/>
      <c r="M21" s="237"/>
      <c r="N21" s="237"/>
      <c r="O21" s="237"/>
      <c r="P21" s="237"/>
      <c r="Q21" s="237"/>
      <c r="R21" s="237"/>
      <c r="S21" s="237"/>
    </row>
    <row r="22" spans="1:20" ht="12.95" customHeight="1">
      <c r="A22" s="656"/>
      <c r="B22" s="657"/>
      <c r="C22" s="365" t="s">
        <v>0</v>
      </c>
      <c r="D22" s="366">
        <v>2828729</v>
      </c>
      <c r="E22" s="367">
        <v>492345.00831307162</v>
      </c>
      <c r="F22" s="368">
        <v>5259117.6987460107</v>
      </c>
      <c r="G22" s="369">
        <f>SUM(G16:G21)</f>
        <v>1</v>
      </c>
      <c r="H22" s="370">
        <f>(E22-I22)/I22</f>
        <v>-0.11663807343246883</v>
      </c>
      <c r="I22" s="371">
        <v>557353.66615377087</v>
      </c>
      <c r="J22" s="372">
        <v>5934944.9175539669</v>
      </c>
      <c r="K22" s="449">
        <f>SUM(K16:K21)</f>
        <v>1.0000000000000002</v>
      </c>
      <c r="L22" s="238"/>
      <c r="M22" s="237"/>
      <c r="N22" s="237"/>
      <c r="O22" s="237"/>
      <c r="P22" s="237"/>
      <c r="Q22" s="237"/>
      <c r="R22" s="237"/>
      <c r="S22" s="237"/>
    </row>
    <row r="23" spans="1:20" ht="12.95" customHeight="1">
      <c r="A23" s="656" t="str">
        <f>'3.1'!F6</f>
        <v>Červen</v>
      </c>
      <c r="B23" s="657"/>
      <c r="C23" s="402" t="s">
        <v>4</v>
      </c>
      <c r="D23" s="120">
        <v>1597</v>
      </c>
      <c r="E23" s="270">
        <v>287238.18036333832</v>
      </c>
      <c r="F23" s="270">
        <v>3076221.9417680004</v>
      </c>
      <c r="G23" s="121">
        <f>E23/$E$29</f>
        <v>0.71189175924775783</v>
      </c>
      <c r="H23" s="122">
        <f>(E23-I23)/I23</f>
        <v>7.8610502094730132E-3</v>
      </c>
      <c r="I23" s="543">
        <v>284997.79836083454</v>
      </c>
      <c r="J23" s="543">
        <v>3039550.0849489998</v>
      </c>
      <c r="K23" s="447">
        <f>I23/$I$29</f>
        <v>0.75475968705026575</v>
      </c>
      <c r="L23" s="116"/>
      <c r="M23" s="237"/>
      <c r="N23" s="237"/>
      <c r="O23" s="237"/>
      <c r="P23" s="237"/>
      <c r="Q23" s="237"/>
      <c r="R23" s="237"/>
      <c r="S23" s="237"/>
      <c r="T23" s="116"/>
    </row>
    <row r="24" spans="1:20" ht="12.95" customHeight="1">
      <c r="A24" s="656"/>
      <c r="B24" s="657"/>
      <c r="C24" s="403" t="s">
        <v>5</v>
      </c>
      <c r="D24" s="115">
        <v>6528</v>
      </c>
      <c r="E24" s="116">
        <v>29923.045670550233</v>
      </c>
      <c r="F24" s="116">
        <v>320455.42075000005</v>
      </c>
      <c r="G24" s="117">
        <f t="shared" ref="G24:G28" si="7">E24/$E$29</f>
        <v>7.4161344419858624E-2</v>
      </c>
      <c r="H24" s="118">
        <f t="shared" ref="H24:H27" si="8">(E24-I24)/I24</f>
        <v>0.12655501679442771</v>
      </c>
      <c r="I24" s="119">
        <v>26561.548459209029</v>
      </c>
      <c r="J24" s="119">
        <v>283318.48886000004</v>
      </c>
      <c r="K24" s="448">
        <f t="shared" ref="K24:K28" si="9">I24/$I$29</f>
        <v>7.0342950429606158E-2</v>
      </c>
      <c r="L24" s="116"/>
      <c r="M24" s="237"/>
      <c r="N24" s="237"/>
      <c r="O24" s="237"/>
      <c r="P24" s="237"/>
      <c r="Q24" s="237"/>
      <c r="R24" s="237"/>
      <c r="S24" s="237"/>
      <c r="T24" s="116"/>
    </row>
    <row r="25" spans="1:20" ht="12.95" customHeight="1">
      <c r="A25" s="656"/>
      <c r="B25" s="657"/>
      <c r="C25" s="403" t="s">
        <v>6</v>
      </c>
      <c r="D25" s="115">
        <v>206262</v>
      </c>
      <c r="E25" s="116">
        <v>22098.463013893092</v>
      </c>
      <c r="F25" s="116">
        <v>236657.22851081402</v>
      </c>
      <c r="G25" s="117">
        <f t="shared" si="7"/>
        <v>5.4768880974431139E-2</v>
      </c>
      <c r="H25" s="118">
        <f t="shared" si="8"/>
        <v>0.44669000587458163</v>
      </c>
      <c r="I25" s="119">
        <v>15275.188827017362</v>
      </c>
      <c r="J25" s="119">
        <v>162914.79232800441</v>
      </c>
      <c r="K25" s="448">
        <f t="shared" si="9"/>
        <v>4.0453283516655093E-2</v>
      </c>
      <c r="L25" s="116"/>
      <c r="M25" s="237"/>
      <c r="N25" s="237"/>
      <c r="O25" s="237"/>
      <c r="P25" s="237"/>
      <c r="Q25" s="237"/>
      <c r="R25" s="237"/>
      <c r="S25" s="237"/>
      <c r="T25" s="116"/>
    </row>
    <row r="26" spans="1:20" ht="12.95" customHeight="1">
      <c r="A26" s="656"/>
      <c r="B26" s="657"/>
      <c r="C26" s="403" t="s">
        <v>7</v>
      </c>
      <c r="D26" s="115">
        <v>2614120</v>
      </c>
      <c r="E26" s="116">
        <v>46754.639118127052</v>
      </c>
      <c r="F26" s="116">
        <v>500744.73537316726</v>
      </c>
      <c r="G26" s="117">
        <f t="shared" si="7"/>
        <v>0.11587680388691718</v>
      </c>
      <c r="H26" s="118">
        <f t="shared" si="8"/>
        <v>0.50171453160342083</v>
      </c>
      <c r="I26" s="119">
        <v>31134.172397070615</v>
      </c>
      <c r="J26" s="119">
        <v>332083.84963498928</v>
      </c>
      <c r="K26" s="448">
        <f t="shared" si="9"/>
        <v>8.2452630687449319E-2</v>
      </c>
      <c r="L26" s="116"/>
      <c r="M26" s="237"/>
      <c r="N26" s="237"/>
      <c r="O26" s="237"/>
      <c r="P26" s="237"/>
      <c r="Q26" s="237"/>
      <c r="R26" s="237"/>
      <c r="S26" s="237"/>
      <c r="T26" s="116"/>
    </row>
    <row r="27" spans="1:20" ht="12.95" customHeight="1">
      <c r="A27" s="656"/>
      <c r="B27" s="657"/>
      <c r="C27" s="403" t="s">
        <v>112</v>
      </c>
      <c r="D27" s="115">
        <v>246</v>
      </c>
      <c r="E27" s="116">
        <v>7392.614786049031</v>
      </c>
      <c r="F27" s="116">
        <v>79163.341719999997</v>
      </c>
      <c r="G27" s="117">
        <f t="shared" si="7"/>
        <v>1.8321873292834513E-2</v>
      </c>
      <c r="H27" s="118">
        <f t="shared" si="8"/>
        <v>5.0072678660882115E-2</v>
      </c>
      <c r="I27" s="119">
        <v>7040.0982106081956</v>
      </c>
      <c r="J27" s="119">
        <v>75087.279949999996</v>
      </c>
      <c r="K27" s="448">
        <f t="shared" si="9"/>
        <v>1.8644292527180414E-2</v>
      </c>
      <c r="L27" s="116"/>
      <c r="M27" s="237"/>
      <c r="N27" s="237"/>
      <c r="O27" s="237"/>
      <c r="P27" s="237"/>
      <c r="Q27" s="237"/>
      <c r="R27" s="237"/>
      <c r="S27" s="237"/>
      <c r="T27" s="116"/>
    </row>
    <row r="28" spans="1:20" ht="12.95" customHeight="1">
      <c r="A28" s="656"/>
      <c r="B28" s="657"/>
      <c r="C28" s="403" t="s">
        <v>114</v>
      </c>
      <c r="D28" s="123"/>
      <c r="E28" s="116">
        <v>10078.806998087055</v>
      </c>
      <c r="F28" s="116">
        <v>108241.09503999997</v>
      </c>
      <c r="G28" s="117">
        <f t="shared" si="7"/>
        <v>2.4979338178200597E-2</v>
      </c>
      <c r="H28" s="118">
        <f t="shared" ref="H28" si="10">(E28-I28)/I28</f>
        <v>-0.19958075686345719</v>
      </c>
      <c r="I28" s="119">
        <v>12591.909907852778</v>
      </c>
      <c r="J28" s="119">
        <v>134449.76869</v>
      </c>
      <c r="K28" s="448">
        <f t="shared" si="9"/>
        <v>3.3347155788843313E-2</v>
      </c>
      <c r="L28" s="116"/>
      <c r="M28" s="237"/>
      <c r="N28" s="237"/>
      <c r="O28" s="237"/>
      <c r="P28" s="237"/>
      <c r="Q28" s="237"/>
      <c r="R28" s="237"/>
      <c r="S28" s="237"/>
      <c r="T28" s="116"/>
    </row>
    <row r="29" spans="1:20" ht="12.95" customHeight="1">
      <c r="A29" s="656"/>
      <c r="B29" s="657"/>
      <c r="C29" s="365" t="s">
        <v>0</v>
      </c>
      <c r="D29" s="366">
        <v>2828753</v>
      </c>
      <c r="E29" s="367">
        <v>403485.74995004485</v>
      </c>
      <c r="F29" s="368">
        <v>4321483.7631619815</v>
      </c>
      <c r="G29" s="369">
        <f>SUM(G23:G28)</f>
        <v>1</v>
      </c>
      <c r="H29" s="370">
        <f>(E29-I29)/I29</f>
        <v>6.85513365824931E-2</v>
      </c>
      <c r="I29" s="371">
        <v>377600.71616259252</v>
      </c>
      <c r="J29" s="372">
        <v>4027404.2644119929</v>
      </c>
      <c r="K29" s="449">
        <f>SUM(K23:K28)</f>
        <v>1</v>
      </c>
      <c r="M29" s="237"/>
      <c r="N29" s="237"/>
      <c r="O29" s="237"/>
      <c r="P29" s="237"/>
      <c r="Q29" s="237"/>
      <c r="R29" s="237"/>
      <c r="S29" s="237"/>
    </row>
    <row r="30" spans="1:20" ht="12.95" customHeight="1">
      <c r="A30" s="658" t="str">
        <f>'3.1'!G6</f>
        <v>II. čtvrtletí</v>
      </c>
      <c r="B30" s="659"/>
      <c r="C30" s="403" t="s">
        <v>4</v>
      </c>
      <c r="D30" s="115">
        <f>D23</f>
        <v>1597</v>
      </c>
      <c r="E30" s="116">
        <f>E9+E16+E23</f>
        <v>841734.22192309715</v>
      </c>
      <c r="F30" s="116">
        <f>F9+F16+F23</f>
        <v>8997686.4816049989</v>
      </c>
      <c r="G30" s="117">
        <f>E30/$E$36</f>
        <v>0.57229348621883902</v>
      </c>
      <c r="H30" s="118">
        <f>(E30-I30)/I30</f>
        <v>-3.3460288463900728E-2</v>
      </c>
      <c r="I30" s="119">
        <f>I9+I16+I23</f>
        <v>870873.91431165137</v>
      </c>
      <c r="J30" s="119">
        <f>J9+J16+J23</f>
        <v>9283834.7906410005</v>
      </c>
      <c r="K30" s="448">
        <f>I30/$I$36</f>
        <v>0.56694566187414053</v>
      </c>
      <c r="M30" s="237"/>
      <c r="N30" s="237"/>
      <c r="O30" s="237"/>
      <c r="P30" s="237"/>
      <c r="Q30" s="237"/>
      <c r="R30" s="237"/>
      <c r="S30" s="237"/>
    </row>
    <row r="31" spans="1:20" ht="12.95" customHeight="1">
      <c r="A31" s="656"/>
      <c r="B31" s="657"/>
      <c r="C31" s="403" t="s">
        <v>5</v>
      </c>
      <c r="D31" s="115">
        <f t="shared" ref="D31:D34" si="11">D24</f>
        <v>6528</v>
      </c>
      <c r="E31" s="116">
        <f>E10+E17+E24</f>
        <v>127009.69026208829</v>
      </c>
      <c r="F31" s="116">
        <f t="shared" ref="F31" si="12">F10+F17+F24</f>
        <v>1357239.2886999999</v>
      </c>
      <c r="G31" s="117">
        <f t="shared" ref="G31:G35" si="13">E31/$E$36</f>
        <v>8.6353645284373712E-2</v>
      </c>
      <c r="H31" s="118">
        <f t="shared" ref="H31:H33" si="14">(E31-I31)/I31</f>
        <v>-6.3866074479677917E-2</v>
      </c>
      <c r="I31" s="119">
        <f>I10+I17+I24</f>
        <v>135674.70080896144</v>
      </c>
      <c r="J31" s="119">
        <f t="shared" ref="J31" si="15">J10+J17+J24</f>
        <v>1445530.42557</v>
      </c>
      <c r="K31" s="448">
        <f t="shared" ref="K31:K35" si="16">I31/$I$36</f>
        <v>8.8325280830705816E-2</v>
      </c>
      <c r="M31" s="237"/>
      <c r="N31" s="237"/>
      <c r="O31" s="237"/>
      <c r="P31" s="237"/>
      <c r="Q31" s="237"/>
      <c r="R31" s="237"/>
      <c r="S31" s="237"/>
    </row>
    <row r="32" spans="1:20" ht="12.95" customHeight="1">
      <c r="A32" s="656"/>
      <c r="B32" s="657"/>
      <c r="C32" s="403" t="s">
        <v>6</v>
      </c>
      <c r="D32" s="115">
        <f t="shared" si="11"/>
        <v>206262</v>
      </c>
      <c r="E32" s="116">
        <f t="shared" ref="E32:F32" si="17">E11+E18+E25</f>
        <v>148444.2940678554</v>
      </c>
      <c r="F32" s="116">
        <f t="shared" si="17"/>
        <v>1585872.9867708932</v>
      </c>
      <c r="G32" s="117">
        <f t="shared" si="13"/>
        <v>0.10092699138131164</v>
      </c>
      <c r="H32" s="118">
        <f t="shared" si="14"/>
        <v>-9.8096996937595063E-2</v>
      </c>
      <c r="I32" s="119">
        <f t="shared" ref="I32:J32" si="18">I11+I18+I25</f>
        <v>164590.08736395588</v>
      </c>
      <c r="J32" s="119">
        <f t="shared" si="18"/>
        <v>1755225.2001112476</v>
      </c>
      <c r="K32" s="448">
        <f t="shared" si="16"/>
        <v>0.10714942138580043</v>
      </c>
      <c r="M32" s="237"/>
      <c r="N32" s="237"/>
      <c r="O32" s="237"/>
      <c r="P32" s="237"/>
      <c r="Q32" s="237"/>
      <c r="R32" s="237"/>
      <c r="S32" s="237"/>
    </row>
    <row r="33" spans="1:20" ht="12.95" customHeight="1">
      <c r="A33" s="656"/>
      <c r="B33" s="657"/>
      <c r="C33" s="403" t="s">
        <v>7</v>
      </c>
      <c r="D33" s="115">
        <f t="shared" si="11"/>
        <v>2614120</v>
      </c>
      <c r="E33" s="116">
        <f>E12+E19+E26</f>
        <v>300071.54571927816</v>
      </c>
      <c r="F33" s="116">
        <f t="shared" ref="E33:F35" si="19">F12+F19+F26</f>
        <v>3206097.580795099</v>
      </c>
      <c r="G33" s="117">
        <f t="shared" si="13"/>
        <v>0.20401806953080137</v>
      </c>
      <c r="H33" s="118">
        <f t="shared" si="14"/>
        <v>-1.9771567510198783E-2</v>
      </c>
      <c r="I33" s="119">
        <f>I12+I19+I26</f>
        <v>306124.09900934011</v>
      </c>
      <c r="J33" s="119">
        <f t="shared" ref="J33" si="20">J12+J19+J26</f>
        <v>3264685.1411327128</v>
      </c>
      <c r="K33" s="448">
        <f t="shared" si="16"/>
        <v>0.19928915894289437</v>
      </c>
      <c r="M33" s="237"/>
      <c r="N33" s="237"/>
      <c r="O33" s="237"/>
      <c r="P33" s="237"/>
      <c r="Q33" s="237"/>
      <c r="R33" s="237"/>
      <c r="S33" s="237"/>
    </row>
    <row r="34" spans="1:20" ht="12.95" customHeight="1">
      <c r="A34" s="656"/>
      <c r="B34" s="657"/>
      <c r="C34" s="403" t="s">
        <v>112</v>
      </c>
      <c r="D34" s="115">
        <f t="shared" si="11"/>
        <v>246</v>
      </c>
      <c r="E34" s="116">
        <f>E13+E20+E27</f>
        <v>20111.587433697634</v>
      </c>
      <c r="F34" s="116">
        <f t="shared" si="19"/>
        <v>214990.49952000001</v>
      </c>
      <c r="G34" s="117">
        <f t="shared" si="13"/>
        <v>1.3673829798115739E-2</v>
      </c>
      <c r="H34" s="118">
        <f>(E34-I34)/I34</f>
        <v>-1.1230301462535062E-2</v>
      </c>
      <c r="I34" s="119">
        <f>I13+I20+I27</f>
        <v>20340.011899075806</v>
      </c>
      <c r="J34" s="119">
        <f t="shared" ref="J34" si="21">J13+J20+J27</f>
        <v>220541.42002999998</v>
      </c>
      <c r="K34" s="448">
        <f t="shared" si="16"/>
        <v>1.3241505250233839E-2</v>
      </c>
      <c r="M34" s="237"/>
      <c r="N34" s="237"/>
      <c r="O34" s="237"/>
      <c r="P34" s="237"/>
      <c r="Q34" s="237"/>
      <c r="R34" s="237"/>
      <c r="S34" s="237"/>
    </row>
    <row r="35" spans="1:20" ht="12.95" customHeight="1">
      <c r="A35" s="656"/>
      <c r="B35" s="657"/>
      <c r="C35" s="403" t="s">
        <v>114</v>
      </c>
      <c r="D35" s="115"/>
      <c r="E35" s="116">
        <f t="shared" si="19"/>
        <v>33437.331656206094</v>
      </c>
      <c r="F35" s="116">
        <f t="shared" si="19"/>
        <v>358008.452674</v>
      </c>
      <c r="G35" s="117">
        <f t="shared" si="13"/>
        <v>2.2733977786558425E-2</v>
      </c>
      <c r="H35" s="118">
        <f t="shared" ref="H35" si="22">(E35-I35)/I35</f>
        <v>-0.13098381528373823</v>
      </c>
      <c r="I35" s="119">
        <f t="shared" ref="I35:J35" si="23">I14+I21+I28</f>
        <v>38477.225446754543</v>
      </c>
      <c r="J35" s="119">
        <f t="shared" si="23"/>
        <v>410770.83884000004</v>
      </c>
      <c r="K35" s="448">
        <f t="shared" si="16"/>
        <v>2.5048971716225079E-2</v>
      </c>
      <c r="M35" s="237"/>
      <c r="N35" s="237"/>
      <c r="O35" s="237"/>
      <c r="P35" s="237"/>
      <c r="Q35" s="237"/>
      <c r="R35" s="237"/>
      <c r="S35" s="237"/>
    </row>
    <row r="36" spans="1:20" ht="12.95" customHeight="1">
      <c r="A36" s="656"/>
      <c r="B36" s="657"/>
      <c r="C36" s="365" t="s">
        <v>0</v>
      </c>
      <c r="D36" s="366">
        <f>SUM(D30:D35)</f>
        <v>2828753</v>
      </c>
      <c r="E36" s="367">
        <f>SUM(E30:E35)</f>
        <v>1470808.6710622229</v>
      </c>
      <c r="F36" s="368">
        <f>SUM(F30:F35)</f>
        <v>15719895.290064989</v>
      </c>
      <c r="G36" s="369">
        <f>SUM(G30:G35)</f>
        <v>0.99999999999999989</v>
      </c>
      <c r="H36" s="370">
        <f>(E36-I36)/I36</f>
        <v>-4.2492165855379606E-2</v>
      </c>
      <c r="I36" s="371">
        <f>SUM(I30:I35)</f>
        <v>1536080.038839739</v>
      </c>
      <c r="J36" s="372">
        <f>SUM(J30:J35)</f>
        <v>16380587.81632496</v>
      </c>
      <c r="K36" s="449">
        <f>SUM(K30:K35)</f>
        <v>1</v>
      </c>
      <c r="M36" s="237"/>
      <c r="N36" s="237"/>
      <c r="O36" s="237"/>
      <c r="P36" s="237"/>
      <c r="Q36" s="237"/>
      <c r="R36" s="237"/>
      <c r="S36" s="237"/>
    </row>
    <row r="37" spans="1:20" ht="20.100000000000001" customHeight="1">
      <c r="A37" s="268"/>
      <c r="B37" s="269"/>
      <c r="C37" s="207"/>
      <c r="D37" s="270"/>
      <c r="E37" s="270"/>
      <c r="F37" s="270"/>
      <c r="G37" s="271"/>
      <c r="H37" s="272"/>
      <c r="I37" s="273"/>
      <c r="J37" s="273"/>
      <c r="K37" s="274"/>
    </row>
    <row r="38" spans="1:20" ht="15" customHeight="1">
      <c r="A38" s="647" t="s">
        <v>67</v>
      </c>
      <c r="B38" s="647"/>
      <c r="C38" s="647"/>
      <c r="D38" s="647"/>
      <c r="E38" s="647"/>
      <c r="F38" s="408"/>
      <c r="G38" s="647" t="s">
        <v>68</v>
      </c>
      <c r="H38" s="647"/>
      <c r="I38" s="647"/>
      <c r="J38" s="647"/>
      <c r="K38" s="647"/>
      <c r="M38" s="238"/>
      <c r="N38" s="238"/>
      <c r="O38" s="238"/>
      <c r="P38" s="238"/>
      <c r="Q38" s="238"/>
      <c r="R38" s="238"/>
      <c r="S38" s="238"/>
    </row>
    <row r="39" spans="1:20" ht="15" customHeight="1">
      <c r="A39" s="648" t="str">
        <f>A30</f>
        <v>II. čtvrtletí</v>
      </c>
      <c r="B39" s="639"/>
      <c r="C39" s="639"/>
      <c r="D39" s="639"/>
      <c r="E39" s="639"/>
      <c r="F39" s="408"/>
      <c r="G39" s="649" t="str">
        <f>A30</f>
        <v>II. čtvrtletí</v>
      </c>
      <c r="H39" s="649"/>
      <c r="I39" s="649"/>
      <c r="J39" s="649"/>
      <c r="K39" s="649"/>
      <c r="M39" s="238"/>
      <c r="N39" s="238"/>
      <c r="O39" s="238"/>
      <c r="P39" s="238"/>
      <c r="Q39" s="238"/>
      <c r="R39" s="238"/>
      <c r="S39" s="238"/>
    </row>
    <row r="40" spans="1:20" ht="15" customHeight="1">
      <c r="A40" s="114"/>
      <c r="B40" s="114"/>
      <c r="C40" s="114"/>
      <c r="D40" s="91"/>
      <c r="E40" s="91"/>
      <c r="F40" s="91"/>
      <c r="G40" s="114"/>
      <c r="H40" s="114"/>
      <c r="I40" s="114"/>
      <c r="J40" s="114"/>
      <c r="K40" s="114"/>
      <c r="M40" s="238"/>
      <c r="N40" s="238"/>
      <c r="O40" s="238"/>
      <c r="P40" s="238"/>
      <c r="Q40" s="238"/>
      <c r="R40" s="238"/>
      <c r="S40" s="238"/>
      <c r="T40" s="238"/>
    </row>
    <row r="41" spans="1:20" ht="15" customHeight="1">
      <c r="A41" s="114"/>
      <c r="B41" s="114"/>
      <c r="C41" s="114"/>
      <c r="D41" s="91"/>
      <c r="E41" s="91"/>
      <c r="F41" s="91"/>
      <c r="G41" s="114"/>
      <c r="H41" s="114"/>
      <c r="I41" s="114"/>
      <c r="J41" s="114"/>
      <c r="K41" s="114"/>
    </row>
    <row r="42" spans="1:20" ht="15" customHeight="1">
      <c r="A42" s="114"/>
      <c r="B42" s="114"/>
      <c r="C42" s="114"/>
      <c r="D42" s="91"/>
      <c r="E42" s="91"/>
      <c r="F42" s="91"/>
      <c r="G42" s="114"/>
      <c r="H42" s="114"/>
      <c r="I42" s="114"/>
      <c r="J42" s="114"/>
      <c r="K42" s="114"/>
    </row>
    <row r="43" spans="1:20" ht="15" customHeight="1">
      <c r="A43" s="114"/>
      <c r="B43" s="114"/>
      <c r="C43" s="114">
        <f>E5</f>
        <v>2020</v>
      </c>
      <c r="D43" s="114">
        <f>I5</f>
        <v>2019</v>
      </c>
      <c r="E43" s="91"/>
      <c r="F43" s="91"/>
      <c r="G43" s="91"/>
      <c r="H43" s="114"/>
      <c r="I43" s="114">
        <f>E5</f>
        <v>2020</v>
      </c>
      <c r="J43" s="114">
        <f>I5</f>
        <v>2019</v>
      </c>
      <c r="K43" s="114"/>
    </row>
    <row r="44" spans="1:20" ht="15" customHeight="1">
      <c r="A44" s="114"/>
      <c r="B44" s="114" t="str">
        <f>A9</f>
        <v>Duben</v>
      </c>
      <c r="C44" s="88">
        <f>E15</f>
        <v>574977.91279910633</v>
      </c>
      <c r="D44" s="88">
        <f>I15</f>
        <v>601125.65652337566</v>
      </c>
      <c r="E44" s="91"/>
      <c r="F44" s="91"/>
      <c r="G44" s="91"/>
      <c r="H44" s="114" t="str">
        <f>A9</f>
        <v>Duben</v>
      </c>
      <c r="I44" s="241">
        <f>E15/E36</f>
        <v>0.39092638227639448</v>
      </c>
      <c r="J44" s="241">
        <f>I15/I36</f>
        <v>0.39133745724436941</v>
      </c>
      <c r="K44" s="114"/>
    </row>
    <row r="45" spans="1:20" ht="15" customHeight="1">
      <c r="A45" s="114"/>
      <c r="B45" s="114" t="str">
        <f>A16</f>
        <v>Květen</v>
      </c>
      <c r="C45" s="88">
        <f>E22</f>
        <v>492345.00831307162</v>
      </c>
      <c r="D45" s="88">
        <f>I22</f>
        <v>557353.66615377087</v>
      </c>
      <c r="E45" s="91"/>
      <c r="F45" s="91"/>
      <c r="G45" s="91"/>
      <c r="H45" s="114" t="str">
        <f>A16</f>
        <v>Květen</v>
      </c>
      <c r="I45" s="241">
        <f>E22/E36</f>
        <v>0.33474442869411314</v>
      </c>
      <c r="J45" s="241">
        <f>I22/I36</f>
        <v>0.36284155256308243</v>
      </c>
      <c r="K45" s="114"/>
    </row>
    <row r="46" spans="1:20" ht="15" customHeight="1">
      <c r="A46" s="114"/>
      <c r="B46" s="114" t="str">
        <f>A23</f>
        <v>Červen</v>
      </c>
      <c r="C46" s="88">
        <f>E29</f>
        <v>403485.74995004485</v>
      </c>
      <c r="D46" s="88">
        <f>I29</f>
        <v>377600.71616259252</v>
      </c>
      <c r="E46" s="91"/>
      <c r="F46" s="91"/>
      <c r="G46" s="91"/>
      <c r="H46" s="114" t="str">
        <f>A23</f>
        <v>Červen</v>
      </c>
      <c r="I46" s="241">
        <f>E29/E36</f>
        <v>0.27432918902949227</v>
      </c>
      <c r="J46" s="241">
        <f>I29/I36</f>
        <v>0.24582099019254819</v>
      </c>
      <c r="K46" s="114"/>
    </row>
    <row r="47" spans="1:20" ht="15" customHeight="1">
      <c r="A47" s="114"/>
      <c r="B47" s="114"/>
      <c r="C47" s="88">
        <f>SUM(C44:C46)</f>
        <v>1470808.6710622227</v>
      </c>
      <c r="D47" s="88">
        <f>SUM(D44:D46)</f>
        <v>1536080.0388397393</v>
      </c>
      <c r="E47" s="114"/>
      <c r="F47" s="114"/>
      <c r="G47" s="114"/>
      <c r="H47" s="114"/>
      <c r="I47" s="150">
        <f>SUM(I44:I46)</f>
        <v>1</v>
      </c>
      <c r="J47" s="150">
        <f>SUM(J44:J46)</f>
        <v>1</v>
      </c>
      <c r="K47" s="114"/>
    </row>
    <row r="48" spans="1:20" ht="1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ht="1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1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1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ht="1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2:K2"/>
    <mergeCell ref="A3:C3"/>
    <mergeCell ref="I6:J7"/>
    <mergeCell ref="K6:K7"/>
    <mergeCell ref="E6:F7"/>
    <mergeCell ref="G6:G7"/>
    <mergeCell ref="A4:D4"/>
    <mergeCell ref="E5:G5"/>
    <mergeCell ref="I5:K5"/>
    <mergeCell ref="A8:B8"/>
    <mergeCell ref="H6:H7"/>
    <mergeCell ref="A38:E38"/>
    <mergeCell ref="A39:E39"/>
    <mergeCell ref="G38:K38"/>
    <mergeCell ref="G39:K39"/>
    <mergeCell ref="A9:B15"/>
    <mergeCell ref="A16:B22"/>
    <mergeCell ref="A23:B29"/>
    <mergeCell ref="A30:B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U93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21" s="233" customFormat="1" ht="15.75" customHeight="1">
      <c r="A1" s="638" t="s">
        <v>281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</row>
    <row r="2" spans="1:21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21" ht="12.95" customHeight="1">
      <c r="A3" s="666" t="s">
        <v>8</v>
      </c>
      <c r="B3" s="666"/>
      <c r="C3" s="666"/>
      <c r="D3" s="667"/>
      <c r="E3" s="441"/>
      <c r="F3" s="442"/>
      <c r="G3" s="300"/>
      <c r="H3" s="301"/>
      <c r="I3" s="443"/>
      <c r="J3" s="444"/>
      <c r="K3" s="444"/>
    </row>
    <row r="4" spans="1:21" ht="24.95" customHeight="1">
      <c r="A4" s="292"/>
      <c r="B4" s="292"/>
      <c r="C4" s="292"/>
      <c r="D4" s="302"/>
      <c r="E4" s="668">
        <f>'3.1'!D4</f>
        <v>2020</v>
      </c>
      <c r="F4" s="669"/>
      <c r="G4" s="670"/>
      <c r="H4" s="303"/>
      <c r="I4" s="671">
        <f>E4-1</f>
        <v>2019</v>
      </c>
      <c r="J4" s="672"/>
      <c r="K4" s="672"/>
    </row>
    <row r="5" spans="1:21" ht="24.95" customHeight="1">
      <c r="A5" s="445"/>
      <c r="B5" s="304"/>
      <c r="C5" s="305"/>
      <c r="D5" s="306"/>
      <c r="E5" s="663" t="s">
        <v>67</v>
      </c>
      <c r="F5" s="663"/>
      <c r="G5" s="664" t="s">
        <v>37</v>
      </c>
      <c r="H5" s="646" t="s">
        <v>286</v>
      </c>
      <c r="I5" s="661" t="s">
        <v>67</v>
      </c>
      <c r="J5" s="661"/>
      <c r="K5" s="662" t="s">
        <v>37</v>
      </c>
    </row>
    <row r="6" spans="1:21" ht="18" customHeight="1">
      <c r="A6" s="446"/>
      <c r="B6" s="307"/>
      <c r="C6" s="307"/>
      <c r="D6" s="308"/>
      <c r="E6" s="663"/>
      <c r="F6" s="663"/>
      <c r="G6" s="665"/>
      <c r="H6" s="646"/>
      <c r="I6" s="661"/>
      <c r="J6" s="661"/>
      <c r="K6" s="661"/>
    </row>
    <row r="7" spans="1:21" ht="22.5" customHeight="1">
      <c r="A7" s="644" t="s">
        <v>225</v>
      </c>
      <c r="B7" s="645"/>
      <c r="C7" s="309" t="s">
        <v>252</v>
      </c>
      <c r="D7" s="310" t="s">
        <v>226</v>
      </c>
      <c r="E7" s="406" t="s">
        <v>294</v>
      </c>
      <c r="F7" s="407" t="s">
        <v>289</v>
      </c>
      <c r="G7" s="404" t="s">
        <v>295</v>
      </c>
      <c r="H7" s="405" t="s">
        <v>295</v>
      </c>
      <c r="I7" s="329" t="s">
        <v>296</v>
      </c>
      <c r="J7" s="394" t="s">
        <v>289</v>
      </c>
      <c r="K7" s="394" t="s">
        <v>295</v>
      </c>
    </row>
    <row r="8" spans="1:21" ht="12.95" customHeight="1">
      <c r="A8" s="650" t="str">
        <f>'3.1'!D6</f>
        <v>Duben</v>
      </c>
      <c r="B8" s="651"/>
      <c r="C8" s="403" t="s">
        <v>4</v>
      </c>
      <c r="D8" s="120">
        <v>144</v>
      </c>
      <c r="E8" s="116">
        <v>12619.255842769888</v>
      </c>
      <c r="F8" s="116">
        <v>134603.42855000001</v>
      </c>
      <c r="G8" s="121">
        <f t="shared" ref="G8:G13" si="0">E8/$E$14</f>
        <v>0.22558773894217413</v>
      </c>
      <c r="H8" s="122">
        <f>(E8-I8)/I8</f>
        <v>-0.16287636595622942</v>
      </c>
      <c r="I8" s="119">
        <v>15074.54255211013</v>
      </c>
      <c r="J8" s="119">
        <v>160627.95246999999</v>
      </c>
      <c r="K8" s="447">
        <f>I8/$I$14</f>
        <v>0.2470716733739082</v>
      </c>
      <c r="M8" s="237"/>
      <c r="N8" s="237"/>
      <c r="O8" s="237"/>
      <c r="P8" s="237"/>
      <c r="Q8" s="237"/>
      <c r="R8" s="237"/>
      <c r="S8" s="237"/>
      <c r="T8" s="237"/>
      <c r="U8" s="237"/>
    </row>
    <row r="9" spans="1:21" ht="12.95" customHeight="1">
      <c r="A9" s="652"/>
      <c r="B9" s="653"/>
      <c r="C9" s="403" t="s">
        <v>5</v>
      </c>
      <c r="D9" s="115">
        <v>1571</v>
      </c>
      <c r="E9" s="116">
        <v>10430.772170056684</v>
      </c>
      <c r="F9" s="116">
        <v>111259.90870999997</v>
      </c>
      <c r="G9" s="117">
        <f t="shared" si="0"/>
        <v>0.18646537787822157</v>
      </c>
      <c r="H9" s="118">
        <f t="shared" ref="H9:H12" si="1">(E9-I9)/I9</f>
        <v>-9.7335056434880468E-2</v>
      </c>
      <c r="I9" s="119">
        <v>11555.530370837087</v>
      </c>
      <c r="J9" s="119">
        <v>123130.87805</v>
      </c>
      <c r="K9" s="448">
        <f t="shared" ref="K9:K13" si="2">I9/$I$14</f>
        <v>0.18939508217754103</v>
      </c>
      <c r="L9" s="238"/>
      <c r="M9" s="237"/>
      <c r="N9" s="237"/>
      <c r="O9" s="237"/>
      <c r="P9" s="237"/>
      <c r="Q9" s="237"/>
      <c r="R9" s="237"/>
      <c r="S9" s="237"/>
    </row>
    <row r="10" spans="1:21" ht="12.95" customHeight="1">
      <c r="A10" s="652"/>
      <c r="B10" s="653"/>
      <c r="C10" s="403" t="s">
        <v>6</v>
      </c>
      <c r="D10" s="115">
        <v>39115</v>
      </c>
      <c r="E10" s="116">
        <v>12913.851140825729</v>
      </c>
      <c r="F10" s="116">
        <v>137745.68896705101</v>
      </c>
      <c r="G10" s="117">
        <f t="shared" si="0"/>
        <v>0.23085406272698664</v>
      </c>
      <c r="H10" s="118">
        <f t="shared" si="1"/>
        <v>-4.9257199909893822E-2</v>
      </c>
      <c r="I10" s="119">
        <v>13582.90711178862</v>
      </c>
      <c r="J10" s="119">
        <v>144733.753057928</v>
      </c>
      <c r="K10" s="448">
        <f t="shared" si="2"/>
        <v>0.22262377632959798</v>
      </c>
      <c r="L10" s="238"/>
      <c r="M10" s="237"/>
      <c r="N10" s="237"/>
      <c r="O10" s="237"/>
      <c r="P10" s="237"/>
      <c r="Q10" s="237"/>
      <c r="R10" s="237"/>
      <c r="S10" s="237"/>
    </row>
    <row r="11" spans="1:21" ht="12.95" customHeight="1">
      <c r="A11" s="652"/>
      <c r="B11" s="653"/>
      <c r="C11" s="403" t="s">
        <v>7</v>
      </c>
      <c r="D11" s="115">
        <v>378137</v>
      </c>
      <c r="E11" s="116">
        <v>17610.193857954291</v>
      </c>
      <c r="F11" s="116">
        <v>187839.26338894901</v>
      </c>
      <c r="G11" s="117">
        <f t="shared" si="0"/>
        <v>0.31480808886408057</v>
      </c>
      <c r="H11" s="118">
        <f t="shared" si="1"/>
        <v>-4.2045780297490717E-2</v>
      </c>
      <c r="I11" s="119">
        <v>18383.126767188416</v>
      </c>
      <c r="J11" s="119">
        <v>195882.87750607127</v>
      </c>
      <c r="K11" s="448">
        <f t="shared" si="2"/>
        <v>0.30129935130788726</v>
      </c>
      <c r="L11" s="238"/>
      <c r="M11" s="237"/>
      <c r="N11" s="237"/>
      <c r="O11" s="237"/>
      <c r="P11" s="237"/>
      <c r="Q11" s="237"/>
      <c r="R11" s="237"/>
      <c r="S11" s="237"/>
    </row>
    <row r="12" spans="1:21" ht="12.95" customHeight="1">
      <c r="A12" s="652"/>
      <c r="B12" s="653"/>
      <c r="C12" s="403" t="s">
        <v>112</v>
      </c>
      <c r="D12" s="115">
        <v>32</v>
      </c>
      <c r="E12" s="116">
        <v>906.5358015119964</v>
      </c>
      <c r="F12" s="116">
        <v>9669.5708500000019</v>
      </c>
      <c r="G12" s="117">
        <f t="shared" si="0"/>
        <v>1.6205659373360878E-2</v>
      </c>
      <c r="H12" s="118">
        <f t="shared" si="1"/>
        <v>1.7193494487980725E-2</v>
      </c>
      <c r="I12" s="119">
        <v>891.2127401761594</v>
      </c>
      <c r="J12" s="119">
        <v>9496.3886300000013</v>
      </c>
      <c r="K12" s="448">
        <f t="shared" si="2"/>
        <v>1.4606972137714863E-2</v>
      </c>
      <c r="L12" s="238"/>
      <c r="M12" s="237"/>
      <c r="N12" s="237"/>
      <c r="O12" s="237"/>
      <c r="P12" s="237"/>
      <c r="Q12" s="237"/>
      <c r="R12" s="237"/>
      <c r="S12" s="237"/>
    </row>
    <row r="13" spans="1:21" ht="12.95" customHeight="1">
      <c r="A13" s="652"/>
      <c r="B13" s="653"/>
      <c r="C13" s="403" t="s">
        <v>114</v>
      </c>
      <c r="D13" s="123"/>
      <c r="E13" s="116">
        <v>1458.8491642701292</v>
      </c>
      <c r="F13" s="116">
        <v>15560.825430000001</v>
      </c>
      <c r="G13" s="117">
        <f t="shared" si="0"/>
        <v>2.6079072215176097E-2</v>
      </c>
      <c r="H13" s="118">
        <f>(E13-I13)/I13</f>
        <v>-4.369908408947374E-2</v>
      </c>
      <c r="I13" s="119">
        <v>1525.5126707487359</v>
      </c>
      <c r="J13" s="119">
        <v>16255.22227</v>
      </c>
      <c r="K13" s="448">
        <f t="shared" si="2"/>
        <v>2.5003144673350648E-2</v>
      </c>
      <c r="L13" s="238"/>
      <c r="M13" s="237"/>
      <c r="N13" s="237"/>
      <c r="O13" s="237"/>
      <c r="P13" s="237"/>
      <c r="Q13" s="237"/>
      <c r="R13" s="237"/>
      <c r="S13" s="237"/>
    </row>
    <row r="14" spans="1:21" ht="12.95" customHeight="1">
      <c r="A14" s="654"/>
      <c r="B14" s="655"/>
      <c r="C14" s="365" t="s">
        <v>0</v>
      </c>
      <c r="D14" s="366">
        <v>418999</v>
      </c>
      <c r="E14" s="367">
        <v>55939.457977388724</v>
      </c>
      <c r="F14" s="368">
        <v>596678.68589600001</v>
      </c>
      <c r="G14" s="369">
        <f>SUM(G8:G13)</f>
        <v>0.99999999999999989</v>
      </c>
      <c r="H14" s="370">
        <f>(E14-I14)/I14</f>
        <v>-8.3152577112982892E-2</v>
      </c>
      <c r="I14" s="371">
        <v>61012.832212849149</v>
      </c>
      <c r="J14" s="372">
        <v>650127.07198399934</v>
      </c>
      <c r="K14" s="449">
        <f>SUM(K8:K13)</f>
        <v>0.99999999999999989</v>
      </c>
      <c r="L14" s="238"/>
      <c r="M14" s="237"/>
      <c r="N14" s="237"/>
      <c r="O14" s="237"/>
      <c r="P14" s="237"/>
      <c r="Q14" s="237"/>
      <c r="R14" s="237"/>
      <c r="S14" s="237"/>
    </row>
    <row r="15" spans="1:21" ht="12.95" customHeight="1">
      <c r="A15" s="656" t="str">
        <f>'3.1'!E6</f>
        <v>Květen</v>
      </c>
      <c r="B15" s="657"/>
      <c r="C15" s="403" t="s">
        <v>4</v>
      </c>
      <c r="D15" s="120">
        <v>144</v>
      </c>
      <c r="E15" s="116">
        <v>10555.069766988923</v>
      </c>
      <c r="F15" s="116">
        <v>112652.45935</v>
      </c>
      <c r="G15" s="121">
        <f>E15/$E$21</f>
        <v>0.24686705143159807</v>
      </c>
      <c r="H15" s="122">
        <f>(E15-I15)/I15</f>
        <v>-0.21802898093754464</v>
      </c>
      <c r="I15" s="119">
        <v>13498.031908706707</v>
      </c>
      <c r="J15" s="119">
        <v>143695.95554999998</v>
      </c>
      <c r="K15" s="447">
        <f>I15/$I$21</f>
        <v>0.25117809519057799</v>
      </c>
      <c r="L15" s="238"/>
      <c r="M15" s="237"/>
      <c r="N15" s="237"/>
      <c r="O15" s="237"/>
      <c r="P15" s="237"/>
      <c r="Q15" s="237"/>
      <c r="R15" s="237"/>
      <c r="S15" s="237"/>
    </row>
    <row r="16" spans="1:21" ht="12.95" customHeight="1">
      <c r="A16" s="656"/>
      <c r="B16" s="657"/>
      <c r="C16" s="403" t="s">
        <v>5</v>
      </c>
      <c r="D16" s="115">
        <v>1566</v>
      </c>
      <c r="E16" s="116">
        <v>7751.9072714813783</v>
      </c>
      <c r="F16" s="116">
        <v>82734.820389999993</v>
      </c>
      <c r="G16" s="117">
        <f t="shared" ref="G16:G20" si="3">E16/$E$21</f>
        <v>0.18130533793976966</v>
      </c>
      <c r="H16" s="118">
        <f t="shared" ref="H16:H18" si="4">(E16-I16)/I16</f>
        <v>-0.2091180224021065</v>
      </c>
      <c r="I16" s="119">
        <v>9801.5980779153178</v>
      </c>
      <c r="J16" s="119">
        <v>104344.78773</v>
      </c>
      <c r="K16" s="448">
        <f t="shared" ref="K16:K20" si="5">I16/$I$21</f>
        <v>0.18239301489918372</v>
      </c>
      <c r="L16" s="239"/>
      <c r="M16" s="237"/>
      <c r="N16" s="237"/>
      <c r="O16" s="237"/>
      <c r="P16" s="237"/>
      <c r="Q16" s="237"/>
      <c r="R16" s="237"/>
      <c r="S16" s="237"/>
    </row>
    <row r="17" spans="1:20" ht="12.95" customHeight="1">
      <c r="A17" s="656"/>
      <c r="B17" s="657"/>
      <c r="C17" s="403" t="s">
        <v>6</v>
      </c>
      <c r="D17" s="115">
        <v>38979</v>
      </c>
      <c r="E17" s="116">
        <v>9247.7545431365743</v>
      </c>
      <c r="F17" s="116">
        <v>98699.750183028096</v>
      </c>
      <c r="G17" s="117">
        <f t="shared" si="3"/>
        <v>0.21629093381905329</v>
      </c>
      <c r="H17" s="118">
        <f t="shared" si="4"/>
        <v>-0.22720180689921049</v>
      </c>
      <c r="I17" s="119">
        <v>11966.58406514994</v>
      </c>
      <c r="J17" s="119">
        <v>127392.56029531501</v>
      </c>
      <c r="K17" s="448">
        <f>I17/$I$21</f>
        <v>0.2226801515770217</v>
      </c>
      <c r="L17" s="238"/>
      <c r="M17" s="237"/>
      <c r="N17" s="237"/>
      <c r="O17" s="237"/>
      <c r="P17" s="237"/>
      <c r="Q17" s="237"/>
      <c r="R17" s="237"/>
      <c r="S17" s="237"/>
    </row>
    <row r="18" spans="1:20" ht="12.95" customHeight="1">
      <c r="A18" s="656"/>
      <c r="B18" s="657"/>
      <c r="C18" s="403" t="s">
        <v>7</v>
      </c>
      <c r="D18" s="115">
        <v>377595</v>
      </c>
      <c r="E18" s="116">
        <v>12880.423193196832</v>
      </c>
      <c r="F18" s="116">
        <v>137470.62008298302</v>
      </c>
      <c r="G18" s="117">
        <f t="shared" si="3"/>
        <v>0.30125353646077968</v>
      </c>
      <c r="H18" s="118">
        <f t="shared" si="4"/>
        <v>-0.20288614322607842</v>
      </c>
      <c r="I18" s="119">
        <v>16158.824845081062</v>
      </c>
      <c r="J18" s="119">
        <v>172021.86164165224</v>
      </c>
      <c r="K18" s="448">
        <f>I18/$I$21</f>
        <v>0.30069145432139738</v>
      </c>
      <c r="L18" s="238"/>
      <c r="M18" s="237"/>
      <c r="N18" s="237"/>
      <c r="O18" s="237"/>
      <c r="P18" s="237"/>
      <c r="Q18" s="237"/>
      <c r="R18" s="237"/>
      <c r="S18" s="237"/>
    </row>
    <row r="19" spans="1:20" ht="12.95" customHeight="1">
      <c r="A19" s="656"/>
      <c r="B19" s="657"/>
      <c r="C19" s="403" t="s">
        <v>112</v>
      </c>
      <c r="D19" s="115">
        <v>32</v>
      </c>
      <c r="E19" s="116">
        <v>994.638846136604</v>
      </c>
      <c r="F19" s="116">
        <v>10615.61541</v>
      </c>
      <c r="G19" s="117">
        <f t="shared" si="3"/>
        <v>2.3263092012239472E-2</v>
      </c>
      <c r="H19" s="118">
        <f>(E19-I19)/I19</f>
        <v>8.1711541988906622E-2</v>
      </c>
      <c r="I19" s="119">
        <v>919.50469929145345</v>
      </c>
      <c r="J19" s="119">
        <v>9788.763210000001</v>
      </c>
      <c r="K19" s="448">
        <f>I19/$I$21</f>
        <v>1.7110601045315019E-2</v>
      </c>
      <c r="L19" s="238"/>
      <c r="M19" s="237"/>
      <c r="N19" s="237"/>
      <c r="O19" s="237"/>
      <c r="P19" s="237"/>
      <c r="Q19" s="237"/>
      <c r="R19" s="237"/>
      <c r="S19" s="237"/>
    </row>
    <row r="20" spans="1:20" ht="12.95" customHeight="1">
      <c r="A20" s="656"/>
      <c r="B20" s="657"/>
      <c r="C20" s="403" t="s">
        <v>114</v>
      </c>
      <c r="D20" s="123"/>
      <c r="E20" s="116">
        <v>1326.2959656585911</v>
      </c>
      <c r="F20" s="116">
        <v>14155.336829999997</v>
      </c>
      <c r="G20" s="117">
        <f t="shared" si="3"/>
        <v>3.1020048336560087E-2</v>
      </c>
      <c r="H20" s="118">
        <f t="shared" ref="H20" si="6">(E20-I20)/I20</f>
        <v>-4.8804218806624992E-2</v>
      </c>
      <c r="I20" s="119">
        <v>1394.34592949373</v>
      </c>
      <c r="J20" s="119">
        <v>14843.776379999999</v>
      </c>
      <c r="K20" s="448">
        <f t="shared" si="5"/>
        <v>2.594668296650424E-2</v>
      </c>
      <c r="L20" s="238"/>
      <c r="M20" s="237"/>
      <c r="N20" s="237"/>
      <c r="O20" s="237"/>
      <c r="P20" s="237"/>
      <c r="Q20" s="237"/>
      <c r="R20" s="237"/>
      <c r="S20" s="237"/>
    </row>
    <row r="21" spans="1:20" ht="12.95" customHeight="1">
      <c r="A21" s="656"/>
      <c r="B21" s="657"/>
      <c r="C21" s="365" t="s">
        <v>0</v>
      </c>
      <c r="D21" s="366">
        <v>418316</v>
      </c>
      <c r="E21" s="367">
        <v>42756.089586598893</v>
      </c>
      <c r="F21" s="368">
        <v>456328.60224601114</v>
      </c>
      <c r="G21" s="369">
        <f>SUM(G15:G20)</f>
        <v>1.0000000000000002</v>
      </c>
      <c r="H21" s="370">
        <f>(E21-I21)/I21</f>
        <v>-0.20437340696814266</v>
      </c>
      <c r="I21" s="371">
        <v>53738.889525638209</v>
      </c>
      <c r="J21" s="372">
        <v>572087.70480696729</v>
      </c>
      <c r="K21" s="449">
        <f>SUM(K15:K20)</f>
        <v>1</v>
      </c>
      <c r="L21" s="238"/>
      <c r="M21" s="237"/>
      <c r="N21" s="237"/>
      <c r="O21" s="237"/>
      <c r="P21" s="237"/>
      <c r="Q21" s="237"/>
      <c r="R21" s="237"/>
      <c r="S21" s="237"/>
    </row>
    <row r="22" spans="1:20" ht="12.95" customHeight="1">
      <c r="A22" s="656" t="str">
        <f>'3.1'!F6</f>
        <v>Červen</v>
      </c>
      <c r="B22" s="657"/>
      <c r="C22" s="402" t="s">
        <v>4</v>
      </c>
      <c r="D22" s="120">
        <v>145</v>
      </c>
      <c r="E22" s="270">
        <v>6954.7228033383735</v>
      </c>
      <c r="F22" s="270">
        <v>74497.591489999992</v>
      </c>
      <c r="G22" s="121">
        <f>E22/$E$28</f>
        <v>0.29347847136050242</v>
      </c>
      <c r="H22" s="122">
        <f>(E22-I22)/I22</f>
        <v>2.2463475889482165E-2</v>
      </c>
      <c r="I22" s="543">
        <v>6801.9278608345203</v>
      </c>
      <c r="J22" s="543">
        <v>72439.392690000008</v>
      </c>
      <c r="K22" s="447">
        <f>I22/$I$28</f>
        <v>0.33726623105417736</v>
      </c>
      <c r="L22" s="116"/>
      <c r="M22" s="237"/>
      <c r="N22" s="237"/>
      <c r="O22" s="237"/>
      <c r="P22" s="237"/>
      <c r="Q22" s="237"/>
      <c r="R22" s="237"/>
      <c r="S22" s="237"/>
      <c r="T22" s="116"/>
    </row>
    <row r="23" spans="1:20" ht="12.95" customHeight="1">
      <c r="A23" s="656"/>
      <c r="B23" s="657"/>
      <c r="C23" s="403" t="s">
        <v>5</v>
      </c>
      <c r="D23" s="115">
        <v>1561</v>
      </c>
      <c r="E23" s="116">
        <v>3941.7046705502344</v>
      </c>
      <c r="F23" s="116">
        <v>42222.752090000002</v>
      </c>
      <c r="G23" s="117">
        <f t="shared" ref="G23:G27" si="7">E23/$E$28</f>
        <v>0.1663337984818534</v>
      </c>
      <c r="H23" s="118">
        <f t="shared" ref="H23:H27" si="8">(E23-I23)/I23</f>
        <v>0.1319530436112982</v>
      </c>
      <c r="I23" s="119">
        <v>3482.2157092090279</v>
      </c>
      <c r="J23" s="119">
        <v>37085.015140000003</v>
      </c>
      <c r="K23" s="448">
        <f t="shared" ref="K23:K27" si="9">I23/$I$28</f>
        <v>0.17266189703730381</v>
      </c>
      <c r="L23" s="116"/>
      <c r="M23" s="237"/>
      <c r="N23" s="237"/>
      <c r="O23" s="237"/>
      <c r="P23" s="237"/>
      <c r="Q23" s="237"/>
      <c r="R23" s="237"/>
      <c r="S23" s="237"/>
      <c r="T23" s="116"/>
    </row>
    <row r="24" spans="1:20" ht="12.95" customHeight="1">
      <c r="A24" s="656"/>
      <c r="B24" s="657"/>
      <c r="C24" s="403" t="s">
        <v>6</v>
      </c>
      <c r="D24" s="115">
        <v>39142</v>
      </c>
      <c r="E24" s="116">
        <v>4428.2848438930896</v>
      </c>
      <c r="F24" s="116">
        <v>47434.901590813999</v>
      </c>
      <c r="G24" s="117">
        <f t="shared" si="7"/>
        <v>0.1868667240210917</v>
      </c>
      <c r="H24" s="118">
        <f t="shared" si="8"/>
        <v>0.48676118231098414</v>
      </c>
      <c r="I24" s="119">
        <v>2978.4775770173628</v>
      </c>
      <c r="J24" s="119">
        <v>31720.288248004399</v>
      </c>
      <c r="K24" s="448">
        <f t="shared" si="9"/>
        <v>0.14768458696308173</v>
      </c>
      <c r="L24" s="116"/>
      <c r="M24" s="237"/>
      <c r="N24" s="237"/>
      <c r="O24" s="237"/>
      <c r="P24" s="237"/>
      <c r="Q24" s="237"/>
      <c r="R24" s="237"/>
      <c r="S24" s="237"/>
      <c r="T24" s="116"/>
    </row>
    <row r="25" spans="1:20" ht="12.95" customHeight="1">
      <c r="A25" s="656"/>
      <c r="B25" s="657"/>
      <c r="C25" s="403" t="s">
        <v>7</v>
      </c>
      <c r="D25" s="115">
        <v>377938</v>
      </c>
      <c r="E25" s="116">
        <v>6172.1498481270455</v>
      </c>
      <c r="F25" s="116">
        <v>66114.834743167288</v>
      </c>
      <c r="G25" s="117">
        <f t="shared" si="7"/>
        <v>0.26045511139089339</v>
      </c>
      <c r="H25" s="118">
        <f t="shared" si="8"/>
        <v>0.24562643050974772</v>
      </c>
      <c r="I25" s="119">
        <v>4955.0569070706188</v>
      </c>
      <c r="J25" s="119">
        <v>52770.527664989342</v>
      </c>
      <c r="K25" s="448">
        <f t="shared" si="9"/>
        <v>0.24569113373420023</v>
      </c>
      <c r="L25" s="116"/>
      <c r="M25" s="237"/>
      <c r="N25" s="237"/>
      <c r="O25" s="237"/>
      <c r="P25" s="237"/>
      <c r="Q25" s="237"/>
      <c r="R25" s="237"/>
      <c r="S25" s="237"/>
      <c r="T25" s="116"/>
    </row>
    <row r="26" spans="1:20" ht="12.95" customHeight="1">
      <c r="A26" s="656"/>
      <c r="B26" s="657"/>
      <c r="C26" s="403" t="s">
        <v>112</v>
      </c>
      <c r="D26" s="115">
        <v>33</v>
      </c>
      <c r="E26" s="116">
        <v>1047.4507860490301</v>
      </c>
      <c r="F26" s="116">
        <v>11220.083329999999</v>
      </c>
      <c r="G26" s="117">
        <f t="shared" si="7"/>
        <v>4.420079192336282E-2</v>
      </c>
      <c r="H26" s="118">
        <f t="shared" si="8"/>
        <v>0.13767747134202354</v>
      </c>
      <c r="I26" s="119">
        <v>920.69221060819586</v>
      </c>
      <c r="J26" s="119">
        <v>9805.2181200000014</v>
      </c>
      <c r="K26" s="448">
        <f t="shared" si="9"/>
        <v>4.5651526770921672E-2</v>
      </c>
      <c r="L26" s="116"/>
      <c r="M26" s="237"/>
      <c r="N26" s="237"/>
      <c r="O26" s="237"/>
      <c r="P26" s="237"/>
      <c r="Q26" s="237"/>
      <c r="R26" s="237"/>
      <c r="S26" s="237"/>
      <c r="T26" s="116"/>
    </row>
    <row r="27" spans="1:20" ht="12.95" customHeight="1">
      <c r="A27" s="656"/>
      <c r="B27" s="657"/>
      <c r="C27" s="403" t="s">
        <v>114</v>
      </c>
      <c r="D27" s="123"/>
      <c r="E27" s="116">
        <v>1153.2440480422265</v>
      </c>
      <c r="F27" s="116">
        <v>12352.4264</v>
      </c>
      <c r="G27" s="117">
        <f t="shared" si="7"/>
        <v>4.8665102822296261E-2</v>
      </c>
      <c r="H27" s="118">
        <f t="shared" si="8"/>
        <v>0.12024250465981388</v>
      </c>
      <c r="I27" s="119">
        <v>1029.4592851504365</v>
      </c>
      <c r="J27" s="119">
        <v>10963.569280000002</v>
      </c>
      <c r="K27" s="448">
        <f t="shared" si="9"/>
        <v>5.1044624440315302E-2</v>
      </c>
      <c r="L27" s="116"/>
      <c r="M27" s="237"/>
      <c r="N27" s="237"/>
      <c r="O27" s="237"/>
      <c r="P27" s="237"/>
      <c r="Q27" s="237"/>
      <c r="R27" s="237"/>
      <c r="S27" s="237"/>
      <c r="T27" s="116"/>
    </row>
    <row r="28" spans="1:20" ht="12.95" customHeight="1">
      <c r="A28" s="656"/>
      <c r="B28" s="657"/>
      <c r="C28" s="365" t="s">
        <v>0</v>
      </c>
      <c r="D28" s="366">
        <v>418819</v>
      </c>
      <c r="E28" s="367">
        <v>23697.557000000001</v>
      </c>
      <c r="F28" s="368">
        <v>253842.58964398125</v>
      </c>
      <c r="G28" s="369">
        <f>SUM(G22:G27)</f>
        <v>1</v>
      </c>
      <c r="H28" s="370">
        <f>(E28-I28)/I28</f>
        <v>0.17501771528652491</v>
      </c>
      <c r="I28" s="371">
        <v>20167.829549890161</v>
      </c>
      <c r="J28" s="372">
        <v>214784.01114299375</v>
      </c>
      <c r="K28" s="449">
        <f>SUM(K22:K27)</f>
        <v>1</v>
      </c>
      <c r="M28" s="237"/>
      <c r="N28" s="237"/>
      <c r="O28" s="237"/>
      <c r="P28" s="237"/>
      <c r="Q28" s="237"/>
      <c r="R28" s="237"/>
      <c r="S28" s="237"/>
    </row>
    <row r="29" spans="1:20" ht="12.95" customHeight="1">
      <c r="A29" s="658" t="str">
        <f>'3.1'!G6</f>
        <v>II. čtvrtletí</v>
      </c>
      <c r="B29" s="659"/>
      <c r="C29" s="403" t="s">
        <v>4</v>
      </c>
      <c r="D29" s="115">
        <f>D22</f>
        <v>145</v>
      </c>
      <c r="E29" s="116">
        <f>E8+E15+E22</f>
        <v>30129.048413097182</v>
      </c>
      <c r="F29" s="116">
        <f>F8+F15+F22</f>
        <v>321753.47938999999</v>
      </c>
      <c r="G29" s="117">
        <f>E29/$E$35</f>
        <v>0.24616622415477329</v>
      </c>
      <c r="H29" s="118">
        <f>(E29-I29)/I29</f>
        <v>-0.14828346872158363</v>
      </c>
      <c r="I29" s="119">
        <f>I8+I15+I22</f>
        <v>35374.502321651358</v>
      </c>
      <c r="J29" s="119">
        <f>J8+J15+J22</f>
        <v>376763.30070999998</v>
      </c>
      <c r="K29" s="448">
        <f>I29/$I$35</f>
        <v>0.26218959360487182</v>
      </c>
      <c r="M29" s="237"/>
      <c r="N29" s="237"/>
      <c r="O29" s="237"/>
      <c r="P29" s="237"/>
      <c r="Q29" s="237"/>
      <c r="R29" s="237"/>
      <c r="S29" s="237"/>
    </row>
    <row r="30" spans="1:20" ht="12.95" customHeight="1">
      <c r="A30" s="656"/>
      <c r="B30" s="657"/>
      <c r="C30" s="403" t="s">
        <v>5</v>
      </c>
      <c r="D30" s="115">
        <f t="shared" ref="D30:D33" si="10">D23</f>
        <v>1561</v>
      </c>
      <c r="E30" s="116">
        <f>E9+E16+E23</f>
        <v>22124.384112088293</v>
      </c>
      <c r="F30" s="116">
        <f t="shared" ref="F30" si="11">F9+F16+F23</f>
        <v>236217.48118999996</v>
      </c>
      <c r="G30" s="117">
        <f t="shared" ref="G30:G34" si="12">E30/$E$35</f>
        <v>0.18076495559863487</v>
      </c>
      <c r="H30" s="118">
        <f t="shared" ref="H30:H32" si="13">(E30-I30)/I30</f>
        <v>-0.10930079428055052</v>
      </c>
      <c r="I30" s="119">
        <f>I9+I16+I23</f>
        <v>24839.34415796143</v>
      </c>
      <c r="J30" s="119">
        <f t="shared" ref="J30" si="14">J9+J16+J23</f>
        <v>264560.68091999996</v>
      </c>
      <c r="K30" s="448">
        <f t="shared" ref="K30:K34" si="15">I30/$I$35</f>
        <v>0.18410485300881066</v>
      </c>
      <c r="M30" s="237"/>
      <c r="N30" s="237"/>
      <c r="O30" s="237"/>
      <c r="P30" s="237"/>
      <c r="Q30" s="237"/>
      <c r="R30" s="237"/>
      <c r="S30" s="237"/>
    </row>
    <row r="31" spans="1:20" ht="12.95" customHeight="1">
      <c r="A31" s="656"/>
      <c r="B31" s="657"/>
      <c r="C31" s="403" t="s">
        <v>6</v>
      </c>
      <c r="D31" s="115">
        <f t="shared" si="10"/>
        <v>39142</v>
      </c>
      <c r="E31" s="116">
        <f t="shared" ref="E31:F34" si="16">E10+E17+E24</f>
        <v>26589.890527855394</v>
      </c>
      <c r="F31" s="116">
        <f t="shared" si="16"/>
        <v>283880.34074089309</v>
      </c>
      <c r="G31" s="117">
        <f t="shared" si="12"/>
        <v>0.21724990654154125</v>
      </c>
      <c r="H31" s="118">
        <f t="shared" si="13"/>
        <v>-6.7936075043260005E-2</v>
      </c>
      <c r="I31" s="119">
        <f t="shared" ref="I31:J33" si="17">I10+I17+I24</f>
        <v>28527.96875395592</v>
      </c>
      <c r="J31" s="119">
        <f t="shared" si="17"/>
        <v>303846.60160124738</v>
      </c>
      <c r="K31" s="448">
        <f t="shared" si="15"/>
        <v>0.21144429018282268</v>
      </c>
      <c r="M31" s="237"/>
      <c r="N31" s="237"/>
      <c r="O31" s="237"/>
      <c r="P31" s="237"/>
      <c r="Q31" s="237"/>
      <c r="R31" s="237"/>
      <c r="S31" s="237"/>
    </row>
    <row r="32" spans="1:20" ht="12.95" customHeight="1">
      <c r="A32" s="656"/>
      <c r="B32" s="657"/>
      <c r="C32" s="403" t="s">
        <v>7</v>
      </c>
      <c r="D32" s="115">
        <f t="shared" si="10"/>
        <v>377938</v>
      </c>
      <c r="E32" s="116">
        <f>E11+E18+E25</f>
        <v>36662.766899278169</v>
      </c>
      <c r="F32" s="116">
        <f t="shared" si="16"/>
        <v>391424.7182150993</v>
      </c>
      <c r="G32" s="117">
        <f t="shared" si="12"/>
        <v>0.29954928449511409</v>
      </c>
      <c r="H32" s="118">
        <f t="shared" si="13"/>
        <v>-7.1758386933889237E-2</v>
      </c>
      <c r="I32" s="119">
        <f>I11+I18+I25</f>
        <v>39497.008519340096</v>
      </c>
      <c r="J32" s="119">
        <f t="shared" si="17"/>
        <v>420675.26681271289</v>
      </c>
      <c r="K32" s="448">
        <f t="shared" si="15"/>
        <v>0.29274488494939521</v>
      </c>
      <c r="M32" s="237"/>
      <c r="N32" s="237"/>
      <c r="O32" s="237"/>
      <c r="P32" s="237"/>
      <c r="Q32" s="237"/>
      <c r="R32" s="237"/>
      <c r="S32" s="237"/>
    </row>
    <row r="33" spans="1:20" ht="12.95" customHeight="1">
      <c r="A33" s="656"/>
      <c r="B33" s="657"/>
      <c r="C33" s="403" t="s">
        <v>112</v>
      </c>
      <c r="D33" s="115">
        <f t="shared" si="10"/>
        <v>33</v>
      </c>
      <c r="E33" s="116">
        <f>E12+E19+E26</f>
        <v>2948.6254336976308</v>
      </c>
      <c r="F33" s="116">
        <f t="shared" si="16"/>
        <v>31505.269590000004</v>
      </c>
      <c r="G33" s="117">
        <f t="shared" si="12"/>
        <v>2.4091434269943514E-2</v>
      </c>
      <c r="H33" s="118">
        <f>(E33-I33)/I33</f>
        <v>7.9525157867035207E-2</v>
      </c>
      <c r="I33" s="119">
        <f>I12+I19+I26</f>
        <v>2731.4096500758087</v>
      </c>
      <c r="J33" s="119">
        <f t="shared" si="17"/>
        <v>29090.369960000004</v>
      </c>
      <c r="K33" s="448">
        <f t="shared" si="15"/>
        <v>2.0244728239850761E-2</v>
      </c>
      <c r="M33" s="237"/>
      <c r="N33" s="237"/>
      <c r="O33" s="237"/>
      <c r="P33" s="237"/>
      <c r="Q33" s="237"/>
      <c r="R33" s="237"/>
      <c r="S33" s="237"/>
    </row>
    <row r="34" spans="1:20" ht="12.95" customHeight="1">
      <c r="A34" s="656"/>
      <c r="B34" s="657"/>
      <c r="C34" s="403" t="s">
        <v>114</v>
      </c>
      <c r="D34" s="115"/>
      <c r="E34" s="116">
        <f t="shared" si="16"/>
        <v>3938.3891779709465</v>
      </c>
      <c r="F34" s="116">
        <f t="shared" si="16"/>
        <v>42068.588659999994</v>
      </c>
      <c r="G34" s="117">
        <f t="shared" si="12"/>
        <v>3.2178194939993049E-2</v>
      </c>
      <c r="H34" s="118">
        <f t="shared" ref="H34" si="18">(E34-I34)/I34</f>
        <v>-2.7672392395600479E-3</v>
      </c>
      <c r="I34" s="119">
        <f t="shared" ref="I34:J34" si="19">I13+I20+I27</f>
        <v>3949.3178853929021</v>
      </c>
      <c r="J34" s="119">
        <f t="shared" si="19"/>
        <v>42062.567930000005</v>
      </c>
      <c r="K34" s="448">
        <f t="shared" si="15"/>
        <v>2.9271650014248987E-2</v>
      </c>
      <c r="M34" s="237"/>
      <c r="N34" s="237"/>
      <c r="O34" s="237"/>
      <c r="P34" s="237"/>
      <c r="Q34" s="237"/>
      <c r="R34" s="237"/>
      <c r="S34" s="237"/>
    </row>
    <row r="35" spans="1:20" ht="12.95" customHeight="1">
      <c r="A35" s="656"/>
      <c r="B35" s="657"/>
      <c r="C35" s="365" t="s">
        <v>0</v>
      </c>
      <c r="D35" s="366">
        <f>SUM(D29:D34)</f>
        <v>418819</v>
      </c>
      <c r="E35" s="367">
        <f>SUM(E29:E34)</f>
        <v>122393.10456398761</v>
      </c>
      <c r="F35" s="368">
        <f>SUM(F29:F34)</f>
        <v>1306849.8777859921</v>
      </c>
      <c r="G35" s="369">
        <f>SUM(G29:G34)</f>
        <v>1</v>
      </c>
      <c r="H35" s="370">
        <f>(E35-I35)/I35</f>
        <v>-9.2843821408921043E-2</v>
      </c>
      <c r="I35" s="371">
        <f>SUM(I29:I34)</f>
        <v>134919.55128837749</v>
      </c>
      <c r="J35" s="372">
        <f>SUM(J29:J34)</f>
        <v>1436998.7879339601</v>
      </c>
      <c r="K35" s="449">
        <f>SUM(K29:K34)</f>
        <v>1</v>
      </c>
      <c r="M35" s="237"/>
      <c r="N35" s="237"/>
      <c r="O35" s="237"/>
      <c r="P35" s="237"/>
      <c r="Q35" s="237"/>
      <c r="R35" s="237"/>
      <c r="S35" s="237"/>
    </row>
    <row r="36" spans="1:20" ht="20.100000000000001" customHeight="1">
      <c r="A36" s="268"/>
      <c r="B36" s="269"/>
      <c r="C36" s="207"/>
      <c r="D36" s="270"/>
      <c r="E36" s="270"/>
      <c r="F36" s="270"/>
      <c r="G36" s="271"/>
      <c r="H36" s="272"/>
      <c r="I36" s="273"/>
      <c r="J36" s="273"/>
      <c r="K36" s="274"/>
    </row>
    <row r="37" spans="1:20" ht="15" customHeight="1">
      <c r="A37" s="647" t="s">
        <v>67</v>
      </c>
      <c r="B37" s="647"/>
      <c r="C37" s="647"/>
      <c r="D37" s="647"/>
      <c r="E37" s="647"/>
      <c r="F37" s="408"/>
      <c r="G37" s="647" t="s">
        <v>68</v>
      </c>
      <c r="H37" s="647"/>
      <c r="I37" s="647"/>
      <c r="J37" s="647"/>
      <c r="K37" s="647"/>
      <c r="M37" s="238"/>
      <c r="N37" s="238"/>
      <c r="O37" s="238"/>
      <c r="P37" s="238"/>
      <c r="Q37" s="238"/>
      <c r="R37" s="238"/>
      <c r="S37" s="238"/>
    </row>
    <row r="38" spans="1:20" ht="15" customHeight="1">
      <c r="A38" s="648" t="str">
        <f>A29</f>
        <v>II. čtvrtletí</v>
      </c>
      <c r="B38" s="639"/>
      <c r="C38" s="639"/>
      <c r="D38" s="639"/>
      <c r="E38" s="639"/>
      <c r="F38" s="408"/>
      <c r="G38" s="649" t="str">
        <f>A29</f>
        <v>II. čtvrtletí</v>
      </c>
      <c r="H38" s="649"/>
      <c r="I38" s="649"/>
      <c r="J38" s="649"/>
      <c r="K38" s="649"/>
      <c r="M38" s="238"/>
      <c r="N38" s="238"/>
      <c r="O38" s="238"/>
      <c r="P38" s="238"/>
      <c r="Q38" s="238"/>
      <c r="R38" s="238"/>
      <c r="S38" s="238"/>
    </row>
    <row r="39" spans="1:20" ht="15" customHeight="1">
      <c r="A39" s="114"/>
      <c r="B39" s="114"/>
      <c r="C39" s="114"/>
      <c r="D39" s="91"/>
      <c r="E39" s="91"/>
      <c r="F39" s="91"/>
      <c r="G39" s="114"/>
      <c r="H39" s="114"/>
      <c r="I39" s="114"/>
      <c r="J39" s="114"/>
      <c r="K39" s="114"/>
      <c r="M39" s="238"/>
      <c r="N39" s="238"/>
      <c r="O39" s="238"/>
      <c r="P39" s="238"/>
      <c r="Q39" s="238"/>
      <c r="R39" s="238"/>
      <c r="S39" s="238"/>
      <c r="T39" s="238"/>
    </row>
    <row r="40" spans="1:20" ht="15" customHeight="1">
      <c r="A40" s="114"/>
      <c r="B40" s="114"/>
      <c r="C40" s="114"/>
      <c r="D40" s="91"/>
      <c r="E40" s="91"/>
      <c r="F40" s="91"/>
      <c r="G40" s="114"/>
      <c r="H40" s="114"/>
      <c r="I40" s="114"/>
      <c r="J40" s="114"/>
      <c r="K40" s="114"/>
    </row>
    <row r="41" spans="1:20" ht="15" customHeight="1">
      <c r="A41" s="114"/>
      <c r="B41" s="114"/>
      <c r="C41" s="114"/>
      <c r="D41" s="91"/>
      <c r="E41" s="91"/>
      <c r="F41" s="91"/>
      <c r="G41" s="114"/>
      <c r="H41" s="114"/>
      <c r="I41" s="114"/>
      <c r="J41" s="114"/>
      <c r="K41" s="114"/>
    </row>
    <row r="42" spans="1:20" ht="15" customHeight="1">
      <c r="A42" s="114"/>
      <c r="B42" s="114"/>
      <c r="C42" s="114">
        <f>E4</f>
        <v>2020</v>
      </c>
      <c r="D42" s="114">
        <f>I4</f>
        <v>2019</v>
      </c>
      <c r="E42" s="91"/>
      <c r="F42" s="91"/>
      <c r="G42" s="91"/>
      <c r="H42" s="114"/>
      <c r="I42" s="114">
        <f>E4</f>
        <v>2020</v>
      </c>
      <c r="J42" s="114">
        <f>I4</f>
        <v>2019</v>
      </c>
      <c r="K42" s="114"/>
    </row>
    <row r="43" spans="1:20" ht="15" customHeight="1">
      <c r="A43" s="114"/>
      <c r="B43" s="114" t="str">
        <f>A8</f>
        <v>Duben</v>
      </c>
      <c r="C43" s="88">
        <f>E14</f>
        <v>55939.457977388724</v>
      </c>
      <c r="D43" s="88">
        <f>I14</f>
        <v>61012.832212849149</v>
      </c>
      <c r="E43" s="91"/>
      <c r="F43" s="91"/>
      <c r="G43" s="91"/>
      <c r="H43" s="114" t="str">
        <f>A8</f>
        <v>Duben</v>
      </c>
      <c r="I43" s="241">
        <f>E14/E35</f>
        <v>0.45704746338992774</v>
      </c>
      <c r="J43" s="241">
        <f>I14/I35</f>
        <v>0.45221638843461703</v>
      </c>
      <c r="K43" s="114"/>
    </row>
    <row r="44" spans="1:20" ht="15" customHeight="1">
      <c r="A44" s="114"/>
      <c r="B44" s="114" t="str">
        <f>A15</f>
        <v>Květen</v>
      </c>
      <c r="C44" s="88">
        <f>E21</f>
        <v>42756.089586598893</v>
      </c>
      <c r="D44" s="88">
        <f>I21</f>
        <v>53738.889525638209</v>
      </c>
      <c r="E44" s="91"/>
      <c r="F44" s="91"/>
      <c r="G44" s="91"/>
      <c r="H44" s="114" t="str">
        <f>A15</f>
        <v>Květen</v>
      </c>
      <c r="I44" s="241">
        <f>E21/E35</f>
        <v>0.34933413723683948</v>
      </c>
      <c r="J44" s="241">
        <f>I21/I35</f>
        <v>0.39830320374232886</v>
      </c>
      <c r="K44" s="114"/>
    </row>
    <row r="45" spans="1:20" ht="15" customHeight="1">
      <c r="A45" s="114"/>
      <c r="B45" s="114" t="str">
        <f>A22</f>
        <v>Červen</v>
      </c>
      <c r="C45" s="88">
        <f>E28</f>
        <v>23697.557000000001</v>
      </c>
      <c r="D45" s="88">
        <f>I28</f>
        <v>20167.829549890161</v>
      </c>
      <c r="E45" s="91"/>
      <c r="F45" s="91"/>
      <c r="G45" s="91"/>
      <c r="H45" s="114" t="str">
        <f>A22</f>
        <v>Červen</v>
      </c>
      <c r="I45" s="241">
        <f>E28/E35</f>
        <v>0.19361839937323286</v>
      </c>
      <c r="J45" s="241">
        <f>I28/I35</f>
        <v>0.1494804078230543</v>
      </c>
      <c r="K45" s="114"/>
    </row>
    <row r="46" spans="1:20" ht="15" customHeight="1">
      <c r="A46" s="114"/>
      <c r="B46" s="114"/>
      <c r="C46" s="88">
        <f>SUM(C43:C45)</f>
        <v>122393.10456398761</v>
      </c>
      <c r="D46" s="88">
        <f>SUM(D43:D45)</f>
        <v>134919.55128837752</v>
      </c>
      <c r="E46" s="114"/>
      <c r="F46" s="114"/>
      <c r="G46" s="114"/>
      <c r="H46" s="114"/>
      <c r="I46" s="150">
        <f>SUM(I43:I45)</f>
        <v>1</v>
      </c>
      <c r="J46" s="150">
        <f>SUM(J43:J45)</f>
        <v>1.0000000000000002</v>
      </c>
      <c r="K46" s="114"/>
    </row>
    <row r="47" spans="1:20" ht="15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20" ht="1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ht="1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1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1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ht="1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U93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21" s="233" customFormat="1" ht="15.75">
      <c r="A1" s="638" t="s">
        <v>282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</row>
    <row r="2" spans="1:21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21" ht="12.95" customHeight="1">
      <c r="A3" s="666" t="s">
        <v>106</v>
      </c>
      <c r="B3" s="666"/>
      <c r="C3" s="666"/>
      <c r="D3" s="667"/>
      <c r="E3" s="441"/>
      <c r="F3" s="442"/>
      <c r="G3" s="300"/>
      <c r="H3" s="301"/>
      <c r="I3" s="443"/>
      <c r="J3" s="444"/>
      <c r="K3" s="444"/>
    </row>
    <row r="4" spans="1:21" ht="24.95" customHeight="1">
      <c r="A4" s="292"/>
      <c r="B4" s="292"/>
      <c r="C4" s="292"/>
      <c r="D4" s="302"/>
      <c r="E4" s="668">
        <f>'3.1'!D4</f>
        <v>2020</v>
      </c>
      <c r="F4" s="678"/>
      <c r="G4" s="679"/>
      <c r="H4" s="303"/>
      <c r="I4" s="671">
        <f>E4-1</f>
        <v>2019</v>
      </c>
      <c r="J4" s="680"/>
      <c r="K4" s="680"/>
    </row>
    <row r="5" spans="1:21" ht="24.95" customHeight="1">
      <c r="A5" s="445"/>
      <c r="B5" s="304"/>
      <c r="C5" s="305"/>
      <c r="D5" s="306"/>
      <c r="E5" s="673" t="s">
        <v>67</v>
      </c>
      <c r="F5" s="674"/>
      <c r="G5" s="664" t="s">
        <v>37</v>
      </c>
      <c r="H5" s="646" t="s">
        <v>286</v>
      </c>
      <c r="I5" s="676" t="s">
        <v>67</v>
      </c>
      <c r="J5" s="662"/>
      <c r="K5" s="662" t="s">
        <v>37</v>
      </c>
    </row>
    <row r="6" spans="1:21" ht="18" customHeight="1">
      <c r="A6" s="446"/>
      <c r="B6" s="307"/>
      <c r="C6" s="307"/>
      <c r="D6" s="308"/>
      <c r="E6" s="675"/>
      <c r="F6" s="663"/>
      <c r="G6" s="665"/>
      <c r="H6" s="646"/>
      <c r="I6" s="677"/>
      <c r="J6" s="661"/>
      <c r="K6" s="661"/>
    </row>
    <row r="7" spans="1:21" ht="22.5" customHeight="1">
      <c r="A7" s="644" t="s">
        <v>225</v>
      </c>
      <c r="B7" s="645"/>
      <c r="C7" s="309" t="s">
        <v>252</v>
      </c>
      <c r="D7" s="310" t="s">
        <v>226</v>
      </c>
      <c r="E7" s="406" t="s">
        <v>294</v>
      </c>
      <c r="F7" s="407" t="s">
        <v>289</v>
      </c>
      <c r="G7" s="404" t="s">
        <v>295</v>
      </c>
      <c r="H7" s="405" t="s">
        <v>295</v>
      </c>
      <c r="I7" s="329" t="s">
        <v>296</v>
      </c>
      <c r="J7" s="394" t="s">
        <v>289</v>
      </c>
      <c r="K7" s="394" t="s">
        <v>295</v>
      </c>
    </row>
    <row r="8" spans="1:21" ht="12.95" customHeight="1">
      <c r="A8" s="650" t="str">
        <f>'3.1'!D6</f>
        <v>Duben</v>
      </c>
      <c r="B8" s="651"/>
      <c r="C8" s="403" t="s">
        <v>4</v>
      </c>
      <c r="D8" s="120">
        <v>1259</v>
      </c>
      <c r="E8" s="116">
        <v>213966.12</v>
      </c>
      <c r="F8" s="116">
        <v>2284960.1565799997</v>
      </c>
      <c r="G8" s="121">
        <f t="shared" ref="G8:G13" si="0">E8/$E$14</f>
        <v>0.47634930827601851</v>
      </c>
      <c r="H8" s="122">
        <f>(E8-I8)/I8</f>
        <v>-0.11375986262395042</v>
      </c>
      <c r="I8" s="119">
        <v>241431.31299999997</v>
      </c>
      <c r="J8" s="119">
        <v>2575818.4098500004</v>
      </c>
      <c r="K8" s="447">
        <f>I8/$I$14</f>
        <v>0.49999788521436705</v>
      </c>
      <c r="M8" s="237"/>
      <c r="N8" s="237"/>
      <c r="O8" s="237"/>
      <c r="P8" s="237"/>
      <c r="Q8" s="237"/>
      <c r="R8" s="237"/>
      <c r="S8" s="237"/>
      <c r="T8" s="237"/>
      <c r="U8" s="237"/>
    </row>
    <row r="9" spans="1:21" ht="12.95" customHeight="1">
      <c r="A9" s="652"/>
      <c r="B9" s="653"/>
      <c r="C9" s="403" t="s">
        <v>5</v>
      </c>
      <c r="D9" s="115">
        <v>4460</v>
      </c>
      <c r="E9" s="116">
        <v>40509.08</v>
      </c>
      <c r="F9" s="116">
        <v>432600.81063999992</v>
      </c>
      <c r="G9" s="117">
        <f t="shared" si="0"/>
        <v>9.0184708854363943E-2</v>
      </c>
      <c r="H9" s="118">
        <f t="shared" ref="H9:H12" si="1">(E9-I9)/I9</f>
        <v>-8.6745702627271382E-2</v>
      </c>
      <c r="I9" s="119">
        <v>44356.845750999993</v>
      </c>
      <c r="J9" s="119">
        <v>472365.24177000002</v>
      </c>
      <c r="K9" s="448">
        <f t="shared" ref="K9:K13" si="2">I9/$I$14</f>
        <v>9.1861858326056825E-2</v>
      </c>
      <c r="L9" s="238"/>
      <c r="M9" s="237"/>
      <c r="N9" s="237"/>
      <c r="O9" s="237"/>
      <c r="P9" s="237"/>
      <c r="Q9" s="237"/>
      <c r="R9" s="237"/>
      <c r="S9" s="237"/>
    </row>
    <row r="10" spans="1:21" ht="12.95" customHeight="1">
      <c r="A10" s="652"/>
      <c r="B10" s="653"/>
      <c r="C10" s="403" t="s">
        <v>6</v>
      </c>
      <c r="D10" s="115">
        <v>155564</v>
      </c>
      <c r="E10" s="116">
        <v>59079.951000000001</v>
      </c>
      <c r="F10" s="116">
        <v>630919.56385000004</v>
      </c>
      <c r="G10" s="117">
        <f t="shared" si="0"/>
        <v>0.13152873824992045</v>
      </c>
      <c r="H10" s="118">
        <f t="shared" si="1"/>
        <v>-3.8185030203668827E-2</v>
      </c>
      <c r="I10" s="119">
        <v>61425.485000000008</v>
      </c>
      <c r="J10" s="119">
        <v>655943.18491000007</v>
      </c>
      <c r="K10" s="448">
        <f t="shared" si="2"/>
        <v>0.12721056028994396</v>
      </c>
      <c r="L10" s="238"/>
      <c r="M10" s="237"/>
      <c r="N10" s="237"/>
      <c r="O10" s="237"/>
      <c r="P10" s="237"/>
      <c r="Q10" s="237"/>
      <c r="R10" s="237"/>
      <c r="S10" s="237"/>
    </row>
    <row r="11" spans="1:21" ht="12.95" customHeight="1">
      <c r="A11" s="652"/>
      <c r="B11" s="653"/>
      <c r="C11" s="403" t="s">
        <v>7</v>
      </c>
      <c r="D11" s="115">
        <v>2127326</v>
      </c>
      <c r="E11" s="116">
        <v>124969.00000000001</v>
      </c>
      <c r="F11" s="116">
        <v>1334553.4999999998</v>
      </c>
      <c r="G11" s="117">
        <f t="shared" si="0"/>
        <v>0.27821646111985282</v>
      </c>
      <c r="H11" s="118">
        <f t="shared" si="1"/>
        <v>2.3270857386163704E-2</v>
      </c>
      <c r="I11" s="119">
        <v>122127</v>
      </c>
      <c r="J11" s="119">
        <v>1304151.3</v>
      </c>
      <c r="K11" s="448">
        <f t="shared" si="2"/>
        <v>0.25292179779337493</v>
      </c>
      <c r="L11" s="238"/>
      <c r="M11" s="237"/>
      <c r="N11" s="237"/>
      <c r="O11" s="237"/>
      <c r="P11" s="237"/>
      <c r="Q11" s="237"/>
      <c r="R11" s="237"/>
      <c r="S11" s="237"/>
    </row>
    <row r="12" spans="1:21" ht="12.95" customHeight="1">
      <c r="A12" s="652"/>
      <c r="B12" s="653"/>
      <c r="C12" s="403" t="s">
        <v>112</v>
      </c>
      <c r="D12" s="115">
        <v>191</v>
      </c>
      <c r="E12" s="116">
        <v>4735.3109999999997</v>
      </c>
      <c r="F12" s="116">
        <v>50568.77289</v>
      </c>
      <c r="G12" s="117">
        <f t="shared" si="0"/>
        <v>1.0542146202033394E-2</v>
      </c>
      <c r="H12" s="118">
        <f t="shared" si="1"/>
        <v>-5.1142228806911126E-2</v>
      </c>
      <c r="I12" s="119">
        <v>4990.5382489999993</v>
      </c>
      <c r="J12" s="119">
        <v>56942.117249999996</v>
      </c>
      <c r="K12" s="448">
        <f t="shared" si="2"/>
        <v>1.0335273165587308E-2</v>
      </c>
      <c r="L12" s="238"/>
      <c r="M12" s="237"/>
      <c r="N12" s="237"/>
      <c r="O12" s="237"/>
      <c r="P12" s="237"/>
      <c r="Q12" s="237"/>
      <c r="R12" s="237"/>
      <c r="S12" s="237"/>
    </row>
    <row r="13" spans="1:21" ht="12.95" customHeight="1">
      <c r="A13" s="652"/>
      <c r="B13" s="653"/>
      <c r="C13" s="403" t="s">
        <v>114</v>
      </c>
      <c r="D13" s="123"/>
      <c r="E13" s="116">
        <v>5919.5675117175915</v>
      </c>
      <c r="F13" s="116">
        <v>63215.52895</v>
      </c>
      <c r="G13" s="117">
        <f t="shared" si="0"/>
        <v>1.3178637297810826E-2</v>
      </c>
      <c r="H13" s="118">
        <f>(E13-I13)/I13</f>
        <v>-0.30631311795560789</v>
      </c>
      <c r="I13" s="119">
        <v>8533.486310526443</v>
      </c>
      <c r="J13" s="119">
        <v>91126.177960000001</v>
      </c>
      <c r="K13" s="448">
        <f t="shared" si="2"/>
        <v>1.7672625210670059E-2</v>
      </c>
      <c r="L13" s="238"/>
      <c r="M13" s="237"/>
      <c r="N13" s="237"/>
      <c r="O13" s="237"/>
      <c r="P13" s="237"/>
      <c r="Q13" s="237"/>
      <c r="R13" s="237"/>
      <c r="S13" s="237"/>
    </row>
    <row r="14" spans="1:21" ht="12.95" customHeight="1">
      <c r="A14" s="654"/>
      <c r="B14" s="655"/>
      <c r="C14" s="365" t="s">
        <v>0</v>
      </c>
      <c r="D14" s="366">
        <v>2288800</v>
      </c>
      <c r="E14" s="367">
        <v>449179.02951171761</v>
      </c>
      <c r="F14" s="368">
        <v>4796818.3329099994</v>
      </c>
      <c r="G14" s="369">
        <f>SUM(G8:G13)</f>
        <v>1</v>
      </c>
      <c r="H14" s="370">
        <f>(E14-I14)/I14</f>
        <v>-6.976207001574565E-2</v>
      </c>
      <c r="I14" s="371">
        <v>482864.66831052635</v>
      </c>
      <c r="J14" s="372">
        <v>5156346.4317400008</v>
      </c>
      <c r="K14" s="449">
        <f>SUM(K8:K13)</f>
        <v>1.0000000000000002</v>
      </c>
      <c r="L14" s="238"/>
      <c r="M14" s="237"/>
      <c r="N14" s="237"/>
      <c r="O14" s="237"/>
      <c r="P14" s="237"/>
      <c r="Q14" s="237"/>
      <c r="R14" s="237"/>
      <c r="S14" s="237"/>
    </row>
    <row r="15" spans="1:21" ht="12.95" customHeight="1">
      <c r="A15" s="650" t="str">
        <f>'3.1'!E6</f>
        <v>Květen</v>
      </c>
      <c r="B15" s="651"/>
      <c r="C15" s="403" t="s">
        <v>4</v>
      </c>
      <c r="D15" s="120">
        <v>1258</v>
      </c>
      <c r="E15" s="116">
        <v>198086.17600000001</v>
      </c>
      <c r="F15" s="116">
        <v>2116381.0789699997</v>
      </c>
      <c r="G15" s="121">
        <f>E15/$E$21</f>
        <v>0.53873653314275316</v>
      </c>
      <c r="H15" s="122">
        <f>(E15-I15)/I15</f>
        <v>-0.18998880605811255</v>
      </c>
      <c r="I15" s="119">
        <v>244547.45500000002</v>
      </c>
      <c r="J15" s="119">
        <v>2603889.9621600006</v>
      </c>
      <c r="K15" s="447">
        <f>I15/$I$21</f>
        <v>0.53699517421249143</v>
      </c>
      <c r="L15" s="238"/>
      <c r="M15" s="237"/>
      <c r="N15" s="237"/>
      <c r="O15" s="237"/>
      <c r="P15" s="237"/>
      <c r="Q15" s="237"/>
      <c r="R15" s="237"/>
      <c r="S15" s="237"/>
    </row>
    <row r="16" spans="1:21" ht="12.95" customHeight="1">
      <c r="A16" s="652"/>
      <c r="B16" s="653"/>
      <c r="C16" s="403" t="s">
        <v>5</v>
      </c>
      <c r="D16" s="115">
        <v>4456</v>
      </c>
      <c r="E16" s="116">
        <v>33418.718000000008</v>
      </c>
      <c r="F16" s="116">
        <v>357050.91951000004</v>
      </c>
      <c r="G16" s="117">
        <f t="shared" ref="G16:G20" si="3">E16/$E$21</f>
        <v>9.0889150575531957E-2</v>
      </c>
      <c r="H16" s="118">
        <f t="shared" ref="H16:H18" si="4">(E16-I16)/I16</f>
        <v>-0.12320768853043425</v>
      </c>
      <c r="I16" s="119">
        <v>38114.748</v>
      </c>
      <c r="J16" s="119">
        <v>405837.38032000017</v>
      </c>
      <c r="K16" s="448">
        <f t="shared" ref="K16:K20" si="5">I16/$I$21</f>
        <v>8.3695149239337643E-2</v>
      </c>
      <c r="L16" s="239"/>
      <c r="M16" s="237"/>
      <c r="N16" s="237"/>
      <c r="O16" s="237"/>
      <c r="P16" s="237"/>
      <c r="Q16" s="237"/>
      <c r="R16" s="237"/>
      <c r="S16" s="237"/>
    </row>
    <row r="17" spans="1:20" ht="12.95" customHeight="1">
      <c r="A17" s="652"/>
      <c r="B17" s="653"/>
      <c r="C17" s="403" t="s">
        <v>6</v>
      </c>
      <c r="D17" s="115">
        <v>155505</v>
      </c>
      <c r="E17" s="116">
        <v>38429.315999999999</v>
      </c>
      <c r="F17" s="116">
        <v>410584.67057999992</v>
      </c>
      <c r="G17" s="117">
        <f t="shared" si="3"/>
        <v>0.10451651342336646</v>
      </c>
      <c r="H17" s="118">
        <f t="shared" si="4"/>
        <v>-0.28478008568982133</v>
      </c>
      <c r="I17" s="119">
        <v>53730.768999999993</v>
      </c>
      <c r="J17" s="119">
        <v>572116.76430000004</v>
      </c>
      <c r="K17" s="448">
        <f>I17/$I$21</f>
        <v>0.11798594943352049</v>
      </c>
      <c r="L17" s="238"/>
      <c r="M17" s="237"/>
      <c r="N17" s="237"/>
      <c r="O17" s="237"/>
      <c r="P17" s="237"/>
      <c r="Q17" s="237"/>
      <c r="R17" s="237"/>
      <c r="S17" s="237"/>
    </row>
    <row r="18" spans="1:20" ht="12.95" customHeight="1">
      <c r="A18" s="652"/>
      <c r="B18" s="653"/>
      <c r="C18" s="403" t="s">
        <v>7</v>
      </c>
      <c r="D18" s="115">
        <v>2126449</v>
      </c>
      <c r="E18" s="116">
        <v>87929.1</v>
      </c>
      <c r="F18" s="116">
        <v>939446.9</v>
      </c>
      <c r="G18" s="117">
        <f t="shared" si="3"/>
        <v>0.23914146586565665</v>
      </c>
      <c r="H18" s="118">
        <f t="shared" si="4"/>
        <v>-0.16611250625919899</v>
      </c>
      <c r="I18" s="119">
        <v>105444.79999999999</v>
      </c>
      <c r="J18" s="119">
        <v>1122754.497</v>
      </c>
      <c r="K18" s="448">
        <f>I18/$I$21</f>
        <v>0.23154339817521841</v>
      </c>
      <c r="L18" s="238"/>
      <c r="M18" s="237"/>
      <c r="N18" s="237"/>
      <c r="O18" s="237"/>
      <c r="P18" s="237"/>
      <c r="Q18" s="237"/>
      <c r="R18" s="237"/>
      <c r="S18" s="237"/>
    </row>
    <row r="19" spans="1:20" ht="12.95" customHeight="1">
      <c r="A19" s="652"/>
      <c r="B19" s="653"/>
      <c r="C19" s="403" t="s">
        <v>112</v>
      </c>
      <c r="D19" s="115">
        <v>192</v>
      </c>
      <c r="E19" s="116">
        <v>5349.0120000000006</v>
      </c>
      <c r="F19" s="116">
        <v>57149.618650000011</v>
      </c>
      <c r="G19" s="117">
        <f t="shared" si="3"/>
        <v>1.4547750069237463E-2</v>
      </c>
      <c r="H19" s="118">
        <f>(E19-I19)/I19</f>
        <v>-3.9043767155563215E-2</v>
      </c>
      <c r="I19" s="119">
        <v>5566.3429999999998</v>
      </c>
      <c r="J19" s="119">
        <v>59269.261989999999</v>
      </c>
      <c r="K19" s="448">
        <f>I19/$I$21</f>
        <v>1.2222982770405368E-2</v>
      </c>
      <c r="L19" s="238"/>
      <c r="M19" s="237"/>
      <c r="N19" s="237"/>
      <c r="O19" s="237"/>
      <c r="P19" s="237"/>
      <c r="Q19" s="237"/>
      <c r="R19" s="237"/>
      <c r="S19" s="237"/>
    </row>
    <row r="20" spans="1:20" ht="12.95" customHeight="1">
      <c r="A20" s="652"/>
      <c r="B20" s="653"/>
      <c r="C20" s="403" t="s">
        <v>114</v>
      </c>
      <c r="D20" s="123"/>
      <c r="E20" s="116">
        <v>4474.225716472728</v>
      </c>
      <c r="F20" s="116">
        <v>47803.277270000006</v>
      </c>
      <c r="G20" s="117">
        <f t="shared" si="3"/>
        <v>1.2168586923454305E-2</v>
      </c>
      <c r="H20" s="118">
        <f t="shared" ref="H20" si="6">(E20-I20)/I20</f>
        <v>-0.44041475697553384</v>
      </c>
      <c r="I20" s="119">
        <v>7995.6106281328548</v>
      </c>
      <c r="J20" s="119">
        <v>85135.632980000009</v>
      </c>
      <c r="K20" s="448">
        <f t="shared" si="5"/>
        <v>1.7557346169026582E-2</v>
      </c>
      <c r="L20" s="238"/>
      <c r="M20" s="237"/>
      <c r="N20" s="237"/>
      <c r="O20" s="237"/>
      <c r="P20" s="237"/>
      <c r="Q20" s="237"/>
      <c r="R20" s="237"/>
      <c r="S20" s="237"/>
    </row>
    <row r="21" spans="1:20" ht="12.95" customHeight="1">
      <c r="A21" s="654"/>
      <c r="B21" s="655"/>
      <c r="C21" s="365" t="s">
        <v>0</v>
      </c>
      <c r="D21" s="366">
        <v>2287860</v>
      </c>
      <c r="E21" s="367">
        <v>367686.54771647276</v>
      </c>
      <c r="F21" s="368">
        <v>3928416.4649799992</v>
      </c>
      <c r="G21" s="369">
        <f>SUM(G15:G20)</f>
        <v>1</v>
      </c>
      <c r="H21" s="370">
        <f>(E21-I21)/I21</f>
        <v>-0.19260700649451934</v>
      </c>
      <c r="I21" s="371">
        <v>455399.72562813287</v>
      </c>
      <c r="J21" s="372">
        <v>4849003.4987500003</v>
      </c>
      <c r="K21" s="449">
        <f>SUM(K15:K20)</f>
        <v>0.99999999999999989</v>
      </c>
      <c r="L21" s="238"/>
      <c r="M21" s="237"/>
      <c r="N21" s="237"/>
      <c r="O21" s="237"/>
      <c r="P21" s="237"/>
      <c r="Q21" s="237"/>
      <c r="R21" s="237"/>
      <c r="S21" s="237"/>
    </row>
    <row r="22" spans="1:20" ht="12.95" customHeight="1">
      <c r="A22" s="656" t="str">
        <f>'3.1'!F6</f>
        <v>Červen</v>
      </c>
      <c r="B22" s="657"/>
      <c r="C22" s="402" t="s">
        <v>4</v>
      </c>
      <c r="D22" s="120">
        <v>1262</v>
      </c>
      <c r="E22" s="270">
        <v>192300.96399999998</v>
      </c>
      <c r="F22" s="270">
        <v>2059773.7786899998</v>
      </c>
      <c r="G22" s="121">
        <f>E22/$E$28</f>
        <v>0.68459138907894335</v>
      </c>
      <c r="H22" s="122">
        <f>(E22-I22)/I22</f>
        <v>-6.2522571800965723E-2</v>
      </c>
      <c r="I22" s="543">
        <v>205125.967</v>
      </c>
      <c r="J22" s="543">
        <v>2188350.6491100001</v>
      </c>
      <c r="K22" s="447">
        <f>I22/$I$28</f>
        <v>0.75090777516029794</v>
      </c>
      <c r="L22" s="116"/>
      <c r="M22" s="237"/>
      <c r="N22" s="237"/>
      <c r="O22" s="237"/>
      <c r="P22" s="237"/>
      <c r="Q22" s="237"/>
      <c r="R22" s="237"/>
      <c r="S22" s="237"/>
      <c r="T22" s="116"/>
    </row>
    <row r="23" spans="1:20" ht="12.95" customHeight="1">
      <c r="A23" s="656"/>
      <c r="B23" s="657"/>
      <c r="C23" s="403" t="s">
        <v>5</v>
      </c>
      <c r="D23" s="115">
        <v>4466</v>
      </c>
      <c r="E23" s="116">
        <v>24142.241000000002</v>
      </c>
      <c r="F23" s="116">
        <v>258591.45131999999</v>
      </c>
      <c r="G23" s="117">
        <f t="shared" ref="G23:G27" si="7">E23/$E$28</f>
        <v>8.5946372591603967E-2</v>
      </c>
      <c r="H23" s="118">
        <f t="shared" ref="H23:H27" si="8">(E23-I23)/I23</f>
        <v>0.10221466601087793</v>
      </c>
      <c r="I23" s="119">
        <v>21903.393</v>
      </c>
      <c r="J23" s="119">
        <v>233673.34789000003</v>
      </c>
      <c r="K23" s="448">
        <f t="shared" ref="K23:K27" si="9">I23/$I$28</f>
        <v>8.0182086873923891E-2</v>
      </c>
      <c r="L23" s="116"/>
      <c r="M23" s="237"/>
      <c r="N23" s="237"/>
      <c r="O23" s="237"/>
      <c r="P23" s="237"/>
      <c r="Q23" s="237"/>
      <c r="R23" s="237"/>
      <c r="S23" s="237"/>
      <c r="T23" s="116"/>
    </row>
    <row r="24" spans="1:20" ht="12.95" customHeight="1">
      <c r="A24" s="656"/>
      <c r="B24" s="657"/>
      <c r="C24" s="403" t="s">
        <v>6</v>
      </c>
      <c r="D24" s="115">
        <v>155495</v>
      </c>
      <c r="E24" s="116">
        <v>16353.891</v>
      </c>
      <c r="F24" s="116">
        <v>175169.76534000001</v>
      </c>
      <c r="G24" s="117">
        <f t="shared" si="7"/>
        <v>5.8219848323462546E-2</v>
      </c>
      <c r="H24" s="118">
        <f t="shared" si="8"/>
        <v>0.46299568657617807</v>
      </c>
      <c r="I24" s="119">
        <v>11178.359</v>
      </c>
      <c r="J24" s="119">
        <v>119250.65927</v>
      </c>
      <c r="K24" s="448">
        <f t="shared" si="9"/>
        <v>4.0920790328964514E-2</v>
      </c>
      <c r="L24" s="116"/>
      <c r="M24" s="237"/>
      <c r="N24" s="237"/>
      <c r="O24" s="237"/>
      <c r="P24" s="237"/>
      <c r="Q24" s="237"/>
      <c r="R24" s="237"/>
      <c r="S24" s="237"/>
      <c r="T24" s="116"/>
    </row>
    <row r="25" spans="1:20" ht="12.95" customHeight="1">
      <c r="A25" s="656"/>
      <c r="B25" s="657"/>
      <c r="C25" s="403" t="s">
        <v>7</v>
      </c>
      <c r="D25" s="115">
        <v>2125947</v>
      </c>
      <c r="E25" s="116">
        <v>38643.800000000003</v>
      </c>
      <c r="F25" s="116">
        <v>413919.8</v>
      </c>
      <c r="G25" s="117">
        <f t="shared" si="7"/>
        <v>0.13757191940696084</v>
      </c>
      <c r="H25" s="118">
        <f t="shared" si="8"/>
        <v>0.57642931445937984</v>
      </c>
      <c r="I25" s="119">
        <v>24513.499999999996</v>
      </c>
      <c r="J25" s="119">
        <v>261519.09999999998</v>
      </c>
      <c r="K25" s="448">
        <f t="shared" si="9"/>
        <v>8.9736945622257383E-2</v>
      </c>
      <c r="L25" s="116"/>
      <c r="M25" s="237"/>
      <c r="N25" s="237"/>
      <c r="O25" s="237"/>
      <c r="P25" s="237"/>
      <c r="Q25" s="237"/>
      <c r="R25" s="237"/>
      <c r="S25" s="237"/>
      <c r="T25" s="116"/>
    </row>
    <row r="26" spans="1:20" ht="12.95" customHeight="1">
      <c r="A26" s="656"/>
      <c r="B26" s="657"/>
      <c r="C26" s="403" t="s">
        <v>112</v>
      </c>
      <c r="D26" s="115">
        <v>193</v>
      </c>
      <c r="E26" s="116">
        <v>5911.1850000000004</v>
      </c>
      <c r="F26" s="116">
        <v>63315.832389999989</v>
      </c>
      <c r="G26" s="117">
        <f t="shared" si="7"/>
        <v>2.104381728555773E-2</v>
      </c>
      <c r="H26" s="118">
        <f t="shared" si="8"/>
        <v>4.7318127409146336E-2</v>
      </c>
      <c r="I26" s="119">
        <v>5644.1159999999991</v>
      </c>
      <c r="J26" s="119">
        <v>60213.230829999993</v>
      </c>
      <c r="K26" s="448">
        <f t="shared" si="9"/>
        <v>2.0661502053061082E-2</v>
      </c>
      <c r="L26" s="116"/>
      <c r="M26" s="237"/>
      <c r="N26" s="237"/>
      <c r="O26" s="237"/>
      <c r="P26" s="237"/>
      <c r="Q26" s="237"/>
      <c r="R26" s="237"/>
      <c r="S26" s="237"/>
      <c r="T26" s="116"/>
    </row>
    <row r="27" spans="1:20" ht="12.95" customHeight="1">
      <c r="A27" s="656"/>
      <c r="B27" s="657"/>
      <c r="C27" s="403" t="s">
        <v>114</v>
      </c>
      <c r="D27" s="123"/>
      <c r="E27" s="116">
        <v>3546.8129500448313</v>
      </c>
      <c r="F27" s="116">
        <v>37990.584730000002</v>
      </c>
      <c r="G27" s="117">
        <f t="shared" si="7"/>
        <v>1.2626653313471566E-2</v>
      </c>
      <c r="H27" s="118">
        <f t="shared" si="8"/>
        <v>-0.26189833252890621</v>
      </c>
      <c r="I27" s="119">
        <v>4805.3176227023423</v>
      </c>
      <c r="J27" s="119">
        <v>51264.661059999991</v>
      </c>
      <c r="K27" s="448">
        <f t="shared" si="9"/>
        <v>1.7590899961495311E-2</v>
      </c>
      <c r="L27" s="116"/>
      <c r="M27" s="237"/>
      <c r="N27" s="237"/>
      <c r="O27" s="237"/>
      <c r="P27" s="237"/>
      <c r="Q27" s="237"/>
      <c r="R27" s="237"/>
      <c r="S27" s="237"/>
      <c r="T27" s="116"/>
    </row>
    <row r="28" spans="1:20" ht="12.95" customHeight="1">
      <c r="A28" s="656"/>
      <c r="B28" s="657"/>
      <c r="C28" s="365" t="s">
        <v>0</v>
      </c>
      <c r="D28" s="366">
        <v>2287363</v>
      </c>
      <c r="E28" s="367">
        <v>280898.89395004482</v>
      </c>
      <c r="F28" s="368">
        <v>3008761.2124699997</v>
      </c>
      <c r="G28" s="369">
        <f>SUM(G22:G27)</f>
        <v>0.99999999999999989</v>
      </c>
      <c r="H28" s="370">
        <f>(E28-I28)/I28</f>
        <v>2.829089162083823E-2</v>
      </c>
      <c r="I28" s="371">
        <v>273170.6526227023</v>
      </c>
      <c r="J28" s="372">
        <v>2914271.6481599999</v>
      </c>
      <c r="K28" s="449">
        <f>SUM(K22:K27)</f>
        <v>1.0000000000000002</v>
      </c>
      <c r="M28" s="237"/>
      <c r="N28" s="237"/>
      <c r="O28" s="237"/>
      <c r="P28" s="237"/>
      <c r="Q28" s="237"/>
      <c r="R28" s="237"/>
      <c r="S28" s="237"/>
    </row>
    <row r="29" spans="1:20" ht="12.95" customHeight="1">
      <c r="A29" s="658" t="str">
        <f>'3.1'!G6</f>
        <v>II. čtvrtletí</v>
      </c>
      <c r="B29" s="659"/>
      <c r="C29" s="403" t="s">
        <v>4</v>
      </c>
      <c r="D29" s="115">
        <f>D22</f>
        <v>1262</v>
      </c>
      <c r="E29" s="116">
        <f>E8+E15+E22</f>
        <v>604353.26</v>
      </c>
      <c r="F29" s="116">
        <f>F8+F15+F22</f>
        <v>6461115.0142399995</v>
      </c>
      <c r="G29" s="117">
        <f>E29/$E$35</f>
        <v>0.55053089789956966</v>
      </c>
      <c r="H29" s="118">
        <f>(E29-I29)/I29</f>
        <v>-0.12552580036946206</v>
      </c>
      <c r="I29" s="119">
        <f>I8+I15+I22</f>
        <v>691104.73499999999</v>
      </c>
      <c r="J29" s="119">
        <f>J8+J15+J22</f>
        <v>7368059.0211200006</v>
      </c>
      <c r="K29" s="448">
        <f>I29/$I$35</f>
        <v>0.57048434991350916</v>
      </c>
      <c r="M29" s="237"/>
      <c r="N29" s="237"/>
      <c r="O29" s="237"/>
      <c r="P29" s="237"/>
      <c r="Q29" s="237"/>
      <c r="R29" s="237"/>
      <c r="S29" s="237"/>
    </row>
    <row r="30" spans="1:20" ht="12.95" customHeight="1">
      <c r="A30" s="656"/>
      <c r="B30" s="657"/>
      <c r="C30" s="403" t="s">
        <v>5</v>
      </c>
      <c r="D30" s="115">
        <f t="shared" ref="D30:D33" si="10">D23</f>
        <v>4466</v>
      </c>
      <c r="E30" s="116">
        <f>E9+E16+E23</f>
        <v>98070.039000000019</v>
      </c>
      <c r="F30" s="116">
        <f t="shared" ref="F30" si="11">F9+F16+F23</f>
        <v>1048243.18147</v>
      </c>
      <c r="G30" s="117">
        <f t="shared" ref="G30:G34" si="12">E30/$E$35</f>
        <v>8.9336138647975238E-2</v>
      </c>
      <c r="H30" s="118">
        <f t="shared" ref="H30:H32" si="13">(E30-I30)/I30</f>
        <v>-6.0406692707336458E-2</v>
      </c>
      <c r="I30" s="119">
        <f>I9+I16+I23</f>
        <v>104374.98675099999</v>
      </c>
      <c r="J30" s="119">
        <f t="shared" ref="J30" si="14">J9+J16+J23</f>
        <v>1111875.9699800003</v>
      </c>
      <c r="K30" s="448">
        <f t="shared" ref="K30:K34" si="15">I30/$I$35</f>
        <v>8.6158137035300966E-2</v>
      </c>
      <c r="M30" s="237"/>
      <c r="N30" s="237"/>
      <c r="O30" s="237"/>
      <c r="P30" s="237"/>
      <c r="Q30" s="237"/>
      <c r="R30" s="237"/>
      <c r="S30" s="237"/>
    </row>
    <row r="31" spans="1:20" ht="12.95" customHeight="1">
      <c r="A31" s="656"/>
      <c r="B31" s="657"/>
      <c r="C31" s="403" t="s">
        <v>6</v>
      </c>
      <c r="D31" s="115">
        <f t="shared" si="10"/>
        <v>155495</v>
      </c>
      <c r="E31" s="116">
        <f t="shared" ref="E31:F34" si="16">E10+E17+E24</f>
        <v>113863.158</v>
      </c>
      <c r="F31" s="116">
        <f t="shared" si="16"/>
        <v>1216673.9997699999</v>
      </c>
      <c r="G31" s="117">
        <f t="shared" si="12"/>
        <v>0.10372275746708236</v>
      </c>
      <c r="H31" s="118">
        <f t="shared" si="13"/>
        <v>-9.8717641221570868E-2</v>
      </c>
      <c r="I31" s="119">
        <f t="shared" ref="I31:J33" si="17">I10+I17+I24</f>
        <v>126334.613</v>
      </c>
      <c r="J31" s="119">
        <f t="shared" si="17"/>
        <v>1347310.6084800002</v>
      </c>
      <c r="K31" s="448">
        <f t="shared" si="15"/>
        <v>0.10428509011572575</v>
      </c>
      <c r="M31" s="237"/>
      <c r="N31" s="237"/>
      <c r="O31" s="237"/>
      <c r="P31" s="237"/>
      <c r="Q31" s="237"/>
      <c r="R31" s="237"/>
      <c r="S31" s="237"/>
    </row>
    <row r="32" spans="1:20" ht="12.95" customHeight="1">
      <c r="A32" s="656"/>
      <c r="B32" s="657"/>
      <c r="C32" s="403" t="s">
        <v>7</v>
      </c>
      <c r="D32" s="115">
        <f t="shared" si="10"/>
        <v>2125947</v>
      </c>
      <c r="E32" s="116">
        <f>E11+E18+E25</f>
        <v>251541.90000000002</v>
      </c>
      <c r="F32" s="116">
        <f t="shared" si="16"/>
        <v>2687920.1999999997</v>
      </c>
      <c r="G32" s="117">
        <f t="shared" si="12"/>
        <v>0.22914013579799963</v>
      </c>
      <c r="H32" s="118">
        <f t="shared" si="13"/>
        <v>-2.1556195462407572E-3</v>
      </c>
      <c r="I32" s="119">
        <f>I11+I18+I25</f>
        <v>252085.3</v>
      </c>
      <c r="J32" s="119">
        <f t="shared" si="17"/>
        <v>2688424.8970000003</v>
      </c>
      <c r="K32" s="448">
        <f t="shared" si="15"/>
        <v>0.20808816842103089</v>
      </c>
      <c r="M32" s="237"/>
      <c r="N32" s="237"/>
      <c r="O32" s="237"/>
      <c r="P32" s="237"/>
      <c r="Q32" s="237"/>
      <c r="R32" s="237"/>
      <c r="S32" s="237"/>
    </row>
    <row r="33" spans="1:20" ht="12.95" customHeight="1">
      <c r="A33" s="656"/>
      <c r="B33" s="657"/>
      <c r="C33" s="403" t="s">
        <v>112</v>
      </c>
      <c r="D33" s="115">
        <f t="shared" si="10"/>
        <v>193</v>
      </c>
      <c r="E33" s="116">
        <f>E12+E19+E26</f>
        <v>15995.508000000002</v>
      </c>
      <c r="F33" s="116">
        <f t="shared" si="16"/>
        <v>171034.22393000001</v>
      </c>
      <c r="G33" s="117">
        <f t="shared" si="12"/>
        <v>1.4570983503257268E-2</v>
      </c>
      <c r="H33" s="118">
        <f>(E33-I33)/I33</f>
        <v>-1.2683740750136757E-2</v>
      </c>
      <c r="I33" s="119">
        <f>I12+I19+I26</f>
        <v>16200.997248999996</v>
      </c>
      <c r="J33" s="119">
        <f t="shared" si="17"/>
        <v>176424.61007</v>
      </c>
      <c r="K33" s="448">
        <f t="shared" si="15"/>
        <v>1.3373393228952936E-2</v>
      </c>
      <c r="M33" s="237"/>
      <c r="N33" s="237"/>
      <c r="O33" s="237"/>
      <c r="P33" s="237"/>
      <c r="Q33" s="237"/>
      <c r="R33" s="237"/>
      <c r="S33" s="237"/>
    </row>
    <row r="34" spans="1:20" ht="12.95" customHeight="1">
      <c r="A34" s="656"/>
      <c r="B34" s="657"/>
      <c r="C34" s="403" t="s">
        <v>114</v>
      </c>
      <c r="D34" s="115"/>
      <c r="E34" s="116">
        <f t="shared" si="16"/>
        <v>13940.60617823515</v>
      </c>
      <c r="F34" s="116">
        <f t="shared" si="16"/>
        <v>149009.39095</v>
      </c>
      <c r="G34" s="117">
        <f t="shared" si="12"/>
        <v>1.2699086684115984E-2</v>
      </c>
      <c r="H34" s="118">
        <f t="shared" ref="H34" si="18">(E34-I34)/I34</f>
        <v>-0.34656720304466565</v>
      </c>
      <c r="I34" s="119">
        <f t="shared" ref="I34:J34" si="19">I13+I20+I27</f>
        <v>21334.414561361642</v>
      </c>
      <c r="J34" s="119">
        <f t="shared" si="19"/>
        <v>227526.47199999998</v>
      </c>
      <c r="K34" s="448">
        <f t="shared" si="15"/>
        <v>1.7610861285480412E-2</v>
      </c>
      <c r="M34" s="237"/>
      <c r="N34" s="237"/>
      <c r="O34" s="237"/>
      <c r="P34" s="237"/>
      <c r="Q34" s="237"/>
      <c r="R34" s="237"/>
      <c r="S34" s="237"/>
    </row>
    <row r="35" spans="1:20" ht="12.95" customHeight="1">
      <c r="A35" s="656"/>
      <c r="B35" s="657"/>
      <c r="C35" s="365" t="s">
        <v>0</v>
      </c>
      <c r="D35" s="366">
        <f>SUM(D29:D34)</f>
        <v>2287363</v>
      </c>
      <c r="E35" s="367">
        <f>SUM(E29:E34)</f>
        <v>1097764.471178235</v>
      </c>
      <c r="F35" s="368">
        <f>SUM(F29:F34)</f>
        <v>11733996.010359999</v>
      </c>
      <c r="G35" s="369">
        <f>SUM(G29:G34)</f>
        <v>1.0000000000000002</v>
      </c>
      <c r="H35" s="370">
        <f>(E35-I35)/I35</f>
        <v>-9.3831341354848996E-2</v>
      </c>
      <c r="I35" s="371">
        <f>SUM(I29:I34)</f>
        <v>1211435.0465613615</v>
      </c>
      <c r="J35" s="372">
        <f>SUM(J29:J34)</f>
        <v>12919621.57865</v>
      </c>
      <c r="K35" s="449">
        <f>SUM(K29:K34)</f>
        <v>1.0000000000000002</v>
      </c>
      <c r="M35" s="237"/>
      <c r="N35" s="237"/>
      <c r="O35" s="237"/>
      <c r="P35" s="237"/>
      <c r="Q35" s="237"/>
      <c r="R35" s="237"/>
      <c r="S35" s="237"/>
    </row>
    <row r="36" spans="1:20" ht="20.100000000000001" customHeight="1">
      <c r="A36" s="268"/>
      <c r="B36" s="269"/>
      <c r="C36" s="207"/>
      <c r="D36" s="270"/>
      <c r="E36" s="270"/>
      <c r="F36" s="270"/>
      <c r="G36" s="271"/>
      <c r="H36" s="272"/>
      <c r="I36" s="273"/>
      <c r="J36" s="273"/>
      <c r="K36" s="274"/>
    </row>
    <row r="37" spans="1:20" ht="15" customHeight="1">
      <c r="A37" s="647" t="s">
        <v>67</v>
      </c>
      <c r="B37" s="647"/>
      <c r="C37" s="647"/>
      <c r="D37" s="647"/>
      <c r="E37" s="647"/>
      <c r="F37" s="408"/>
      <c r="G37" s="647" t="s">
        <v>68</v>
      </c>
      <c r="H37" s="647"/>
      <c r="I37" s="647"/>
      <c r="J37" s="647"/>
      <c r="K37" s="647"/>
      <c r="M37" s="238"/>
      <c r="N37" s="238"/>
      <c r="O37" s="238"/>
      <c r="P37" s="238"/>
      <c r="Q37" s="238"/>
      <c r="R37" s="238"/>
      <c r="S37" s="238"/>
    </row>
    <row r="38" spans="1:20" ht="15" customHeight="1">
      <c r="A38" s="648" t="str">
        <f>A29</f>
        <v>II. čtvrtletí</v>
      </c>
      <c r="B38" s="639"/>
      <c r="C38" s="639"/>
      <c r="D38" s="639"/>
      <c r="E38" s="639"/>
      <c r="F38" s="408"/>
      <c r="G38" s="649" t="str">
        <f>A29</f>
        <v>II. čtvrtletí</v>
      </c>
      <c r="H38" s="649"/>
      <c r="I38" s="649"/>
      <c r="J38" s="649"/>
      <c r="K38" s="649"/>
      <c r="M38" s="238"/>
      <c r="N38" s="238"/>
      <c r="O38" s="238"/>
      <c r="P38" s="238"/>
      <c r="Q38" s="238"/>
      <c r="R38" s="238"/>
      <c r="S38" s="238"/>
    </row>
    <row r="39" spans="1:20" ht="15" customHeight="1">
      <c r="A39" s="114"/>
      <c r="B39" s="114"/>
      <c r="C39" s="114"/>
      <c r="D39" s="91"/>
      <c r="E39" s="91"/>
      <c r="F39" s="91"/>
      <c r="G39" s="114"/>
      <c r="H39" s="114"/>
      <c r="I39" s="114"/>
      <c r="J39" s="114"/>
      <c r="K39" s="114"/>
      <c r="M39" s="238"/>
      <c r="N39" s="238"/>
      <c r="O39" s="238"/>
      <c r="P39" s="238"/>
      <c r="Q39" s="238"/>
      <c r="R39" s="238"/>
      <c r="S39" s="238"/>
      <c r="T39" s="238"/>
    </row>
    <row r="40" spans="1:20" ht="15" customHeight="1">
      <c r="A40" s="114"/>
      <c r="B40" s="114"/>
      <c r="C40" s="114"/>
      <c r="D40" s="91"/>
      <c r="E40" s="91"/>
      <c r="F40" s="91"/>
      <c r="G40" s="114"/>
      <c r="H40" s="114"/>
      <c r="I40" s="114"/>
      <c r="J40" s="114"/>
      <c r="K40" s="114"/>
    </row>
    <row r="41" spans="1:20" ht="15" customHeight="1">
      <c r="A41" s="114"/>
      <c r="B41" s="114"/>
      <c r="C41" s="114"/>
      <c r="D41" s="91"/>
      <c r="E41" s="91"/>
      <c r="F41" s="91"/>
      <c r="G41" s="114"/>
      <c r="H41" s="114"/>
      <c r="I41" s="114"/>
      <c r="J41" s="114"/>
      <c r="K41" s="114"/>
    </row>
    <row r="42" spans="1:20" ht="15" customHeight="1">
      <c r="A42" s="114"/>
      <c r="B42" s="114"/>
      <c r="C42" s="114">
        <f>E4</f>
        <v>2020</v>
      </c>
      <c r="D42" s="114">
        <f>I4</f>
        <v>2019</v>
      </c>
      <c r="E42" s="91"/>
      <c r="F42" s="91"/>
      <c r="G42" s="91"/>
      <c r="H42" s="114"/>
      <c r="I42" s="114">
        <f>E4</f>
        <v>2020</v>
      </c>
      <c r="J42" s="114">
        <f>I4</f>
        <v>2019</v>
      </c>
      <c r="K42" s="114"/>
    </row>
    <row r="43" spans="1:20" ht="15" customHeight="1">
      <c r="A43" s="114"/>
      <c r="B43" s="114" t="str">
        <f>A8</f>
        <v>Duben</v>
      </c>
      <c r="C43" s="88">
        <f>E14</f>
        <v>449179.02951171761</v>
      </c>
      <c r="D43" s="88">
        <f>I14</f>
        <v>482864.66831052635</v>
      </c>
      <c r="E43" s="91"/>
      <c r="F43" s="91"/>
      <c r="G43" s="91"/>
      <c r="H43" s="114" t="str">
        <f>A8</f>
        <v>Duben</v>
      </c>
      <c r="I43" s="241">
        <f>E14/E35</f>
        <v>0.40917614051547135</v>
      </c>
      <c r="J43" s="241">
        <f>I14/I35</f>
        <v>0.39858898723553504</v>
      </c>
      <c r="K43" s="114"/>
    </row>
    <row r="44" spans="1:20" ht="15" customHeight="1">
      <c r="A44" s="114"/>
      <c r="B44" s="114" t="str">
        <f>A15</f>
        <v>Květen</v>
      </c>
      <c r="C44" s="88">
        <f>E21</f>
        <v>367686.54771647276</v>
      </c>
      <c r="D44" s="88">
        <f>I21</f>
        <v>455399.72562813287</v>
      </c>
      <c r="E44" s="91"/>
      <c r="F44" s="91"/>
      <c r="G44" s="91"/>
      <c r="H44" s="114" t="str">
        <f>A15</f>
        <v>Květen</v>
      </c>
      <c r="I44" s="241">
        <f>E21/E35</f>
        <v>0.33494119856314286</v>
      </c>
      <c r="J44" s="241">
        <f>I21/I35</f>
        <v>0.37591757554049432</v>
      </c>
      <c r="K44" s="114"/>
    </row>
    <row r="45" spans="1:20" ht="15" customHeight="1">
      <c r="A45" s="114"/>
      <c r="B45" s="114" t="str">
        <f>A22</f>
        <v>Červen</v>
      </c>
      <c r="C45" s="88">
        <f>E28</f>
        <v>280898.89395004482</v>
      </c>
      <c r="D45" s="88">
        <f>I28</f>
        <v>273170.6526227023</v>
      </c>
      <c r="E45" s="91"/>
      <c r="F45" s="91"/>
      <c r="G45" s="91"/>
      <c r="H45" s="114" t="str">
        <f>A22</f>
        <v>Červen</v>
      </c>
      <c r="I45" s="241">
        <f>E28/E35</f>
        <v>0.2558826609213859</v>
      </c>
      <c r="J45" s="241">
        <f>I28/I35</f>
        <v>0.22549343722397061</v>
      </c>
      <c r="K45" s="114"/>
    </row>
    <row r="46" spans="1:20" ht="15" customHeight="1">
      <c r="A46" s="114"/>
      <c r="B46" s="114"/>
      <c r="C46" s="88">
        <f>SUM(C43:C45)</f>
        <v>1097764.4711782353</v>
      </c>
      <c r="D46" s="88">
        <f>SUM(D43:D45)</f>
        <v>1211435.0465613615</v>
      </c>
      <c r="E46" s="114"/>
      <c r="F46" s="114"/>
      <c r="G46" s="114"/>
      <c r="H46" s="114"/>
      <c r="I46" s="150">
        <f>SUM(I43:I45)</f>
        <v>1</v>
      </c>
      <c r="J46" s="150">
        <f>SUM(J43:J45)</f>
        <v>1</v>
      </c>
      <c r="K46" s="114"/>
    </row>
    <row r="47" spans="1:20" ht="15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20" ht="1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ht="1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1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1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ht="1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U93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21" s="233" customFormat="1" ht="15.75">
      <c r="A1" s="638" t="s">
        <v>283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</row>
    <row r="2" spans="1:21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21" ht="12.95" customHeight="1">
      <c r="A3" s="666" t="s">
        <v>24</v>
      </c>
      <c r="B3" s="666"/>
      <c r="C3" s="666"/>
      <c r="D3" s="667"/>
      <c r="E3" s="441"/>
      <c r="F3" s="442"/>
      <c r="G3" s="300"/>
      <c r="H3" s="301"/>
      <c r="I3" s="443"/>
      <c r="J3" s="444"/>
      <c r="K3" s="444"/>
    </row>
    <row r="4" spans="1:21" ht="24.95" customHeight="1">
      <c r="A4" s="292"/>
      <c r="B4" s="292"/>
      <c r="C4" s="292"/>
      <c r="D4" s="302"/>
      <c r="E4" s="668">
        <f>'3.1'!D4</f>
        <v>2020</v>
      </c>
      <c r="F4" s="678"/>
      <c r="G4" s="679"/>
      <c r="H4" s="303"/>
      <c r="I4" s="671">
        <f>E4-1</f>
        <v>2019</v>
      </c>
      <c r="J4" s="680"/>
      <c r="K4" s="680"/>
    </row>
    <row r="5" spans="1:21" ht="24.95" customHeight="1">
      <c r="A5" s="445"/>
      <c r="B5" s="304"/>
      <c r="C5" s="305"/>
      <c r="D5" s="306"/>
      <c r="E5" s="673" t="s">
        <v>67</v>
      </c>
      <c r="F5" s="674"/>
      <c r="G5" s="664" t="s">
        <v>37</v>
      </c>
      <c r="H5" s="646" t="s">
        <v>286</v>
      </c>
      <c r="I5" s="676" t="s">
        <v>67</v>
      </c>
      <c r="J5" s="662"/>
      <c r="K5" s="662" t="s">
        <v>37</v>
      </c>
    </row>
    <row r="6" spans="1:21" ht="18" customHeight="1">
      <c r="A6" s="446"/>
      <c r="B6" s="307"/>
      <c r="C6" s="307"/>
      <c r="D6" s="308"/>
      <c r="E6" s="675"/>
      <c r="F6" s="663"/>
      <c r="G6" s="665"/>
      <c r="H6" s="646"/>
      <c r="I6" s="677"/>
      <c r="J6" s="661"/>
      <c r="K6" s="661"/>
    </row>
    <row r="7" spans="1:21" ht="22.5" customHeight="1">
      <c r="A7" s="644" t="s">
        <v>225</v>
      </c>
      <c r="B7" s="645"/>
      <c r="C7" s="309" t="s">
        <v>252</v>
      </c>
      <c r="D7" s="310" t="s">
        <v>226</v>
      </c>
      <c r="E7" s="406" t="s">
        <v>294</v>
      </c>
      <c r="F7" s="407" t="s">
        <v>289</v>
      </c>
      <c r="G7" s="404" t="s">
        <v>295</v>
      </c>
      <c r="H7" s="405" t="s">
        <v>295</v>
      </c>
      <c r="I7" s="329" t="s">
        <v>296</v>
      </c>
      <c r="J7" s="394" t="s">
        <v>289</v>
      </c>
      <c r="K7" s="394" t="s">
        <v>295</v>
      </c>
    </row>
    <row r="8" spans="1:21" ht="12.95" customHeight="1">
      <c r="A8" s="650" t="str">
        <f>'3.1'!D6</f>
        <v>Duben</v>
      </c>
      <c r="B8" s="651"/>
      <c r="C8" s="403" t="s">
        <v>4</v>
      </c>
      <c r="D8" s="120">
        <v>107</v>
      </c>
      <c r="E8" s="116">
        <v>9462.9244099999996</v>
      </c>
      <c r="F8" s="116">
        <v>101068.76224000001</v>
      </c>
      <c r="G8" s="121">
        <f t="shared" ref="G8:G13" si="0">E8/$E$14</f>
        <v>0.42055266144429126</v>
      </c>
      <c r="H8" s="122">
        <f>(E8-I8)/I8</f>
        <v>7.6831816187930987E-2</v>
      </c>
      <c r="I8" s="119">
        <v>8787.745930000001</v>
      </c>
      <c r="J8" s="119">
        <v>94190.612459999989</v>
      </c>
      <c r="K8" s="447">
        <f>I8/$I$14</f>
        <v>0.3716639701076761</v>
      </c>
      <c r="M8" s="237"/>
      <c r="N8" s="237"/>
      <c r="O8" s="237"/>
      <c r="P8" s="237"/>
      <c r="Q8" s="237"/>
      <c r="R8" s="237"/>
      <c r="S8" s="237"/>
      <c r="T8" s="237"/>
      <c r="U8" s="237"/>
    </row>
    <row r="9" spans="1:21" ht="12.95" customHeight="1">
      <c r="A9" s="652"/>
      <c r="B9" s="653"/>
      <c r="C9" s="403" t="s">
        <v>5</v>
      </c>
      <c r="D9" s="115">
        <v>364</v>
      </c>
      <c r="E9" s="116">
        <v>2696.5558999999998</v>
      </c>
      <c r="F9" s="116">
        <v>28800.565200000001</v>
      </c>
      <c r="G9" s="117">
        <f t="shared" si="0"/>
        <v>0.11984072907524219</v>
      </c>
      <c r="H9" s="118">
        <f t="shared" ref="H9:H12" si="1">(E9-I9)/I9</f>
        <v>-1.752672309260685E-2</v>
      </c>
      <c r="I9" s="119">
        <v>2744.6608099999999</v>
      </c>
      <c r="J9" s="119">
        <v>29418.37242</v>
      </c>
      <c r="K9" s="448">
        <f t="shared" ref="K9:K13" si="2">I9/$I$14</f>
        <v>0.11608113631973767</v>
      </c>
      <c r="L9" s="238"/>
      <c r="M9" s="237"/>
      <c r="N9" s="237"/>
      <c r="O9" s="237"/>
      <c r="P9" s="237"/>
      <c r="Q9" s="237"/>
      <c r="R9" s="237"/>
      <c r="S9" s="237"/>
    </row>
    <row r="10" spans="1:21" ht="12.95" customHeight="1">
      <c r="A10" s="652"/>
      <c r="B10" s="653"/>
      <c r="C10" s="403" t="s">
        <v>6</v>
      </c>
      <c r="D10" s="115">
        <v>10688</v>
      </c>
      <c r="E10" s="116">
        <v>3793.4434700000002</v>
      </c>
      <c r="F10" s="116">
        <v>40515.872970000004</v>
      </c>
      <c r="G10" s="117">
        <f t="shared" si="0"/>
        <v>0.16858876582180873</v>
      </c>
      <c r="H10" s="118">
        <f t="shared" si="1"/>
        <v>-0.15497090244235265</v>
      </c>
      <c r="I10" s="119">
        <v>4489.12763</v>
      </c>
      <c r="J10" s="119">
        <v>48116.265529999997</v>
      </c>
      <c r="K10" s="448">
        <f t="shared" si="2"/>
        <v>0.18986063213207424</v>
      </c>
      <c r="L10" s="238"/>
      <c r="M10" s="237"/>
      <c r="N10" s="237"/>
      <c r="O10" s="237"/>
      <c r="P10" s="237"/>
      <c r="Q10" s="237"/>
      <c r="R10" s="237"/>
      <c r="S10" s="237"/>
    </row>
    <row r="11" spans="1:21" ht="12.95" customHeight="1">
      <c r="A11" s="652"/>
      <c r="B11" s="653"/>
      <c r="C11" s="403" t="s">
        <v>7</v>
      </c>
      <c r="D11" s="115">
        <v>103220</v>
      </c>
      <c r="E11" s="116">
        <v>5785.9592300000004</v>
      </c>
      <c r="F11" s="116">
        <v>61796.484549999994</v>
      </c>
      <c r="G11" s="117">
        <f t="shared" si="0"/>
        <v>0.25714044070913827</v>
      </c>
      <c r="H11" s="118">
        <f t="shared" si="1"/>
        <v>-0.15143207559755711</v>
      </c>
      <c r="I11" s="119">
        <v>6818.49863</v>
      </c>
      <c r="J11" s="119">
        <v>73080.655750000005</v>
      </c>
      <c r="K11" s="448">
        <f t="shared" si="2"/>
        <v>0.28837773544956713</v>
      </c>
      <c r="L11" s="238"/>
      <c r="M11" s="237"/>
      <c r="N11" s="237"/>
      <c r="O11" s="237"/>
      <c r="P11" s="237"/>
      <c r="Q11" s="237"/>
      <c r="R11" s="237"/>
      <c r="S11" s="237"/>
    </row>
    <row r="12" spans="1:21" ht="12.95" customHeight="1">
      <c r="A12" s="652"/>
      <c r="B12" s="653"/>
      <c r="C12" s="403" t="s">
        <v>112</v>
      </c>
      <c r="D12" s="115">
        <v>16</v>
      </c>
      <c r="E12" s="116">
        <v>329.286</v>
      </c>
      <c r="F12" s="116">
        <v>3516.768</v>
      </c>
      <c r="G12" s="117">
        <f t="shared" si="0"/>
        <v>1.4634176252111148E-2</v>
      </c>
      <c r="H12" s="118">
        <f t="shared" si="1"/>
        <v>-0.23311643245408509</v>
      </c>
      <c r="I12" s="119">
        <v>429.38199999999995</v>
      </c>
      <c r="J12" s="119">
        <v>4601.6580000000004</v>
      </c>
      <c r="K12" s="448">
        <f t="shared" si="2"/>
        <v>1.8160040138162498E-2</v>
      </c>
      <c r="L12" s="238"/>
      <c r="M12" s="237"/>
      <c r="N12" s="237"/>
      <c r="O12" s="237"/>
      <c r="P12" s="237"/>
      <c r="Q12" s="237"/>
      <c r="R12" s="237"/>
      <c r="S12" s="237"/>
    </row>
    <row r="13" spans="1:21" ht="12.95" customHeight="1">
      <c r="A13" s="652"/>
      <c r="B13" s="653"/>
      <c r="C13" s="403" t="s">
        <v>114</v>
      </c>
      <c r="D13" s="123"/>
      <c r="E13" s="116">
        <v>432.995</v>
      </c>
      <c r="F13" s="116">
        <v>4624.5920000000006</v>
      </c>
      <c r="G13" s="117">
        <f t="shared" si="0"/>
        <v>1.9243226697408532E-2</v>
      </c>
      <c r="H13" s="118">
        <f>(E13-I13)/I13</f>
        <v>0.15491203362886621</v>
      </c>
      <c r="I13" s="119">
        <v>374.916</v>
      </c>
      <c r="J13" s="119">
        <v>4020.8522000000003</v>
      </c>
      <c r="K13" s="448">
        <f t="shared" si="2"/>
        <v>1.5856485852782213E-2</v>
      </c>
      <c r="L13" s="238"/>
      <c r="M13" s="237"/>
      <c r="N13" s="237"/>
      <c r="O13" s="237"/>
      <c r="P13" s="237"/>
      <c r="Q13" s="237"/>
      <c r="R13" s="237"/>
      <c r="S13" s="237"/>
    </row>
    <row r="14" spans="1:21" ht="12.95" customHeight="1">
      <c r="A14" s="654"/>
      <c r="B14" s="655"/>
      <c r="C14" s="365" t="s">
        <v>0</v>
      </c>
      <c r="D14" s="366">
        <v>114395</v>
      </c>
      <c r="E14" s="367">
        <v>22501.164009999997</v>
      </c>
      <c r="F14" s="368">
        <v>240323.04496000003</v>
      </c>
      <c r="G14" s="369">
        <f>SUM(G8:G13)</f>
        <v>1.0000000000000002</v>
      </c>
      <c r="H14" s="370">
        <f>(E14-I14)/I14</f>
        <v>-4.8348459933165736E-2</v>
      </c>
      <c r="I14" s="371">
        <v>23644.331000000006</v>
      </c>
      <c r="J14" s="372">
        <v>253428.41635999997</v>
      </c>
      <c r="K14" s="449">
        <f>SUM(K8:K13)</f>
        <v>0.99999999999999989</v>
      </c>
      <c r="L14" s="238"/>
      <c r="M14" s="237"/>
      <c r="N14" s="237"/>
      <c r="O14" s="237"/>
      <c r="P14" s="237"/>
      <c r="Q14" s="237"/>
      <c r="R14" s="237"/>
      <c r="S14" s="237"/>
    </row>
    <row r="15" spans="1:21" ht="12.95" customHeight="1">
      <c r="A15" s="650" t="str">
        <f>'3.1'!E6</f>
        <v>Květen</v>
      </c>
      <c r="B15" s="651"/>
      <c r="C15" s="403" t="s">
        <v>4</v>
      </c>
      <c r="D15" s="120">
        <v>104</v>
      </c>
      <c r="E15" s="116">
        <v>8460.07654</v>
      </c>
      <c r="F15" s="116">
        <v>90367.15217999999</v>
      </c>
      <c r="G15" s="121">
        <f>E15/$E$21</f>
        <v>0.46421105276286412</v>
      </c>
      <c r="H15" s="122">
        <f>(E15-I15)/I15</f>
        <v>-7.627003564722494E-2</v>
      </c>
      <c r="I15" s="119">
        <v>9158.6035600000014</v>
      </c>
      <c r="J15" s="119">
        <v>97834.954259999999</v>
      </c>
      <c r="K15" s="447">
        <f>I15/$I$21</f>
        <v>0.40455209762429423</v>
      </c>
      <c r="L15" s="238"/>
      <c r="M15" s="237"/>
      <c r="N15" s="237"/>
      <c r="O15" s="237"/>
      <c r="P15" s="237"/>
      <c r="Q15" s="237"/>
      <c r="R15" s="237"/>
      <c r="S15" s="237"/>
    </row>
    <row r="16" spans="1:21" ht="12.95" customHeight="1">
      <c r="A16" s="652"/>
      <c r="B16" s="653"/>
      <c r="C16" s="403" t="s">
        <v>5</v>
      </c>
      <c r="D16" s="115">
        <v>367</v>
      </c>
      <c r="E16" s="116">
        <v>2200.1042500000003</v>
      </c>
      <c r="F16" s="116">
        <v>23500.6335</v>
      </c>
      <c r="G16" s="117">
        <f t="shared" ref="G16:G20" si="3">E16/$E$21</f>
        <v>0.12072145036178972</v>
      </c>
      <c r="H16" s="118">
        <f t="shared" ref="H16:H18" si="4">(E16-I16)/I16</f>
        <v>-0.10040482154606947</v>
      </c>
      <c r="I16" s="119">
        <v>2445.6603399999999</v>
      </c>
      <c r="J16" s="119">
        <v>26125.277420000002</v>
      </c>
      <c r="K16" s="448">
        <f t="shared" ref="K16:K20" si="5">I16/$I$21</f>
        <v>0.10802924421193578</v>
      </c>
      <c r="L16" s="239"/>
      <c r="M16" s="237"/>
      <c r="N16" s="237"/>
      <c r="O16" s="237"/>
      <c r="P16" s="237"/>
      <c r="Q16" s="237"/>
      <c r="R16" s="237"/>
      <c r="S16" s="237"/>
    </row>
    <row r="17" spans="1:20" ht="12.95" customHeight="1">
      <c r="A17" s="652"/>
      <c r="B17" s="653"/>
      <c r="C17" s="403" t="s">
        <v>6</v>
      </c>
      <c r="D17" s="115">
        <v>10694</v>
      </c>
      <c r="E17" s="116">
        <v>2715.7669000000001</v>
      </c>
      <c r="F17" s="116">
        <v>29008.735710000001</v>
      </c>
      <c r="G17" s="117">
        <f t="shared" si="3"/>
        <v>0.14901626548493849</v>
      </c>
      <c r="H17" s="118">
        <f t="shared" si="4"/>
        <v>-0.31894047443373374</v>
      </c>
      <c r="I17" s="119">
        <v>3987.5617300000004</v>
      </c>
      <c r="J17" s="119">
        <v>42596.330690000003</v>
      </c>
      <c r="K17" s="448">
        <f>I17/$I$21</f>
        <v>0.17613781966973352</v>
      </c>
      <c r="L17" s="238"/>
      <c r="M17" s="237"/>
      <c r="N17" s="237"/>
      <c r="O17" s="237"/>
      <c r="P17" s="237"/>
      <c r="Q17" s="237"/>
      <c r="R17" s="237"/>
      <c r="S17" s="237"/>
    </row>
    <row r="18" spans="1:20" ht="12.95" customHeight="1">
      <c r="A18" s="652"/>
      <c r="B18" s="653"/>
      <c r="C18" s="403" t="s">
        <v>7</v>
      </c>
      <c r="D18" s="115">
        <v>103173</v>
      </c>
      <c r="E18" s="116">
        <v>4142.2303200000006</v>
      </c>
      <c r="F18" s="116">
        <v>44246.077399999995</v>
      </c>
      <c r="G18" s="117">
        <f t="shared" si="3"/>
        <v>0.22728743511266811</v>
      </c>
      <c r="H18" s="118">
        <f t="shared" si="4"/>
        <v>-0.31608832389646851</v>
      </c>
      <c r="I18" s="119">
        <v>6056.6743699999997</v>
      </c>
      <c r="J18" s="119">
        <v>64699.421600000001</v>
      </c>
      <c r="K18" s="448">
        <f>I18/$I$21</f>
        <v>0.26753427036761052</v>
      </c>
      <c r="L18" s="238"/>
      <c r="M18" s="237"/>
      <c r="N18" s="237"/>
      <c r="O18" s="237"/>
      <c r="P18" s="237"/>
      <c r="Q18" s="237"/>
      <c r="R18" s="237"/>
      <c r="S18" s="237"/>
    </row>
    <row r="19" spans="1:20" ht="12.95" customHeight="1">
      <c r="A19" s="652"/>
      <c r="B19" s="653"/>
      <c r="C19" s="403" t="s">
        <v>112</v>
      </c>
      <c r="D19" s="115">
        <v>16</v>
      </c>
      <c r="E19" s="116">
        <v>362.98500000000001</v>
      </c>
      <c r="F19" s="116">
        <v>3877.09</v>
      </c>
      <c r="G19" s="117">
        <f t="shared" si="3"/>
        <v>1.9917272401784706E-2</v>
      </c>
      <c r="H19" s="118">
        <f>(E19-I19)/I19</f>
        <v>-0.18868084783002273</v>
      </c>
      <c r="I19" s="119">
        <v>447.40100000000001</v>
      </c>
      <c r="J19" s="119">
        <v>4779.5609999999997</v>
      </c>
      <c r="K19" s="448">
        <f>I19/$I$21</f>
        <v>1.9762512029640338E-2</v>
      </c>
      <c r="L19" s="238"/>
      <c r="M19" s="237"/>
      <c r="N19" s="237"/>
      <c r="O19" s="237"/>
      <c r="P19" s="237"/>
      <c r="Q19" s="237"/>
      <c r="R19" s="237"/>
      <c r="S19" s="237"/>
    </row>
    <row r="20" spans="1:20" ht="12.95" customHeight="1">
      <c r="A20" s="652"/>
      <c r="B20" s="653"/>
      <c r="C20" s="403" t="s">
        <v>114</v>
      </c>
      <c r="D20" s="123"/>
      <c r="E20" s="116">
        <v>343.471</v>
      </c>
      <c r="F20" s="116">
        <v>3668.8160000000003</v>
      </c>
      <c r="G20" s="117">
        <f t="shared" si="3"/>
        <v>1.8846523875954636E-2</v>
      </c>
      <c r="H20" s="118">
        <f t="shared" ref="H20" si="6">(E20-I20)/I20</f>
        <v>-0.36742410290033367</v>
      </c>
      <c r="I20" s="119">
        <v>542.97199999999998</v>
      </c>
      <c r="J20" s="119">
        <v>5800.2049999999999</v>
      </c>
      <c r="K20" s="448">
        <f t="shared" si="5"/>
        <v>2.3984056096785375E-2</v>
      </c>
      <c r="L20" s="238"/>
      <c r="M20" s="237"/>
      <c r="N20" s="237"/>
      <c r="O20" s="237"/>
      <c r="P20" s="237"/>
      <c r="Q20" s="237"/>
      <c r="R20" s="237"/>
      <c r="S20" s="237"/>
    </row>
    <row r="21" spans="1:20" ht="12.95" customHeight="1">
      <c r="A21" s="654"/>
      <c r="B21" s="655"/>
      <c r="C21" s="365" t="s">
        <v>0</v>
      </c>
      <c r="D21" s="366">
        <v>114354</v>
      </c>
      <c r="E21" s="367">
        <v>18224.634010000005</v>
      </c>
      <c r="F21" s="368">
        <v>194668.50478999995</v>
      </c>
      <c r="G21" s="369">
        <f>SUM(G15:G20)</f>
        <v>0.99999999999999989</v>
      </c>
      <c r="H21" s="370">
        <f>(E21-I21)/I21</f>
        <v>-0.19498492659064787</v>
      </c>
      <c r="I21" s="371">
        <v>22638.873000000007</v>
      </c>
      <c r="J21" s="372">
        <v>241835.74996999998</v>
      </c>
      <c r="K21" s="449">
        <f>SUM(K15:K20)</f>
        <v>0.99999999999999967</v>
      </c>
      <c r="L21" s="238"/>
      <c r="M21" s="237"/>
      <c r="N21" s="237"/>
      <c r="O21" s="237"/>
      <c r="P21" s="237"/>
      <c r="Q21" s="237"/>
      <c r="R21" s="237"/>
      <c r="S21" s="237"/>
    </row>
    <row r="22" spans="1:20" ht="12.95" customHeight="1">
      <c r="A22" s="656" t="str">
        <f>'3.1'!F6</f>
        <v>Červen</v>
      </c>
      <c r="B22" s="657"/>
      <c r="C22" s="402" t="s">
        <v>4</v>
      </c>
      <c r="D22" s="120">
        <v>100</v>
      </c>
      <c r="E22" s="270">
        <v>7616.7025599999997</v>
      </c>
      <c r="F22" s="270">
        <v>81362.377199999988</v>
      </c>
      <c r="G22" s="121">
        <f>E22/$E$28</f>
        <v>0.57281770156288248</v>
      </c>
      <c r="H22" s="122">
        <f>(E22-I22)/I22</f>
        <v>0.12296067456937294</v>
      </c>
      <c r="I22" s="543">
        <v>6782.6975000000002</v>
      </c>
      <c r="J22" s="543">
        <v>72461.592269999994</v>
      </c>
      <c r="K22" s="447">
        <f>I22/$I$28</f>
        <v>0.59673209774167979</v>
      </c>
      <c r="L22" s="116"/>
      <c r="M22" s="237"/>
      <c r="N22" s="237"/>
      <c r="O22" s="237"/>
      <c r="P22" s="237"/>
      <c r="Q22" s="237"/>
      <c r="R22" s="237"/>
      <c r="S22" s="237"/>
      <c r="T22" s="116"/>
    </row>
    <row r="23" spans="1:20" ht="12.95" customHeight="1">
      <c r="A23" s="656"/>
      <c r="B23" s="657"/>
      <c r="C23" s="403" t="s">
        <v>5</v>
      </c>
      <c r="D23" s="115">
        <v>371</v>
      </c>
      <c r="E23" s="116">
        <v>1813.8709999999999</v>
      </c>
      <c r="F23" s="116">
        <v>19375.95134</v>
      </c>
      <c r="G23" s="117">
        <f t="shared" ref="G23:G27" si="7">E23/$E$28</f>
        <v>0.13641302242890357</v>
      </c>
      <c r="H23" s="118">
        <f t="shared" ref="H23:H27" si="8">(E23-I23)/I23</f>
        <v>0.56770827143765568</v>
      </c>
      <c r="I23" s="119">
        <v>1157.0207499999999</v>
      </c>
      <c r="J23" s="119">
        <v>12360.79983</v>
      </c>
      <c r="K23" s="448">
        <f t="shared" ref="K23:K27" si="9">I23/$I$28</f>
        <v>0.10179304314812086</v>
      </c>
      <c r="L23" s="116"/>
      <c r="M23" s="237"/>
      <c r="N23" s="237"/>
      <c r="O23" s="237"/>
      <c r="P23" s="237"/>
      <c r="Q23" s="237"/>
      <c r="R23" s="237"/>
      <c r="S23" s="237"/>
      <c r="T23" s="116"/>
    </row>
    <row r="24" spans="1:20" ht="12.95" customHeight="1">
      <c r="A24" s="656"/>
      <c r="B24" s="657"/>
      <c r="C24" s="403" t="s">
        <v>6</v>
      </c>
      <c r="D24" s="115">
        <v>10684</v>
      </c>
      <c r="E24" s="116">
        <v>1271.0611699999999</v>
      </c>
      <c r="F24" s="116">
        <v>13577.602579999999</v>
      </c>
      <c r="G24" s="117">
        <f t="shared" si="7"/>
        <v>9.5590753637782633E-2</v>
      </c>
      <c r="H24" s="118">
        <f t="shared" si="8"/>
        <v>0.15909359777512155</v>
      </c>
      <c r="I24" s="119">
        <v>1096.59925</v>
      </c>
      <c r="J24" s="119">
        <v>11715.29881</v>
      </c>
      <c r="K24" s="448">
        <f t="shared" si="9"/>
        <v>9.6477245348838378E-2</v>
      </c>
      <c r="L24" s="116"/>
      <c r="M24" s="237"/>
      <c r="N24" s="237"/>
      <c r="O24" s="237"/>
      <c r="P24" s="237"/>
      <c r="Q24" s="237"/>
      <c r="R24" s="237"/>
      <c r="S24" s="237"/>
      <c r="T24" s="116"/>
    </row>
    <row r="25" spans="1:20" ht="12.95" customHeight="1">
      <c r="A25" s="656"/>
      <c r="B25" s="657"/>
      <c r="C25" s="403" t="s">
        <v>7</v>
      </c>
      <c r="D25" s="115">
        <v>103188</v>
      </c>
      <c r="E25" s="116">
        <v>1938.6892700000001</v>
      </c>
      <c r="F25" s="116">
        <v>20710.100630000001</v>
      </c>
      <c r="G25" s="117">
        <f t="shared" si="7"/>
        <v>0.14580003918205028</v>
      </c>
      <c r="H25" s="118">
        <f t="shared" si="8"/>
        <v>0.1639476707796467</v>
      </c>
      <c r="I25" s="119">
        <v>1665.6154900000001</v>
      </c>
      <c r="J25" s="119">
        <v>17794.221969999999</v>
      </c>
      <c r="K25" s="448">
        <f t="shared" si="9"/>
        <v>0.14653848640290029</v>
      </c>
      <c r="L25" s="116"/>
      <c r="M25" s="237"/>
      <c r="N25" s="237"/>
      <c r="O25" s="237"/>
      <c r="P25" s="237"/>
      <c r="Q25" s="237"/>
      <c r="R25" s="237"/>
      <c r="S25" s="237"/>
      <c r="T25" s="116"/>
    </row>
    <row r="26" spans="1:20" ht="12.95" customHeight="1">
      <c r="A26" s="656"/>
      <c r="B26" s="657"/>
      <c r="C26" s="403" t="s">
        <v>112</v>
      </c>
      <c r="D26" s="115">
        <v>15</v>
      </c>
      <c r="E26" s="116">
        <v>407.86700000000002</v>
      </c>
      <c r="F26" s="116">
        <v>4356.54</v>
      </c>
      <c r="G26" s="117">
        <f t="shared" si="7"/>
        <v>3.0673829737070397E-2</v>
      </c>
      <c r="H26" s="118">
        <f t="shared" si="8"/>
        <v>-8.740090707920041E-2</v>
      </c>
      <c r="I26" s="119">
        <v>446.92899999999997</v>
      </c>
      <c r="J26" s="119">
        <v>4774.6710000000003</v>
      </c>
      <c r="K26" s="448">
        <f t="shared" si="9"/>
        <v>3.9320178986544982E-2</v>
      </c>
      <c r="L26" s="116"/>
      <c r="M26" s="237"/>
      <c r="N26" s="237"/>
      <c r="O26" s="237"/>
      <c r="P26" s="237"/>
      <c r="Q26" s="237"/>
      <c r="R26" s="237"/>
      <c r="S26" s="237"/>
      <c r="T26" s="116"/>
    </row>
    <row r="27" spans="1:20" ht="12.95" customHeight="1">
      <c r="A27" s="656"/>
      <c r="B27" s="657"/>
      <c r="C27" s="403" t="s">
        <v>114</v>
      </c>
      <c r="D27" s="123"/>
      <c r="E27" s="116">
        <v>248.714</v>
      </c>
      <c r="F27" s="116">
        <v>2656.7950000000001</v>
      </c>
      <c r="G27" s="117">
        <f t="shared" si="7"/>
        <v>1.8704653451310664E-2</v>
      </c>
      <c r="H27" s="118">
        <f t="shared" si="8"/>
        <v>0.14329712559931232</v>
      </c>
      <c r="I27" s="119">
        <v>217.541</v>
      </c>
      <c r="J27" s="119">
        <v>2324.0569999999998</v>
      </c>
      <c r="K27" s="448">
        <f t="shared" si="9"/>
        <v>1.9138948371915855E-2</v>
      </c>
      <c r="L27" s="116"/>
      <c r="M27" s="237"/>
      <c r="N27" s="237"/>
      <c r="O27" s="237"/>
      <c r="P27" s="237"/>
      <c r="Q27" s="237"/>
      <c r="R27" s="237"/>
      <c r="S27" s="237"/>
      <c r="T27" s="116"/>
    </row>
    <row r="28" spans="1:20" ht="12.95" customHeight="1">
      <c r="A28" s="656"/>
      <c r="B28" s="657"/>
      <c r="C28" s="365" t="s">
        <v>0</v>
      </c>
      <c r="D28" s="366">
        <v>114358</v>
      </c>
      <c r="E28" s="367">
        <v>13296.904999999999</v>
      </c>
      <c r="F28" s="368">
        <v>142039.36675000002</v>
      </c>
      <c r="G28" s="369">
        <f>SUM(G22:G27)</f>
        <v>1.0000000000000002</v>
      </c>
      <c r="H28" s="370">
        <f>(E28-I28)/I28</f>
        <v>0.16984282641557127</v>
      </c>
      <c r="I28" s="371">
        <v>11366.402989999999</v>
      </c>
      <c r="J28" s="372">
        <v>121430.64088000001</v>
      </c>
      <c r="K28" s="449">
        <f>SUM(K22:K27)</f>
        <v>1</v>
      </c>
      <c r="M28" s="237"/>
      <c r="N28" s="237"/>
      <c r="O28" s="237"/>
      <c r="P28" s="237"/>
      <c r="Q28" s="237"/>
      <c r="R28" s="237"/>
      <c r="S28" s="237"/>
    </row>
    <row r="29" spans="1:20" ht="12.95" customHeight="1">
      <c r="A29" s="658" t="str">
        <f>'3.1'!G6</f>
        <v>II. čtvrtletí</v>
      </c>
      <c r="B29" s="659"/>
      <c r="C29" s="403" t="s">
        <v>4</v>
      </c>
      <c r="D29" s="115">
        <f>D22</f>
        <v>100</v>
      </c>
      <c r="E29" s="116">
        <f>E8+E15+E22</f>
        <v>25539.703509999999</v>
      </c>
      <c r="F29" s="116">
        <f>F8+F15+F22</f>
        <v>272798.29161999997</v>
      </c>
      <c r="G29" s="117">
        <f>E29/$E$35</f>
        <v>0.47275871221298987</v>
      </c>
      <c r="H29" s="118">
        <f>(E29-I29)/I29</f>
        <v>3.2781551198791135E-2</v>
      </c>
      <c r="I29" s="119">
        <f>I8+I15+I22</f>
        <v>24729.046990000003</v>
      </c>
      <c r="J29" s="119">
        <f>J8+J15+J22</f>
        <v>264487.15899000003</v>
      </c>
      <c r="K29" s="448">
        <f>I29/$I$35</f>
        <v>0.42895430309333321</v>
      </c>
      <c r="M29" s="237"/>
      <c r="N29" s="237"/>
      <c r="O29" s="237"/>
      <c r="P29" s="237"/>
      <c r="Q29" s="237"/>
      <c r="R29" s="237"/>
      <c r="S29" s="237"/>
    </row>
    <row r="30" spans="1:20" ht="12.95" customHeight="1">
      <c r="A30" s="656"/>
      <c r="B30" s="657"/>
      <c r="C30" s="403" t="s">
        <v>5</v>
      </c>
      <c r="D30" s="115">
        <f t="shared" ref="D30:D33" si="10">D23</f>
        <v>371</v>
      </c>
      <c r="E30" s="116">
        <f>E9+E16+E23</f>
        <v>6710.5311499999998</v>
      </c>
      <c r="F30" s="116">
        <f t="shared" ref="F30" si="11">F9+F16+F23</f>
        <v>71677.150040000008</v>
      </c>
      <c r="G30" s="117">
        <f t="shared" ref="G30:G34" si="12">E30/$E$35</f>
        <v>0.12421687133121907</v>
      </c>
      <c r="H30" s="118">
        <f t="shared" ref="H30:H32" si="13">(E30-I30)/I30</f>
        <v>5.7219109309363088E-2</v>
      </c>
      <c r="I30" s="119">
        <f>I9+I16+I23</f>
        <v>6347.3418999999994</v>
      </c>
      <c r="J30" s="119">
        <f t="shared" ref="J30" si="14">J9+J16+J23</f>
        <v>67904.449670000002</v>
      </c>
      <c r="K30" s="448">
        <f t="shared" ref="K30:K34" si="15">I30/$I$35</f>
        <v>0.110102084496448</v>
      </c>
      <c r="M30" s="237"/>
      <c r="N30" s="237"/>
      <c r="O30" s="237"/>
      <c r="P30" s="237"/>
      <c r="Q30" s="237"/>
      <c r="R30" s="237"/>
      <c r="S30" s="237"/>
    </row>
    <row r="31" spans="1:20" ht="12.95" customHeight="1">
      <c r="A31" s="656"/>
      <c r="B31" s="657"/>
      <c r="C31" s="403" t="s">
        <v>6</v>
      </c>
      <c r="D31" s="115">
        <f t="shared" si="10"/>
        <v>10684</v>
      </c>
      <c r="E31" s="116">
        <f t="shared" ref="E31:F34" si="16">E10+E17+E24</f>
        <v>7780.2715400000006</v>
      </c>
      <c r="F31" s="116">
        <f t="shared" si="16"/>
        <v>83102.211260000011</v>
      </c>
      <c r="G31" s="117">
        <f t="shared" si="12"/>
        <v>0.14401855340558634</v>
      </c>
      <c r="H31" s="118">
        <f t="shared" si="13"/>
        <v>-0.18729374440117283</v>
      </c>
      <c r="I31" s="119">
        <f t="shared" ref="I31:J33" si="17">I10+I17+I24</f>
        <v>9573.2886099999996</v>
      </c>
      <c r="J31" s="119">
        <f t="shared" si="17"/>
        <v>102427.89503000001</v>
      </c>
      <c r="K31" s="448">
        <f t="shared" si="15"/>
        <v>0.16605991107034951</v>
      </c>
      <c r="M31" s="237"/>
      <c r="N31" s="237"/>
      <c r="O31" s="237"/>
      <c r="P31" s="237"/>
      <c r="Q31" s="237"/>
      <c r="R31" s="237"/>
      <c r="S31" s="237"/>
    </row>
    <row r="32" spans="1:20" ht="12.95" customHeight="1">
      <c r="A32" s="656"/>
      <c r="B32" s="657"/>
      <c r="C32" s="403" t="s">
        <v>7</v>
      </c>
      <c r="D32" s="115">
        <f t="shared" si="10"/>
        <v>103188</v>
      </c>
      <c r="E32" s="116">
        <f>E11+E18+E25</f>
        <v>11866.878820000002</v>
      </c>
      <c r="F32" s="116">
        <f t="shared" si="16"/>
        <v>126752.66257999999</v>
      </c>
      <c r="G32" s="117">
        <f t="shared" si="12"/>
        <v>0.21966466238475163</v>
      </c>
      <c r="H32" s="118">
        <f t="shared" si="13"/>
        <v>-0.18389028021684659</v>
      </c>
      <c r="I32" s="119">
        <f>I11+I18+I25</f>
        <v>14540.788489999999</v>
      </c>
      <c r="J32" s="119">
        <f t="shared" si="17"/>
        <v>155574.29931999999</v>
      </c>
      <c r="K32" s="448">
        <f t="shared" si="15"/>
        <v>0.25222701852108498</v>
      </c>
      <c r="M32" s="237"/>
      <c r="N32" s="237"/>
      <c r="O32" s="237"/>
      <c r="P32" s="237"/>
      <c r="Q32" s="237"/>
      <c r="R32" s="237"/>
      <c r="S32" s="237"/>
    </row>
    <row r="33" spans="1:20" ht="12.95" customHeight="1">
      <c r="A33" s="656"/>
      <c r="B33" s="657"/>
      <c r="C33" s="403" t="s">
        <v>112</v>
      </c>
      <c r="D33" s="115">
        <f t="shared" si="10"/>
        <v>15</v>
      </c>
      <c r="E33" s="116">
        <f>E12+E19+E26</f>
        <v>1100.1379999999999</v>
      </c>
      <c r="F33" s="116">
        <f t="shared" si="16"/>
        <v>11750.398000000001</v>
      </c>
      <c r="G33" s="117">
        <f t="shared" si="12"/>
        <v>2.036436421170397E-2</v>
      </c>
      <c r="H33" s="118">
        <f>(E33-I33)/I33</f>
        <v>-0.16889927718416095</v>
      </c>
      <c r="I33" s="119">
        <f>I12+I19+I26</f>
        <v>1323.712</v>
      </c>
      <c r="J33" s="119">
        <f t="shared" si="17"/>
        <v>14155.890000000001</v>
      </c>
      <c r="K33" s="448">
        <f t="shared" si="15"/>
        <v>2.2961336063047462E-2</v>
      </c>
      <c r="M33" s="237"/>
      <c r="N33" s="237"/>
      <c r="O33" s="237"/>
      <c r="P33" s="237"/>
      <c r="Q33" s="237"/>
      <c r="R33" s="237"/>
      <c r="S33" s="237"/>
    </row>
    <row r="34" spans="1:20" ht="12.95" customHeight="1">
      <c r="A34" s="656"/>
      <c r="B34" s="657"/>
      <c r="C34" s="403" t="s">
        <v>114</v>
      </c>
      <c r="D34" s="115"/>
      <c r="E34" s="116">
        <f t="shared" si="16"/>
        <v>1025.18</v>
      </c>
      <c r="F34" s="116">
        <f t="shared" si="16"/>
        <v>10950.203000000001</v>
      </c>
      <c r="G34" s="117">
        <f t="shared" si="12"/>
        <v>1.8976836453749146E-2</v>
      </c>
      <c r="H34" s="118">
        <f t="shared" ref="H34" si="18">(E34-I34)/I34</f>
        <v>-9.7098981970691084E-2</v>
      </c>
      <c r="I34" s="119">
        <f t="shared" ref="I34:J34" si="19">I13+I20+I27</f>
        <v>1135.4289999999999</v>
      </c>
      <c r="J34" s="119">
        <f t="shared" si="19"/>
        <v>12145.1142</v>
      </c>
      <c r="K34" s="448">
        <f t="shared" si="15"/>
        <v>1.969534675573683E-2</v>
      </c>
      <c r="M34" s="237"/>
      <c r="N34" s="237"/>
      <c r="O34" s="237"/>
      <c r="P34" s="237"/>
      <c r="Q34" s="237"/>
      <c r="R34" s="237"/>
      <c r="S34" s="237"/>
    </row>
    <row r="35" spans="1:20" ht="12.95" customHeight="1">
      <c r="A35" s="656"/>
      <c r="B35" s="657"/>
      <c r="C35" s="365" t="s">
        <v>0</v>
      </c>
      <c r="D35" s="366">
        <f>SUM(D29:D34)</f>
        <v>114358</v>
      </c>
      <c r="E35" s="367">
        <f>SUM(E29:E34)</f>
        <v>54022.703020000001</v>
      </c>
      <c r="F35" s="368">
        <f>SUM(F29:F34)</f>
        <v>577030.91650000005</v>
      </c>
      <c r="G35" s="369">
        <f>SUM(G29:G34)</f>
        <v>1</v>
      </c>
      <c r="H35" s="370">
        <f>(E35-I35)/I35</f>
        <v>-6.2912900180379872E-2</v>
      </c>
      <c r="I35" s="371">
        <f>SUM(I29:I34)</f>
        <v>57649.60699</v>
      </c>
      <c r="J35" s="372">
        <f>SUM(J29:J34)</f>
        <v>616694.80721</v>
      </c>
      <c r="K35" s="449">
        <f>SUM(K29:K34)</f>
        <v>1</v>
      </c>
      <c r="M35" s="237"/>
      <c r="N35" s="237"/>
      <c r="O35" s="237"/>
      <c r="P35" s="237"/>
      <c r="Q35" s="237"/>
      <c r="R35" s="237"/>
      <c r="S35" s="237"/>
    </row>
    <row r="36" spans="1:20" ht="20.100000000000001" customHeight="1">
      <c r="A36" s="268"/>
      <c r="B36" s="269"/>
      <c r="C36" s="207"/>
      <c r="D36" s="270"/>
      <c r="E36" s="270"/>
      <c r="F36" s="270"/>
      <c r="G36" s="271"/>
      <c r="H36" s="272"/>
      <c r="I36" s="273"/>
      <c r="J36" s="273"/>
      <c r="K36" s="274"/>
    </row>
    <row r="37" spans="1:20" ht="15" customHeight="1">
      <c r="A37" s="647" t="s">
        <v>67</v>
      </c>
      <c r="B37" s="647"/>
      <c r="C37" s="647"/>
      <c r="D37" s="647"/>
      <c r="E37" s="647"/>
      <c r="F37" s="408"/>
      <c r="G37" s="647" t="s">
        <v>68</v>
      </c>
      <c r="H37" s="647"/>
      <c r="I37" s="647"/>
      <c r="J37" s="647"/>
      <c r="K37" s="647"/>
      <c r="M37" s="238"/>
      <c r="N37" s="238"/>
      <c r="O37" s="238"/>
      <c r="P37" s="238"/>
      <c r="Q37" s="238"/>
      <c r="R37" s="238"/>
      <c r="S37" s="238"/>
    </row>
    <row r="38" spans="1:20" ht="15" customHeight="1">
      <c r="A38" s="648" t="str">
        <f>A29</f>
        <v>II. čtvrtletí</v>
      </c>
      <c r="B38" s="639"/>
      <c r="C38" s="639"/>
      <c r="D38" s="639"/>
      <c r="E38" s="639"/>
      <c r="F38" s="408"/>
      <c r="G38" s="649" t="str">
        <f>A29</f>
        <v>II. čtvrtletí</v>
      </c>
      <c r="H38" s="649"/>
      <c r="I38" s="649"/>
      <c r="J38" s="649"/>
      <c r="K38" s="649"/>
      <c r="M38" s="238"/>
      <c r="N38" s="238"/>
      <c r="O38" s="238"/>
      <c r="P38" s="238"/>
      <c r="Q38" s="238"/>
      <c r="R38" s="238"/>
      <c r="S38" s="238"/>
    </row>
    <row r="39" spans="1:20" ht="15" customHeight="1">
      <c r="A39" s="114"/>
      <c r="B39" s="114"/>
      <c r="C39" s="114"/>
      <c r="D39" s="91"/>
      <c r="E39" s="91"/>
      <c r="F39" s="91"/>
      <c r="G39" s="114"/>
      <c r="H39" s="114"/>
      <c r="I39" s="114"/>
      <c r="J39" s="114"/>
      <c r="K39" s="114"/>
      <c r="M39" s="238"/>
      <c r="N39" s="238"/>
      <c r="O39" s="238"/>
      <c r="P39" s="238"/>
      <c r="Q39" s="238"/>
      <c r="R39" s="238"/>
      <c r="S39" s="238"/>
      <c r="T39" s="238"/>
    </row>
    <row r="40" spans="1:20" ht="15" customHeight="1">
      <c r="A40" s="114"/>
      <c r="B40" s="114"/>
      <c r="C40" s="114"/>
      <c r="D40" s="91"/>
      <c r="E40" s="91"/>
      <c r="F40" s="91"/>
      <c r="G40" s="114"/>
      <c r="H40" s="114"/>
      <c r="I40" s="114"/>
      <c r="J40" s="114"/>
      <c r="K40" s="114"/>
    </row>
    <row r="41" spans="1:20" ht="15" customHeight="1">
      <c r="A41" s="114"/>
      <c r="B41" s="114"/>
      <c r="C41" s="114"/>
      <c r="D41" s="91"/>
      <c r="E41" s="91"/>
      <c r="F41" s="91"/>
      <c r="G41" s="114"/>
      <c r="H41" s="114"/>
      <c r="I41" s="114"/>
      <c r="J41" s="114"/>
      <c r="K41" s="114"/>
    </row>
    <row r="42" spans="1:20" ht="15" customHeight="1">
      <c r="A42" s="114"/>
      <c r="B42" s="114"/>
      <c r="C42" s="114">
        <f>E4</f>
        <v>2020</v>
      </c>
      <c r="D42" s="114">
        <f>I4</f>
        <v>2019</v>
      </c>
      <c r="E42" s="91"/>
      <c r="F42" s="91"/>
      <c r="G42" s="91"/>
      <c r="H42" s="114"/>
      <c r="I42" s="114">
        <f>E4</f>
        <v>2020</v>
      </c>
      <c r="J42" s="114">
        <f>I4</f>
        <v>2019</v>
      </c>
      <c r="K42" s="114"/>
    </row>
    <row r="43" spans="1:20" ht="15" customHeight="1">
      <c r="A43" s="114"/>
      <c r="B43" s="114" t="str">
        <f>A8</f>
        <v>Duben</v>
      </c>
      <c r="C43" s="88">
        <f>E14</f>
        <v>22501.164009999997</v>
      </c>
      <c r="D43" s="88">
        <f>I14</f>
        <v>23644.331000000006</v>
      </c>
      <c r="E43" s="91"/>
      <c r="F43" s="91"/>
      <c r="G43" s="91"/>
      <c r="H43" s="114" t="str">
        <f>A8</f>
        <v>Duben</v>
      </c>
      <c r="I43" s="241">
        <f>E14/E35</f>
        <v>0.41651310934348723</v>
      </c>
      <c r="J43" s="241">
        <f>I14/I35</f>
        <v>0.4101386329329425</v>
      </c>
      <c r="K43" s="114"/>
    </row>
    <row r="44" spans="1:20" ht="15" customHeight="1">
      <c r="A44" s="114"/>
      <c r="B44" s="114" t="str">
        <f>A15</f>
        <v>Květen</v>
      </c>
      <c r="C44" s="88">
        <f>E21</f>
        <v>18224.634010000005</v>
      </c>
      <c r="D44" s="88">
        <f>I21</f>
        <v>22638.873000000007</v>
      </c>
      <c r="E44" s="91"/>
      <c r="F44" s="91"/>
      <c r="G44" s="91"/>
      <c r="H44" s="114" t="str">
        <f>A15</f>
        <v>Květen</v>
      </c>
      <c r="I44" s="241">
        <f>E21/E35</f>
        <v>0.33735139101153411</v>
      </c>
      <c r="J44" s="241">
        <f>I21/I35</f>
        <v>0.39269778550141693</v>
      </c>
      <c r="K44" s="114"/>
    </row>
    <row r="45" spans="1:20" ht="15" customHeight="1">
      <c r="A45" s="114"/>
      <c r="B45" s="114" t="str">
        <f>A22</f>
        <v>Červen</v>
      </c>
      <c r="C45" s="88">
        <f>E28</f>
        <v>13296.904999999999</v>
      </c>
      <c r="D45" s="88">
        <f>I28</f>
        <v>11366.402989999999</v>
      </c>
      <c r="E45" s="91"/>
      <c r="F45" s="91"/>
      <c r="G45" s="91"/>
      <c r="H45" s="114" t="str">
        <f>A22</f>
        <v>Červen</v>
      </c>
      <c r="I45" s="241">
        <f>E28/E35</f>
        <v>0.24613549964497869</v>
      </c>
      <c r="J45" s="241">
        <f>I28/I35</f>
        <v>0.19716358156564076</v>
      </c>
      <c r="K45" s="114"/>
    </row>
    <row r="46" spans="1:20" ht="15" customHeight="1">
      <c r="A46" s="114"/>
      <c r="B46" s="114"/>
      <c r="C46" s="88">
        <f>SUM(C43:C45)</f>
        <v>54022.703020000001</v>
      </c>
      <c r="D46" s="88">
        <f>SUM(D43:D45)</f>
        <v>57649.606990000015</v>
      </c>
      <c r="E46" s="114"/>
      <c r="F46" s="114"/>
      <c r="G46" s="114"/>
      <c r="H46" s="114"/>
      <c r="I46" s="150">
        <f>SUM(I43:I45)</f>
        <v>1</v>
      </c>
      <c r="J46" s="150">
        <f>SUM(J43:J45)</f>
        <v>1.0000000000000002</v>
      </c>
      <c r="K46" s="114"/>
    </row>
    <row r="47" spans="1:20" ht="15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20" ht="1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ht="1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1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1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ht="1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92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21" s="233" customFormat="1" ht="15.75">
      <c r="A1" s="638" t="s">
        <v>284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</row>
    <row r="2" spans="1:21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21" ht="12.95" customHeight="1">
      <c r="A3" s="666" t="s">
        <v>38</v>
      </c>
      <c r="B3" s="666"/>
      <c r="C3" s="666"/>
      <c r="D3" s="667"/>
      <c r="E3" s="441"/>
      <c r="F3" s="442"/>
      <c r="G3" s="300"/>
      <c r="H3" s="301"/>
      <c r="I3" s="443"/>
      <c r="J3" s="444"/>
      <c r="K3" s="444"/>
    </row>
    <row r="4" spans="1:21" ht="24.95" customHeight="1">
      <c r="A4" s="292"/>
      <c r="B4" s="292"/>
      <c r="C4" s="292"/>
      <c r="D4" s="302"/>
      <c r="E4" s="668">
        <f>'3.1'!D4</f>
        <v>2020</v>
      </c>
      <c r="F4" s="678"/>
      <c r="G4" s="679"/>
      <c r="H4" s="303"/>
      <c r="I4" s="671">
        <f>E4-1</f>
        <v>2019</v>
      </c>
      <c r="J4" s="680"/>
      <c r="K4" s="680"/>
    </row>
    <row r="5" spans="1:21" ht="24.95" customHeight="1">
      <c r="A5" s="445"/>
      <c r="B5" s="304"/>
      <c r="C5" s="305"/>
      <c r="D5" s="306"/>
      <c r="E5" s="673" t="s">
        <v>67</v>
      </c>
      <c r="F5" s="674"/>
      <c r="G5" s="664" t="s">
        <v>37</v>
      </c>
      <c r="H5" s="646" t="s">
        <v>286</v>
      </c>
      <c r="I5" s="676" t="s">
        <v>67</v>
      </c>
      <c r="J5" s="662"/>
      <c r="K5" s="662" t="s">
        <v>37</v>
      </c>
    </row>
    <row r="6" spans="1:21" ht="18" customHeight="1">
      <c r="A6" s="446"/>
      <c r="B6" s="307"/>
      <c r="C6" s="307"/>
      <c r="D6" s="308"/>
      <c r="E6" s="675"/>
      <c r="F6" s="663"/>
      <c r="G6" s="665"/>
      <c r="H6" s="646"/>
      <c r="I6" s="677"/>
      <c r="J6" s="661"/>
      <c r="K6" s="661"/>
    </row>
    <row r="7" spans="1:21" ht="22.5" customHeight="1">
      <c r="A7" s="644" t="s">
        <v>225</v>
      </c>
      <c r="B7" s="645"/>
      <c r="C7" s="309" t="s">
        <v>252</v>
      </c>
      <c r="D7" s="310" t="s">
        <v>226</v>
      </c>
      <c r="E7" s="406" t="s">
        <v>294</v>
      </c>
      <c r="F7" s="407" t="s">
        <v>289</v>
      </c>
      <c r="G7" s="404" t="s">
        <v>295</v>
      </c>
      <c r="H7" s="405" t="s">
        <v>295</v>
      </c>
      <c r="I7" s="329" t="s">
        <v>296</v>
      </c>
      <c r="J7" s="394" t="s">
        <v>289</v>
      </c>
      <c r="K7" s="394" t="s">
        <v>295</v>
      </c>
    </row>
    <row r="8" spans="1:21" ht="12.95" customHeight="1">
      <c r="A8" s="650" t="str">
        <f>'3.1'!D6</f>
        <v>Duben</v>
      </c>
      <c r="B8" s="651"/>
      <c r="C8" s="403" t="s">
        <v>4</v>
      </c>
      <c r="D8" s="120">
        <v>92</v>
      </c>
      <c r="E8" s="116">
        <v>43628.076999999997</v>
      </c>
      <c r="F8" s="116">
        <v>465496.03787200007</v>
      </c>
      <c r="G8" s="121">
        <f t="shared" ref="G8:G13" si="0">E8/$E$14</f>
        <v>0.92123477092263939</v>
      </c>
      <c r="H8" s="122">
        <f>(E8-I8)/I8</f>
        <v>0.36610192577822404</v>
      </c>
      <c r="I8" s="119">
        <v>31936.179999999997</v>
      </c>
      <c r="J8" s="119">
        <v>340375.99720799999</v>
      </c>
      <c r="K8" s="447">
        <f>I8/$I$14</f>
        <v>0.95037335779483434</v>
      </c>
      <c r="M8" s="237"/>
      <c r="N8" s="237"/>
      <c r="O8" s="237"/>
      <c r="P8" s="237"/>
      <c r="Q8" s="237"/>
      <c r="R8" s="237"/>
      <c r="S8" s="237"/>
      <c r="T8" s="237"/>
      <c r="U8" s="237"/>
    </row>
    <row r="9" spans="1:21" ht="12.95" customHeight="1">
      <c r="A9" s="652"/>
      <c r="B9" s="653"/>
      <c r="C9" s="403" t="s">
        <v>5</v>
      </c>
      <c r="D9" s="115">
        <v>124</v>
      </c>
      <c r="E9" s="116">
        <v>44.372999999999998</v>
      </c>
      <c r="F9" s="116">
        <v>466.22199999999998</v>
      </c>
      <c r="G9" s="117">
        <f t="shared" si="0"/>
        <v>9.3696429687126204E-4</v>
      </c>
      <c r="H9" s="118">
        <f t="shared" ref="H9:H12" si="1">(E9-I9)/I9</f>
        <v>-0.14716509705938888</v>
      </c>
      <c r="I9" s="119">
        <v>52.03</v>
      </c>
      <c r="J9" s="119">
        <v>545.59699999999998</v>
      </c>
      <c r="K9" s="448">
        <f t="shared" ref="K9:K13" si="2">I9/$I$14</f>
        <v>1.5483356433382213E-3</v>
      </c>
      <c r="L9" s="238"/>
      <c r="M9" s="237"/>
      <c r="N9" s="237"/>
      <c r="O9" s="237"/>
      <c r="P9" s="237"/>
      <c r="Q9" s="237"/>
      <c r="R9" s="237"/>
      <c r="S9" s="237"/>
    </row>
    <row r="10" spans="1:21" ht="12.95" customHeight="1">
      <c r="A10" s="652"/>
      <c r="B10" s="653"/>
      <c r="C10" s="403" t="s">
        <v>6</v>
      </c>
      <c r="D10" s="115">
        <v>931</v>
      </c>
      <c r="E10" s="116">
        <v>86.944000000000003</v>
      </c>
      <c r="F10" s="116">
        <v>913.60500000000002</v>
      </c>
      <c r="G10" s="117">
        <f t="shared" si="0"/>
        <v>1.8358782103345505E-3</v>
      </c>
      <c r="H10" s="118">
        <f t="shared" si="1"/>
        <v>0.46404876570235426</v>
      </c>
      <c r="I10" s="119">
        <v>59.385999999999996</v>
      </c>
      <c r="J10" s="119">
        <v>635.47199999999998</v>
      </c>
      <c r="K10" s="448">
        <f t="shared" si="2"/>
        <v>1.767239294931455E-3</v>
      </c>
      <c r="L10" s="238"/>
      <c r="M10" s="237"/>
      <c r="N10" s="237"/>
      <c r="O10" s="237"/>
      <c r="P10" s="237"/>
      <c r="Q10" s="237"/>
      <c r="R10" s="237"/>
      <c r="S10" s="237"/>
    </row>
    <row r="11" spans="1:21" ht="12.95" customHeight="1">
      <c r="A11" s="652"/>
      <c r="B11" s="653"/>
      <c r="C11" s="403" t="s">
        <v>7</v>
      </c>
      <c r="D11" s="115">
        <v>7053</v>
      </c>
      <c r="E11" s="116">
        <v>0</v>
      </c>
      <c r="F11" s="116">
        <v>0</v>
      </c>
      <c r="G11" s="117">
        <f t="shared" si="0"/>
        <v>0</v>
      </c>
      <c r="H11" s="124" t="e">
        <f t="shared" si="1"/>
        <v>#DIV/0!</v>
      </c>
      <c r="I11" s="119">
        <v>0</v>
      </c>
      <c r="J11" s="119">
        <v>0</v>
      </c>
      <c r="K11" s="448">
        <f t="shared" si="2"/>
        <v>0</v>
      </c>
      <c r="L11" s="238"/>
      <c r="M11" s="237"/>
      <c r="N11" s="237"/>
      <c r="O11" s="237"/>
      <c r="P11" s="237"/>
      <c r="Q11" s="237"/>
      <c r="R11" s="237"/>
      <c r="S11" s="237"/>
    </row>
    <row r="12" spans="1:21" ht="12.95" customHeight="1">
      <c r="A12" s="652"/>
      <c r="B12" s="653"/>
      <c r="C12" s="403" t="s">
        <v>112</v>
      </c>
      <c r="D12" s="115">
        <v>5</v>
      </c>
      <c r="E12" s="116">
        <v>17.779</v>
      </c>
      <c r="F12" s="116">
        <v>184.43899999999999</v>
      </c>
      <c r="G12" s="117">
        <f t="shared" si="0"/>
        <v>3.7541496482262112E-4</v>
      </c>
      <c r="H12" s="118">
        <f t="shared" si="1"/>
        <v>-0.3418597764122307</v>
      </c>
      <c r="I12" s="119">
        <v>27.013999999999999</v>
      </c>
      <c r="J12" s="119">
        <v>280.459</v>
      </c>
      <c r="K12" s="448">
        <f t="shared" si="2"/>
        <v>8.0389658022561421E-4</v>
      </c>
      <c r="L12" s="238"/>
      <c r="M12" s="237"/>
      <c r="N12" s="237"/>
      <c r="O12" s="237"/>
      <c r="P12" s="237"/>
      <c r="Q12" s="237"/>
      <c r="R12" s="237"/>
      <c r="S12" s="237"/>
    </row>
    <row r="13" spans="1:21" ht="12.95" customHeight="1">
      <c r="A13" s="652"/>
      <c r="B13" s="653"/>
      <c r="C13" s="403" t="s">
        <v>117</v>
      </c>
      <c r="D13" s="123">
        <v>0</v>
      </c>
      <c r="E13" s="116">
        <v>3581.0882999999994</v>
      </c>
      <c r="F13" s="116">
        <v>38413.460519000022</v>
      </c>
      <c r="G13" s="117">
        <f t="shared" si="0"/>
        <v>7.5616971605332137E-2</v>
      </c>
      <c r="H13" s="118">
        <f>(E13-I13)/I13</f>
        <v>1.3417820908112965</v>
      </c>
      <c r="I13" s="119">
        <v>1529.2150000000011</v>
      </c>
      <c r="J13" s="119">
        <v>16499.189067000032</v>
      </c>
      <c r="K13" s="448">
        <f t="shared" si="2"/>
        <v>4.550717068667038E-2</v>
      </c>
      <c r="L13" s="238"/>
      <c r="M13" s="237"/>
      <c r="N13" s="237"/>
      <c r="O13" s="237"/>
      <c r="P13" s="237"/>
      <c r="Q13" s="237"/>
      <c r="R13" s="237"/>
      <c r="S13" s="237"/>
    </row>
    <row r="14" spans="1:21" ht="12.95" customHeight="1">
      <c r="A14" s="654"/>
      <c r="B14" s="655"/>
      <c r="C14" s="365" t="s">
        <v>0</v>
      </c>
      <c r="D14" s="366">
        <v>8205</v>
      </c>
      <c r="E14" s="367">
        <v>47358.261299999998</v>
      </c>
      <c r="F14" s="368">
        <v>505473.76439100009</v>
      </c>
      <c r="G14" s="369">
        <f>SUM(G8:G13)</f>
        <v>1</v>
      </c>
      <c r="H14" s="370">
        <f>(E14-I14)/I14</f>
        <v>0.40931162747097993</v>
      </c>
      <c r="I14" s="371">
        <v>33603.824999999997</v>
      </c>
      <c r="J14" s="372">
        <v>358336.71427500003</v>
      </c>
      <c r="K14" s="449">
        <f>SUM(K8:K13)</f>
        <v>1</v>
      </c>
      <c r="L14" s="238"/>
      <c r="M14" s="237"/>
      <c r="N14" s="237"/>
      <c r="O14" s="237"/>
      <c r="P14" s="237"/>
      <c r="Q14" s="237"/>
      <c r="R14" s="237"/>
      <c r="S14" s="237"/>
    </row>
    <row r="15" spans="1:21" ht="12.95" customHeight="1">
      <c r="A15" s="650" t="str">
        <f>'3.1'!E6</f>
        <v>Květen</v>
      </c>
      <c r="B15" s="651"/>
      <c r="C15" s="403" t="s">
        <v>4</v>
      </c>
      <c r="D15" s="120">
        <v>93</v>
      </c>
      <c r="E15" s="116">
        <v>57718.341999999997</v>
      </c>
      <c r="F15" s="116">
        <v>615935.46409499994</v>
      </c>
      <c r="G15" s="121">
        <f>E15/$E$21</f>
        <v>0.90641321000462061</v>
      </c>
      <c r="H15" s="122">
        <f>(E15-I15)/I15</f>
        <v>1.6918051114426269</v>
      </c>
      <c r="I15" s="119">
        <v>21442.243999999999</v>
      </c>
      <c r="J15" s="119">
        <v>227850.86173400003</v>
      </c>
      <c r="K15" s="447">
        <f>I15/$I$21</f>
        <v>0.83836779678339723</v>
      </c>
      <c r="L15" s="238"/>
      <c r="M15" s="237"/>
      <c r="N15" s="237"/>
      <c r="O15" s="237"/>
      <c r="P15" s="237"/>
      <c r="Q15" s="237"/>
      <c r="R15" s="237"/>
      <c r="S15" s="237"/>
    </row>
    <row r="16" spans="1:21" ht="12.95" customHeight="1">
      <c r="A16" s="652"/>
      <c r="B16" s="653"/>
      <c r="C16" s="403" t="s">
        <v>5</v>
      </c>
      <c r="D16" s="115">
        <v>129</v>
      </c>
      <c r="E16" s="116">
        <v>35.134</v>
      </c>
      <c r="F16" s="116">
        <v>369.988</v>
      </c>
      <c r="G16" s="117">
        <f t="shared" ref="G16:G20" si="3">E16/$E$21</f>
        <v>5.5174699440088465E-4</v>
      </c>
      <c r="H16" s="118">
        <f t="shared" ref="H16:H18" si="4">(E16-I16)/I16</f>
        <v>-0.1650466978778013</v>
      </c>
      <c r="I16" s="119">
        <v>42.079000000000001</v>
      </c>
      <c r="J16" s="119">
        <v>444.40199999999999</v>
      </c>
      <c r="K16" s="448">
        <f t="shared" ref="K16:K20" si="5">I16/$I$21</f>
        <v>1.6452419122200352E-3</v>
      </c>
      <c r="L16" s="239"/>
      <c r="M16" s="237"/>
      <c r="N16" s="237"/>
      <c r="O16" s="237"/>
      <c r="P16" s="237"/>
      <c r="Q16" s="237"/>
      <c r="R16" s="237"/>
      <c r="S16" s="237"/>
    </row>
    <row r="17" spans="1:20" ht="12.95" customHeight="1">
      <c r="A17" s="652"/>
      <c r="B17" s="653"/>
      <c r="C17" s="403" t="s">
        <v>6</v>
      </c>
      <c r="D17" s="115">
        <v>928</v>
      </c>
      <c r="E17" s="116">
        <v>78.804000000000002</v>
      </c>
      <c r="F17" s="116">
        <v>827.87100000000009</v>
      </c>
      <c r="G17" s="117">
        <f t="shared" si="3"/>
        <v>1.2375439786749961E-3</v>
      </c>
      <c r="H17" s="118">
        <f t="shared" si="4"/>
        <v>7.8354634773803319E-2</v>
      </c>
      <c r="I17" s="119">
        <v>73.078000000000003</v>
      </c>
      <c r="J17" s="119">
        <v>776.077</v>
      </c>
      <c r="K17" s="448">
        <f>I17/$I$21</f>
        <v>2.8572681969917472E-3</v>
      </c>
      <c r="L17" s="238"/>
      <c r="M17" s="237"/>
      <c r="N17" s="237"/>
      <c r="O17" s="237"/>
      <c r="P17" s="237"/>
      <c r="Q17" s="237"/>
      <c r="R17" s="237"/>
      <c r="S17" s="237"/>
    </row>
    <row r="18" spans="1:20" ht="12.95" customHeight="1">
      <c r="A18" s="652"/>
      <c r="B18" s="653"/>
      <c r="C18" s="403" t="s">
        <v>7</v>
      </c>
      <c r="D18" s="115">
        <v>7044</v>
      </c>
      <c r="E18" s="116">
        <v>0</v>
      </c>
      <c r="F18" s="116">
        <v>0</v>
      </c>
      <c r="G18" s="117">
        <f t="shared" si="3"/>
        <v>0</v>
      </c>
      <c r="H18" s="124">
        <f t="shared" si="4"/>
        <v>-1</v>
      </c>
      <c r="I18" s="119">
        <v>1.002</v>
      </c>
      <c r="J18" s="119">
        <v>10.678000000000001</v>
      </c>
      <c r="K18" s="448">
        <f>I18/$I$21</f>
        <v>3.9177081110398896E-5</v>
      </c>
      <c r="L18" s="238"/>
      <c r="M18" s="237"/>
      <c r="N18" s="237"/>
      <c r="O18" s="237"/>
      <c r="P18" s="237"/>
      <c r="Q18" s="237"/>
      <c r="R18" s="237"/>
      <c r="S18" s="237"/>
    </row>
    <row r="19" spans="1:20" ht="12.95" customHeight="1">
      <c r="A19" s="652"/>
      <c r="B19" s="653"/>
      <c r="C19" s="403" t="s">
        <v>112</v>
      </c>
      <c r="D19" s="115">
        <v>5</v>
      </c>
      <c r="E19" s="116">
        <v>23.425000000000001</v>
      </c>
      <c r="F19" s="116">
        <v>245.28299999999999</v>
      </c>
      <c r="G19" s="117">
        <f t="shared" si="3"/>
        <v>3.6786797244380719E-4</v>
      </c>
      <c r="H19" s="118">
        <f>(E19-I19)/I19</f>
        <v>-0.17858896135773897</v>
      </c>
      <c r="I19" s="119">
        <v>28.518000000000001</v>
      </c>
      <c r="J19" s="119">
        <v>295.93099999999998</v>
      </c>
      <c r="K19" s="448">
        <f>I19/$I$21</f>
        <v>1.1150219551959639E-3</v>
      </c>
      <c r="L19" s="238"/>
      <c r="M19" s="237"/>
      <c r="N19" s="237"/>
      <c r="O19" s="237"/>
      <c r="P19" s="237"/>
      <c r="Q19" s="237"/>
      <c r="R19" s="237"/>
      <c r="S19" s="237"/>
    </row>
    <row r="20" spans="1:20" ht="12.95" customHeight="1">
      <c r="A20" s="652"/>
      <c r="B20" s="653"/>
      <c r="C20" s="403" t="s">
        <v>117</v>
      </c>
      <c r="D20" s="123">
        <v>0</v>
      </c>
      <c r="E20" s="116">
        <v>5822.0319999999992</v>
      </c>
      <c r="F20" s="116">
        <v>62325.520635000008</v>
      </c>
      <c r="G20" s="117">
        <f t="shared" si="3"/>
        <v>9.1429631049859697E-2</v>
      </c>
      <c r="H20" s="118">
        <f t="shared" ref="H20" si="6">(E20-I20)/I20</f>
        <v>0.45942765783202216</v>
      </c>
      <c r="I20" s="119">
        <v>3989.2570000000001</v>
      </c>
      <c r="J20" s="119">
        <v>42640.014292999993</v>
      </c>
      <c r="K20" s="448">
        <f t="shared" si="5"/>
        <v>0.15597549407108441</v>
      </c>
      <c r="L20" s="238"/>
      <c r="M20" s="237"/>
      <c r="N20" s="237"/>
      <c r="O20" s="237"/>
      <c r="P20" s="237"/>
      <c r="Q20" s="237"/>
      <c r="R20" s="237"/>
      <c r="S20" s="237"/>
    </row>
    <row r="21" spans="1:20" ht="12.95" customHeight="1">
      <c r="A21" s="654"/>
      <c r="B21" s="655"/>
      <c r="C21" s="365" t="s">
        <v>0</v>
      </c>
      <c r="D21" s="366">
        <v>8199</v>
      </c>
      <c r="E21" s="367">
        <v>63677.736999999994</v>
      </c>
      <c r="F21" s="368">
        <v>679704.12673000002</v>
      </c>
      <c r="G21" s="369">
        <f>SUM(G15:G20)</f>
        <v>1</v>
      </c>
      <c r="H21" s="370">
        <f>(E21-I21)/I21</f>
        <v>1.4897284105545399</v>
      </c>
      <c r="I21" s="371">
        <v>25576.178000000004</v>
      </c>
      <c r="J21" s="372">
        <v>272017.96402700007</v>
      </c>
      <c r="K21" s="449">
        <f>SUM(K15:K20)</f>
        <v>0.99999999999999978</v>
      </c>
      <c r="L21" s="238"/>
      <c r="M21" s="237"/>
      <c r="N21" s="237"/>
      <c r="O21" s="237"/>
      <c r="P21" s="237"/>
      <c r="Q21" s="237"/>
      <c r="R21" s="237"/>
      <c r="S21" s="237"/>
    </row>
    <row r="22" spans="1:20" ht="12.95" customHeight="1">
      <c r="A22" s="656" t="str">
        <f>'3.1'!F6</f>
        <v>Červen</v>
      </c>
      <c r="B22" s="657"/>
      <c r="C22" s="402" t="s">
        <v>4</v>
      </c>
      <c r="D22" s="120">
        <v>90</v>
      </c>
      <c r="E22" s="270">
        <v>80365.791000000012</v>
      </c>
      <c r="F22" s="270">
        <v>860588.19438800006</v>
      </c>
      <c r="G22" s="121">
        <f>E22/$E$28</f>
        <v>0.93893612789940206</v>
      </c>
      <c r="H22" s="122">
        <f>(E22-I22)/I22</f>
        <v>0.21238766648273005</v>
      </c>
      <c r="I22" s="543">
        <v>66287.205999999991</v>
      </c>
      <c r="J22" s="543">
        <v>706298.45087900001</v>
      </c>
      <c r="K22" s="447">
        <f>I22/$I$28</f>
        <v>0.90934152324842832</v>
      </c>
      <c r="L22" s="116"/>
      <c r="M22" s="237"/>
      <c r="N22" s="237"/>
      <c r="O22" s="237"/>
      <c r="P22" s="237"/>
      <c r="Q22" s="237"/>
      <c r="R22" s="237"/>
      <c r="S22" s="237"/>
      <c r="T22" s="116"/>
    </row>
    <row r="23" spans="1:20" ht="12.95" customHeight="1">
      <c r="A23" s="656"/>
      <c r="B23" s="657"/>
      <c r="C23" s="403" t="s">
        <v>5</v>
      </c>
      <c r="D23" s="115">
        <v>130</v>
      </c>
      <c r="E23" s="116">
        <v>25.228999999999999</v>
      </c>
      <c r="F23" s="116">
        <v>265.26600000000002</v>
      </c>
      <c r="G23" s="117">
        <f t="shared" ref="G23:G27" si="7">E23/$E$28</f>
        <v>2.9475749913012128E-4</v>
      </c>
      <c r="H23" s="118">
        <f t="shared" ref="H23:H27" si="8">(E23-I23)/I23</f>
        <v>0.33352714202653411</v>
      </c>
      <c r="I23" s="119">
        <v>18.919</v>
      </c>
      <c r="J23" s="119">
        <v>199.32599999999999</v>
      </c>
      <c r="K23" s="448">
        <f t="shared" ref="K23:K27" si="9">I23/$I$28</f>
        <v>2.5953473251440131E-4</v>
      </c>
      <c r="L23" s="116"/>
      <c r="M23" s="237"/>
      <c r="N23" s="237"/>
      <c r="O23" s="237"/>
      <c r="P23" s="237"/>
      <c r="Q23" s="237"/>
      <c r="R23" s="237"/>
      <c r="S23" s="237"/>
      <c r="T23" s="116"/>
    </row>
    <row r="24" spans="1:20" ht="12.95" customHeight="1">
      <c r="A24" s="656"/>
      <c r="B24" s="657"/>
      <c r="C24" s="403" t="s">
        <v>6</v>
      </c>
      <c r="D24" s="115">
        <v>941</v>
      </c>
      <c r="E24" s="116">
        <v>45.225999999999999</v>
      </c>
      <c r="F24" s="116">
        <v>474.959</v>
      </c>
      <c r="G24" s="117">
        <f t="shared" si="7"/>
        <v>5.283880714914926E-4</v>
      </c>
      <c r="H24" s="118">
        <f t="shared" si="8"/>
        <v>1.0790695536247874</v>
      </c>
      <c r="I24" s="119">
        <v>21.753</v>
      </c>
      <c r="J24" s="119">
        <v>228.54599999999999</v>
      </c>
      <c r="K24" s="448">
        <f t="shared" si="9"/>
        <v>2.9841212729984521E-4</v>
      </c>
      <c r="L24" s="116"/>
      <c r="M24" s="237"/>
      <c r="N24" s="237"/>
      <c r="O24" s="237"/>
      <c r="P24" s="237"/>
      <c r="Q24" s="237"/>
      <c r="R24" s="237"/>
      <c r="S24" s="237"/>
      <c r="T24" s="116"/>
    </row>
    <row r="25" spans="1:20" ht="12.95" customHeight="1">
      <c r="A25" s="656"/>
      <c r="B25" s="657"/>
      <c r="C25" s="403" t="s">
        <v>7</v>
      </c>
      <c r="D25" s="115">
        <v>7047</v>
      </c>
      <c r="E25" s="116">
        <v>0</v>
      </c>
      <c r="F25" s="116">
        <v>0</v>
      </c>
      <c r="G25" s="117">
        <f t="shared" si="7"/>
        <v>0</v>
      </c>
      <c r="H25" s="124" t="e">
        <f t="shared" si="8"/>
        <v>#DIV/0!</v>
      </c>
      <c r="I25" s="119">
        <v>0</v>
      </c>
      <c r="J25" s="119">
        <v>0</v>
      </c>
      <c r="K25" s="448">
        <f t="shared" si="9"/>
        <v>0</v>
      </c>
      <c r="L25" s="116"/>
      <c r="M25" s="237"/>
      <c r="N25" s="237"/>
      <c r="O25" s="237"/>
      <c r="P25" s="237"/>
      <c r="Q25" s="237"/>
      <c r="R25" s="237"/>
      <c r="S25" s="237"/>
      <c r="T25" s="116"/>
    </row>
    <row r="26" spans="1:20" ht="12.95" customHeight="1">
      <c r="A26" s="656"/>
      <c r="B26" s="657"/>
      <c r="C26" s="403" t="s">
        <v>112</v>
      </c>
      <c r="D26" s="115">
        <v>5</v>
      </c>
      <c r="E26" s="116">
        <v>26.111999999999998</v>
      </c>
      <c r="F26" s="116">
        <v>270.88600000000002</v>
      </c>
      <c r="G26" s="117">
        <f t="shared" si="7"/>
        <v>3.0507383635045888E-4</v>
      </c>
      <c r="H26" s="118">
        <f t="shared" si="8"/>
        <v>-7.9299037410528628E-2</v>
      </c>
      <c r="I26" s="119">
        <v>28.361000000000001</v>
      </c>
      <c r="J26" s="119">
        <v>294.16000000000003</v>
      </c>
      <c r="K26" s="448">
        <f t="shared" si="9"/>
        <v>3.8906203017289155E-4</v>
      </c>
      <c r="L26" s="116"/>
      <c r="M26" s="237"/>
      <c r="N26" s="237"/>
      <c r="O26" s="237"/>
      <c r="P26" s="237"/>
      <c r="Q26" s="237"/>
      <c r="R26" s="237"/>
      <c r="S26" s="237"/>
      <c r="T26" s="116"/>
    </row>
    <row r="27" spans="1:20" ht="12.95" customHeight="1">
      <c r="A27" s="656"/>
      <c r="B27" s="657"/>
      <c r="C27" s="403" t="s">
        <v>117</v>
      </c>
      <c r="D27" s="123">
        <v>0</v>
      </c>
      <c r="E27" s="116">
        <v>5130.0359999999973</v>
      </c>
      <c r="F27" s="116">
        <v>55241.288909999974</v>
      </c>
      <c r="G27" s="117">
        <f t="shared" si="7"/>
        <v>5.9935652693625996E-2</v>
      </c>
      <c r="H27" s="118">
        <f t="shared" si="8"/>
        <v>-0.21554188701680496</v>
      </c>
      <c r="I27" s="119">
        <v>6539.5919999999987</v>
      </c>
      <c r="J27" s="119">
        <v>69897.481350000002</v>
      </c>
      <c r="K27" s="448">
        <f t="shared" si="9"/>
        <v>8.9711467861584557E-2</v>
      </c>
      <c r="L27" s="116"/>
      <c r="M27" s="237"/>
      <c r="N27" s="237"/>
      <c r="O27" s="237"/>
      <c r="P27" s="237"/>
      <c r="Q27" s="237"/>
      <c r="R27" s="237"/>
      <c r="S27" s="237"/>
      <c r="T27" s="116"/>
    </row>
    <row r="28" spans="1:20" ht="12.95" customHeight="1">
      <c r="A28" s="656"/>
      <c r="B28" s="657"/>
      <c r="C28" s="365" t="s">
        <v>0</v>
      </c>
      <c r="D28" s="366">
        <v>8213</v>
      </c>
      <c r="E28" s="367">
        <v>85592.394</v>
      </c>
      <c r="F28" s="368">
        <v>916840.5942980001</v>
      </c>
      <c r="G28" s="369">
        <f>SUM(G22:G27)</f>
        <v>1</v>
      </c>
      <c r="H28" s="370">
        <f>(E28-I28)/I28</f>
        <v>0.17417406216275949</v>
      </c>
      <c r="I28" s="371">
        <v>72895.830999999991</v>
      </c>
      <c r="J28" s="372">
        <v>776917.96422900003</v>
      </c>
      <c r="K28" s="449">
        <f>SUM(K22:K27)</f>
        <v>1</v>
      </c>
      <c r="M28" s="237"/>
      <c r="N28" s="237"/>
      <c r="O28" s="237"/>
      <c r="P28" s="237"/>
      <c r="Q28" s="237"/>
      <c r="R28" s="237"/>
      <c r="S28" s="237"/>
    </row>
    <row r="29" spans="1:20" ht="12.95" customHeight="1">
      <c r="A29" s="658" t="str">
        <f>'3.1'!G6</f>
        <v>II. čtvrtletí</v>
      </c>
      <c r="B29" s="659"/>
      <c r="C29" s="403" t="s">
        <v>4</v>
      </c>
      <c r="D29" s="115">
        <f>D22</f>
        <v>90</v>
      </c>
      <c r="E29" s="116">
        <f>E8+E15+E22</f>
        <v>181712.21000000002</v>
      </c>
      <c r="F29" s="116">
        <f>F8+F15+F22</f>
        <v>1942019.6963550001</v>
      </c>
      <c r="G29" s="117">
        <f>E29/$E$35</f>
        <v>0.92414024177524645</v>
      </c>
      <c r="H29" s="118">
        <f>(E29-I29)/I29</f>
        <v>0.51849958923042516</v>
      </c>
      <c r="I29" s="119">
        <f>I8+I15+I22</f>
        <v>119665.62999999999</v>
      </c>
      <c r="J29" s="119">
        <f>J8+J15+J22</f>
        <v>1274525.3098209999</v>
      </c>
      <c r="K29" s="448">
        <f>I29/$I$35</f>
        <v>0.90603728461029431</v>
      </c>
      <c r="M29" s="237"/>
      <c r="N29" s="237"/>
      <c r="O29" s="237"/>
      <c r="P29" s="237"/>
      <c r="Q29" s="237"/>
      <c r="R29" s="237"/>
      <c r="S29" s="237"/>
    </row>
    <row r="30" spans="1:20" ht="12.95" customHeight="1">
      <c r="A30" s="656"/>
      <c r="B30" s="657"/>
      <c r="C30" s="403" t="s">
        <v>5</v>
      </c>
      <c r="D30" s="115">
        <f t="shared" ref="D30:D33" si="10">D23</f>
        <v>130</v>
      </c>
      <c r="E30" s="116">
        <f>E9+E16+E23</f>
        <v>104.736</v>
      </c>
      <c r="F30" s="116">
        <f t="shared" ref="F30" si="11">F9+F16+F23</f>
        <v>1101.4760000000001</v>
      </c>
      <c r="G30" s="117">
        <f t="shared" ref="G30:G34" si="12">E30/$E$35</f>
        <v>5.3265959597636396E-4</v>
      </c>
      <c r="H30" s="118">
        <f t="shared" ref="H30:H32" si="13">(E30-I30)/I30</f>
        <v>-7.3362352691368524E-2</v>
      </c>
      <c r="I30" s="119">
        <f>I9+I16+I23</f>
        <v>113.02800000000001</v>
      </c>
      <c r="J30" s="119">
        <f t="shared" ref="J30" si="14">J9+J16+J23</f>
        <v>1189.325</v>
      </c>
      <c r="K30" s="448">
        <f t="shared" ref="K30:K34" si="15">I30/$I$35</f>
        <v>8.5578108104166883E-4</v>
      </c>
      <c r="M30" s="237"/>
      <c r="N30" s="237"/>
      <c r="O30" s="237"/>
      <c r="P30" s="237"/>
      <c r="Q30" s="237"/>
      <c r="R30" s="237"/>
      <c r="S30" s="237"/>
    </row>
    <row r="31" spans="1:20" ht="12.95" customHeight="1">
      <c r="A31" s="656"/>
      <c r="B31" s="657"/>
      <c r="C31" s="403" t="s">
        <v>6</v>
      </c>
      <c r="D31" s="115">
        <f t="shared" si="10"/>
        <v>941</v>
      </c>
      <c r="E31" s="116">
        <f t="shared" ref="E31:F34" si="16">E10+E17+E24</f>
        <v>210.97399999999999</v>
      </c>
      <c r="F31" s="116">
        <f t="shared" si="16"/>
        <v>2216.4349999999999</v>
      </c>
      <c r="G31" s="117">
        <f t="shared" si="12"/>
        <v>1.0729579667117077E-3</v>
      </c>
      <c r="H31" s="118">
        <f t="shared" si="13"/>
        <v>0.3680333555963351</v>
      </c>
      <c r="I31" s="119">
        <f t="shared" ref="I31:J33" si="17">I10+I17+I24</f>
        <v>154.21699999999998</v>
      </c>
      <c r="J31" s="119">
        <f t="shared" si="17"/>
        <v>1640.095</v>
      </c>
      <c r="K31" s="448">
        <f t="shared" si="15"/>
        <v>1.1676397969972311E-3</v>
      </c>
      <c r="M31" s="237"/>
      <c r="N31" s="237"/>
      <c r="O31" s="237"/>
      <c r="P31" s="237"/>
      <c r="Q31" s="237"/>
      <c r="R31" s="237"/>
      <c r="S31" s="237"/>
    </row>
    <row r="32" spans="1:20" ht="12.95" customHeight="1">
      <c r="A32" s="656"/>
      <c r="B32" s="657"/>
      <c r="C32" s="403" t="s">
        <v>7</v>
      </c>
      <c r="D32" s="115">
        <f t="shared" si="10"/>
        <v>7047</v>
      </c>
      <c r="E32" s="116">
        <f>E11+E18+E25</f>
        <v>0</v>
      </c>
      <c r="F32" s="116">
        <f t="shared" si="16"/>
        <v>0</v>
      </c>
      <c r="G32" s="117">
        <f t="shared" si="12"/>
        <v>0</v>
      </c>
      <c r="H32" s="124">
        <f t="shared" si="13"/>
        <v>-1</v>
      </c>
      <c r="I32" s="119">
        <f>I11+I18+I25</f>
        <v>1.002</v>
      </c>
      <c r="J32" s="119">
        <f t="shared" si="17"/>
        <v>10.678000000000001</v>
      </c>
      <c r="K32" s="448">
        <f t="shared" si="15"/>
        <v>7.5865506175792912E-6</v>
      </c>
      <c r="M32" s="237"/>
      <c r="N32" s="237"/>
      <c r="O32" s="237"/>
      <c r="P32" s="237"/>
      <c r="Q32" s="237"/>
      <c r="R32" s="237"/>
      <c r="S32" s="237"/>
    </row>
    <row r="33" spans="1:20" ht="12.95" customHeight="1">
      <c r="A33" s="656"/>
      <c r="B33" s="657"/>
      <c r="C33" s="403" t="s">
        <v>112</v>
      </c>
      <c r="D33" s="115">
        <f t="shared" si="10"/>
        <v>5</v>
      </c>
      <c r="E33" s="116">
        <f>E12+E19+E26</f>
        <v>67.316000000000003</v>
      </c>
      <c r="F33" s="116">
        <f t="shared" si="16"/>
        <v>700.60799999999995</v>
      </c>
      <c r="G33" s="117">
        <f t="shared" si="12"/>
        <v>3.4235137262015849E-4</v>
      </c>
      <c r="H33" s="118">
        <f>(E33-I33)/I33</f>
        <v>-0.19759693895795832</v>
      </c>
      <c r="I33" s="119">
        <f>I12+I19+I26</f>
        <v>83.893000000000001</v>
      </c>
      <c r="J33" s="119">
        <f t="shared" si="17"/>
        <v>870.55</v>
      </c>
      <c r="K33" s="448">
        <f t="shared" si="15"/>
        <v>6.3518811473111726E-4</v>
      </c>
      <c r="M33" s="237"/>
      <c r="N33" s="237"/>
      <c r="O33" s="237"/>
      <c r="P33" s="237"/>
      <c r="Q33" s="237"/>
      <c r="R33" s="237"/>
      <c r="S33" s="237"/>
    </row>
    <row r="34" spans="1:20" ht="12.95" customHeight="1">
      <c r="A34" s="656"/>
      <c r="B34" s="657"/>
      <c r="C34" s="403" t="s">
        <v>117</v>
      </c>
      <c r="D34" s="115"/>
      <c r="E34" s="116">
        <f t="shared" si="16"/>
        <v>14533.156299999995</v>
      </c>
      <c r="F34" s="116">
        <f t="shared" si="16"/>
        <v>155980.27006400001</v>
      </c>
      <c r="G34" s="117">
        <f t="shared" si="12"/>
        <v>7.3911789289445334E-2</v>
      </c>
      <c r="H34" s="118">
        <f t="shared" ref="H34" si="18">(E34-I34)/I34</f>
        <v>0.20526448524406526</v>
      </c>
      <c r="I34" s="119">
        <f t="shared" ref="I34:J34" si="19">I13+I20+I27</f>
        <v>12058.064</v>
      </c>
      <c r="J34" s="119">
        <f t="shared" si="19"/>
        <v>129036.68471000003</v>
      </c>
      <c r="K34" s="448">
        <f t="shared" si="15"/>
        <v>9.1296519846317994E-2</v>
      </c>
      <c r="M34" s="237"/>
      <c r="N34" s="237"/>
      <c r="O34" s="237"/>
      <c r="P34" s="237"/>
      <c r="Q34" s="237"/>
      <c r="R34" s="237"/>
      <c r="S34" s="237"/>
    </row>
    <row r="35" spans="1:20" ht="12.95" customHeight="1">
      <c r="A35" s="656"/>
      <c r="B35" s="657"/>
      <c r="C35" s="365" t="s">
        <v>0</v>
      </c>
      <c r="D35" s="366">
        <f>SUM(D29:D34)</f>
        <v>8213</v>
      </c>
      <c r="E35" s="367">
        <f>SUM(E29:E34)</f>
        <v>196628.39230000001</v>
      </c>
      <c r="F35" s="368">
        <f>SUM(F29:F34)</f>
        <v>2102018.485419</v>
      </c>
      <c r="G35" s="369">
        <f>SUM(G29:G34)</f>
        <v>1</v>
      </c>
      <c r="H35" s="370">
        <f>(E35-I35)/I35</f>
        <v>0.48875374355008805</v>
      </c>
      <c r="I35" s="371">
        <f>SUM(I29:I34)</f>
        <v>132075.834</v>
      </c>
      <c r="J35" s="372">
        <f>SUM(J29:J34)</f>
        <v>1407272.6425309998</v>
      </c>
      <c r="K35" s="449">
        <f>SUM(K29:K34)</f>
        <v>0.99999999999999989</v>
      </c>
      <c r="M35" s="237"/>
      <c r="N35" s="237"/>
      <c r="O35" s="237"/>
      <c r="P35" s="237"/>
      <c r="Q35" s="237"/>
      <c r="R35" s="237"/>
      <c r="S35" s="237"/>
    </row>
    <row r="36" spans="1:20" ht="20.100000000000001" customHeight="1">
      <c r="A36" s="268"/>
      <c r="B36" s="269"/>
      <c r="C36" s="207"/>
      <c r="D36" s="270"/>
      <c r="E36" s="270"/>
      <c r="F36" s="270"/>
      <c r="G36" s="271"/>
      <c r="H36" s="272"/>
      <c r="I36" s="273"/>
      <c r="J36" s="273"/>
      <c r="K36" s="274"/>
    </row>
    <row r="37" spans="1:20" ht="15" customHeight="1">
      <c r="A37" s="647" t="s">
        <v>67</v>
      </c>
      <c r="B37" s="647"/>
      <c r="C37" s="647"/>
      <c r="D37" s="647"/>
      <c r="E37" s="647"/>
      <c r="F37" s="408"/>
      <c r="G37" s="647" t="s">
        <v>68</v>
      </c>
      <c r="H37" s="647"/>
      <c r="I37" s="647"/>
      <c r="J37" s="647"/>
      <c r="K37" s="647"/>
      <c r="M37" s="238"/>
      <c r="N37" s="238"/>
      <c r="O37" s="238"/>
      <c r="P37" s="238"/>
      <c r="Q37" s="238"/>
      <c r="R37" s="238"/>
      <c r="S37" s="238"/>
    </row>
    <row r="38" spans="1:20" ht="15" customHeight="1">
      <c r="A38" s="648" t="str">
        <f>A29</f>
        <v>II. čtvrtletí</v>
      </c>
      <c r="B38" s="648"/>
      <c r="C38" s="648"/>
      <c r="D38" s="648"/>
      <c r="E38" s="648"/>
      <c r="F38" s="408"/>
      <c r="G38" s="649" t="str">
        <f>A29</f>
        <v>II. čtvrtletí</v>
      </c>
      <c r="H38" s="649"/>
      <c r="I38" s="649"/>
      <c r="J38" s="649"/>
      <c r="K38" s="649"/>
      <c r="M38" s="238"/>
      <c r="N38" s="238"/>
      <c r="O38" s="238"/>
      <c r="P38" s="238"/>
      <c r="Q38" s="238"/>
      <c r="R38" s="238"/>
      <c r="S38" s="238"/>
    </row>
    <row r="39" spans="1:20" ht="15" customHeight="1">
      <c r="A39" s="114"/>
      <c r="B39" s="114"/>
      <c r="C39" s="114"/>
      <c r="D39" s="91"/>
      <c r="E39" s="91"/>
      <c r="F39" s="91"/>
      <c r="G39" s="114"/>
      <c r="H39" s="114"/>
      <c r="I39" s="114"/>
      <c r="J39" s="114"/>
      <c r="K39" s="114"/>
      <c r="M39" s="238"/>
      <c r="N39" s="238"/>
      <c r="O39" s="238"/>
      <c r="P39" s="238"/>
      <c r="Q39" s="238"/>
      <c r="R39" s="238"/>
      <c r="S39" s="238"/>
      <c r="T39" s="238"/>
    </row>
    <row r="40" spans="1:20" ht="15" customHeight="1">
      <c r="A40" s="114"/>
      <c r="B40" s="114"/>
      <c r="C40" s="114"/>
      <c r="D40" s="91"/>
      <c r="E40" s="91"/>
      <c r="F40" s="91"/>
      <c r="G40" s="114"/>
      <c r="H40" s="114"/>
      <c r="I40" s="114"/>
      <c r="J40" s="114"/>
      <c r="K40" s="114"/>
    </row>
    <row r="41" spans="1:20" ht="15" customHeight="1">
      <c r="A41" s="114"/>
      <c r="B41" s="114"/>
      <c r="C41" s="114"/>
      <c r="D41" s="91"/>
      <c r="E41" s="91"/>
      <c r="F41" s="91"/>
      <c r="G41" s="114"/>
      <c r="H41" s="114"/>
      <c r="I41" s="114"/>
      <c r="J41" s="114"/>
      <c r="K41" s="114"/>
    </row>
    <row r="42" spans="1:20" ht="15" customHeight="1">
      <c r="A42" s="114"/>
      <c r="B42" s="114"/>
      <c r="C42" s="114">
        <f>E4</f>
        <v>2020</v>
      </c>
      <c r="D42" s="114">
        <f>I4</f>
        <v>2019</v>
      </c>
      <c r="E42" s="91"/>
      <c r="F42" s="91"/>
      <c r="G42" s="91"/>
      <c r="H42" s="114"/>
      <c r="I42" s="114">
        <f>E4</f>
        <v>2020</v>
      </c>
      <c r="J42" s="114">
        <f>I4</f>
        <v>2019</v>
      </c>
      <c r="K42" s="114"/>
    </row>
    <row r="43" spans="1:20" ht="15" customHeight="1">
      <c r="A43" s="114"/>
      <c r="B43" s="114" t="str">
        <f>A8</f>
        <v>Duben</v>
      </c>
      <c r="C43" s="88">
        <f>E14</f>
        <v>47358.261299999998</v>
      </c>
      <c r="D43" s="88">
        <f>I14</f>
        <v>33603.824999999997</v>
      </c>
      <c r="E43" s="91"/>
      <c r="F43" s="91"/>
      <c r="G43" s="91"/>
      <c r="H43" s="114" t="str">
        <f>A8</f>
        <v>Duben</v>
      </c>
      <c r="I43" s="241">
        <f>E14/E35</f>
        <v>0.24085159190919142</v>
      </c>
      <c r="J43" s="241">
        <f>I14/I35</f>
        <v>0.254428262781214</v>
      </c>
      <c r="K43" s="114"/>
    </row>
    <row r="44" spans="1:20" ht="15" customHeight="1">
      <c r="A44" s="114"/>
      <c r="B44" s="114" t="str">
        <f>A15</f>
        <v>Květen</v>
      </c>
      <c r="C44" s="88">
        <f>E21</f>
        <v>63677.736999999994</v>
      </c>
      <c r="D44" s="88">
        <f>I21</f>
        <v>25576.178000000004</v>
      </c>
      <c r="E44" s="91"/>
      <c r="F44" s="91"/>
      <c r="G44" s="91"/>
      <c r="H44" s="114" t="str">
        <f>A15</f>
        <v>Květen</v>
      </c>
      <c r="I44" s="241">
        <f>E21/E35</f>
        <v>0.32384812923072448</v>
      </c>
      <c r="J44" s="241">
        <f>I21/I35</f>
        <v>0.19364767365391009</v>
      </c>
      <c r="K44" s="114"/>
    </row>
    <row r="45" spans="1:20" ht="15" customHeight="1">
      <c r="A45" s="114"/>
      <c r="B45" s="114" t="str">
        <f>A22</f>
        <v>Červen</v>
      </c>
      <c r="C45" s="88">
        <f>E28</f>
        <v>85592.394</v>
      </c>
      <c r="D45" s="88">
        <f>I28</f>
        <v>72895.830999999991</v>
      </c>
      <c r="E45" s="91"/>
      <c r="F45" s="91"/>
      <c r="G45" s="91"/>
      <c r="H45" s="114" t="str">
        <f>A22</f>
        <v>Červen</v>
      </c>
      <c r="I45" s="241">
        <f>E28/E35</f>
        <v>0.43530027886008404</v>
      </c>
      <c r="J45" s="241">
        <f>I28/I35</f>
        <v>0.55192406356487589</v>
      </c>
      <c r="K45" s="114"/>
    </row>
    <row r="46" spans="1:20" ht="15" customHeight="1">
      <c r="A46" s="114"/>
      <c r="B46" s="114"/>
      <c r="C46" s="88">
        <f>SUM(C43:C45)</f>
        <v>196628.39230000001</v>
      </c>
      <c r="D46" s="88">
        <f>SUM(D43:D45)</f>
        <v>132075.83399999997</v>
      </c>
      <c r="E46" s="114"/>
      <c r="F46" s="114"/>
      <c r="G46" s="114"/>
      <c r="H46" s="114"/>
      <c r="I46" s="150">
        <f>SUM(I43:I45)</f>
        <v>0.99999999999999989</v>
      </c>
      <c r="J46" s="150">
        <f>SUM(J43:J45)</f>
        <v>1</v>
      </c>
      <c r="K46" s="114"/>
    </row>
    <row r="47" spans="1:20" ht="15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20" ht="1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customHeight="1">
      <c r="A54" s="681" t="s">
        <v>129</v>
      </c>
      <c r="B54" s="681"/>
      <c r="C54" s="681"/>
      <c r="D54" s="681"/>
      <c r="E54" s="681"/>
      <c r="F54" s="681"/>
      <c r="G54" s="681"/>
      <c r="H54" s="681"/>
      <c r="I54" s="681"/>
      <c r="J54" s="681"/>
      <c r="K54" s="681"/>
    </row>
    <row r="55" spans="1:11" ht="15" customHeight="1">
      <c r="A55" s="681"/>
      <c r="B55" s="681"/>
      <c r="C55" s="681"/>
      <c r="D55" s="681"/>
      <c r="E55" s="681"/>
      <c r="F55" s="681"/>
      <c r="G55" s="681"/>
      <c r="H55" s="681"/>
      <c r="I55" s="681"/>
      <c r="J55" s="681"/>
      <c r="K55" s="681"/>
    </row>
    <row r="56" spans="1:11" ht="15" customHeight="1">
      <c r="A56" s="681"/>
      <c r="B56" s="681"/>
      <c r="C56" s="681"/>
      <c r="D56" s="681"/>
      <c r="E56" s="681"/>
      <c r="F56" s="681"/>
      <c r="G56" s="681"/>
      <c r="H56" s="681"/>
      <c r="I56" s="681"/>
      <c r="J56" s="681"/>
      <c r="K56" s="681"/>
    </row>
    <row r="57" spans="1:11" ht="1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1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ht="1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0">
    <mergeCell ref="G37:K37"/>
    <mergeCell ref="A38:E38"/>
    <mergeCell ref="G38:K38"/>
    <mergeCell ref="A54:K56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57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8.28515625" style="232" customWidth="1"/>
    <col min="2" max="2" width="10.140625" style="232" customWidth="1"/>
    <col min="3" max="3" width="9.140625" style="232" customWidth="1"/>
    <col min="4" max="4" width="9.42578125" style="232" customWidth="1"/>
    <col min="5" max="6" width="8.5703125" style="232" customWidth="1"/>
    <col min="7" max="10" width="6.85546875" style="232" customWidth="1"/>
    <col min="11" max="11" width="7.85546875" style="232" customWidth="1"/>
    <col min="12" max="13" width="9.140625" style="232"/>
    <col min="14" max="14" width="11.140625" style="232" customWidth="1"/>
    <col min="15" max="16384" width="9.140625" style="232"/>
  </cols>
  <sheetData>
    <row r="1" spans="1:11" ht="15.75">
      <c r="A1" s="682" t="str">
        <f>"5.6. Spotřeba zemního plynu a teplota ovzduší: "&amp;LOWER(C3)</f>
        <v>5.6. Spotřeba zemního plynu a teplota ovzduší: duben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18.75" customHeight="1">
      <c r="A3" s="687"/>
      <c r="B3" s="688"/>
      <c r="C3" s="685" t="str">
        <f>'3.1'!D6</f>
        <v>Duben</v>
      </c>
      <c r="D3" s="686"/>
      <c r="E3" s="686"/>
      <c r="F3" s="686"/>
      <c r="G3" s="686"/>
      <c r="H3" s="686"/>
      <c r="I3" s="686"/>
      <c r="J3" s="686"/>
      <c r="K3" s="686"/>
    </row>
    <row r="4" spans="1:11" ht="24.95" customHeight="1">
      <c r="A4" s="323"/>
      <c r="B4" s="311"/>
      <c r="C4" s="691" t="s">
        <v>67</v>
      </c>
      <c r="D4" s="692"/>
      <c r="E4" s="692"/>
      <c r="F4" s="693"/>
      <c r="G4" s="683" t="s">
        <v>258</v>
      </c>
      <c r="H4" s="683"/>
      <c r="I4" s="683"/>
      <c r="J4" s="683"/>
      <c r="K4" s="684"/>
    </row>
    <row r="5" spans="1:11" ht="25.5">
      <c r="A5" s="328"/>
      <c r="B5" s="689" t="s">
        <v>254</v>
      </c>
      <c r="C5" s="312"/>
      <c r="D5" s="313"/>
      <c r="E5" s="314" t="s">
        <v>255</v>
      </c>
      <c r="F5" s="314" t="s">
        <v>240</v>
      </c>
      <c r="G5" s="315" t="s">
        <v>74</v>
      </c>
      <c r="H5" s="315" t="s">
        <v>241</v>
      </c>
      <c r="I5" s="315" t="s">
        <v>242</v>
      </c>
      <c r="J5" s="315" t="s">
        <v>256</v>
      </c>
      <c r="K5" s="315" t="s">
        <v>257</v>
      </c>
    </row>
    <row r="6" spans="1:11" ht="13.5" customHeight="1">
      <c r="A6" s="450" t="s">
        <v>253</v>
      </c>
      <c r="B6" s="690"/>
      <c r="C6" s="406" t="s">
        <v>294</v>
      </c>
      <c r="D6" s="404" t="s">
        <v>289</v>
      </c>
      <c r="E6" s="405" t="s">
        <v>295</v>
      </c>
      <c r="F6" s="405" t="s">
        <v>295</v>
      </c>
      <c r="G6" s="316" t="s">
        <v>292</v>
      </c>
      <c r="H6" s="317" t="s">
        <v>292</v>
      </c>
      <c r="I6" s="317" t="s">
        <v>292</v>
      </c>
      <c r="J6" s="317" t="s">
        <v>292</v>
      </c>
      <c r="K6" s="317" t="s">
        <v>292</v>
      </c>
    </row>
    <row r="7" spans="1:11" ht="15.95" customHeight="1">
      <c r="A7" s="402" t="s">
        <v>21</v>
      </c>
      <c r="B7" s="120">
        <f>'5.2'!D14</f>
        <v>418999</v>
      </c>
      <c r="C7" s="116">
        <f>'5.2'!E14</f>
        <v>55939.457977388724</v>
      </c>
      <c r="D7" s="120">
        <f>'5.2'!F14</f>
        <v>596678.68589600001</v>
      </c>
      <c r="E7" s="122">
        <f>C7/$C$11</f>
        <v>9.7289751018546727E-2</v>
      </c>
      <c r="F7" s="122">
        <f>'5.2'!H14</f>
        <v>-8.3152577112982892E-2</v>
      </c>
      <c r="G7" s="125">
        <v>11.366666666666669</v>
      </c>
      <c r="H7" s="125">
        <v>17.399999999999999</v>
      </c>
      <c r="I7" s="125">
        <v>2.2999999999999998</v>
      </c>
      <c r="J7" s="125">
        <v>8.6999999999999957</v>
      </c>
      <c r="K7" s="451">
        <v>2.6666666666666732</v>
      </c>
    </row>
    <row r="8" spans="1:11" ht="15.95" customHeight="1">
      <c r="A8" s="403" t="s">
        <v>104</v>
      </c>
      <c r="B8" s="115">
        <f>'5.3'!D14</f>
        <v>2288800</v>
      </c>
      <c r="C8" s="116">
        <f>'5.3'!E14</f>
        <v>449179.02951171761</v>
      </c>
      <c r="D8" s="115">
        <f>'5.3'!F14</f>
        <v>4796818.3329099994</v>
      </c>
      <c r="E8" s="118">
        <f t="shared" ref="E8:E10" si="0">C8/$C$11</f>
        <v>0.78121092917295754</v>
      </c>
      <c r="F8" s="118">
        <f>'5.3'!H14</f>
        <v>-6.976207001574565E-2</v>
      </c>
      <c r="G8" s="125">
        <v>9.4111111111111079</v>
      </c>
      <c r="H8" s="126">
        <v>15.416666666666666</v>
      </c>
      <c r="I8" s="126">
        <v>0.18333333333333335</v>
      </c>
      <c r="J8" s="126">
        <v>7.6166666666666689</v>
      </c>
      <c r="K8" s="125">
        <v>1.794444444444439</v>
      </c>
    </row>
    <row r="9" spans="1:11" ht="15.95" customHeight="1">
      <c r="A9" s="403" t="s">
        <v>22</v>
      </c>
      <c r="B9" s="115">
        <f>'5.4'!D14</f>
        <v>114395</v>
      </c>
      <c r="C9" s="116">
        <f>'5.4'!E14</f>
        <v>22501.164009999997</v>
      </c>
      <c r="D9" s="115">
        <f>'5.4'!F14</f>
        <v>240323.04496000003</v>
      </c>
      <c r="E9" s="118">
        <f t="shared" si="0"/>
        <v>3.9133962382067643E-2</v>
      </c>
      <c r="F9" s="118">
        <f>'5.4'!H14</f>
        <v>-4.8348459933165736E-2</v>
      </c>
      <c r="G9" s="125">
        <v>9.3333333333333321</v>
      </c>
      <c r="H9" s="126">
        <v>15.4</v>
      </c>
      <c r="I9" s="126">
        <v>-0.3</v>
      </c>
      <c r="J9" s="126">
        <v>7</v>
      </c>
      <c r="K9" s="125">
        <v>2.3333333333333321</v>
      </c>
    </row>
    <row r="10" spans="1:11" ht="15.95" customHeight="1">
      <c r="A10" s="403" t="s">
        <v>36</v>
      </c>
      <c r="B10" s="115">
        <f>'5.5'!D14</f>
        <v>8205</v>
      </c>
      <c r="C10" s="116">
        <f>'5.5'!E14</f>
        <v>47358.261299999998</v>
      </c>
      <c r="D10" s="115">
        <f>'5.5'!F14</f>
        <v>505473.76439100009</v>
      </c>
      <c r="E10" s="118">
        <f t="shared" si="0"/>
        <v>8.2365357426428101E-2</v>
      </c>
      <c r="F10" s="118">
        <f>'5.5'!H14</f>
        <v>0.40931162747097993</v>
      </c>
      <c r="G10" s="125">
        <v>9.4466666666666654</v>
      </c>
      <c r="H10" s="126">
        <v>15.4</v>
      </c>
      <c r="I10" s="126">
        <v>0.1</v>
      </c>
      <c r="J10" s="126">
        <v>8.6366666666666667</v>
      </c>
      <c r="K10" s="125">
        <v>0.80999999999999872</v>
      </c>
    </row>
    <row r="11" spans="1:11" ht="15.95" customHeight="1">
      <c r="A11" s="452" t="s">
        <v>3</v>
      </c>
      <c r="B11" s="366">
        <f>SUM(B7:B10)</f>
        <v>2830399</v>
      </c>
      <c r="C11" s="367">
        <f>SUM(C7:C10)</f>
        <v>574977.91279910633</v>
      </c>
      <c r="D11" s="366">
        <f t="shared" ref="D11:E11" si="1">SUM(D7:D10)</f>
        <v>6139293.8281569993</v>
      </c>
      <c r="E11" s="370">
        <f t="shared" si="1"/>
        <v>1</v>
      </c>
      <c r="F11" s="370">
        <f>'5.1'!H15</f>
        <v>-4.3497966590704873E-2</v>
      </c>
      <c r="G11" s="373">
        <v>9.4466666666666654</v>
      </c>
      <c r="H11" s="374">
        <v>15.4</v>
      </c>
      <c r="I11" s="374">
        <v>0.1</v>
      </c>
      <c r="J11" s="374">
        <v>8.6366666666666667</v>
      </c>
      <c r="K11" s="375">
        <v>0.80999999999999872</v>
      </c>
    </row>
    <row r="12" spans="1:11" ht="15" customHeight="1">
      <c r="A12" s="207"/>
      <c r="B12" s="208"/>
      <c r="C12" s="695" t="s">
        <v>216</v>
      </c>
      <c r="D12" s="695"/>
      <c r="E12" s="695"/>
      <c r="F12" s="695"/>
      <c r="G12" s="698" t="s">
        <v>132</v>
      </c>
      <c r="H12" s="698"/>
      <c r="I12" s="698"/>
      <c r="J12" s="698"/>
      <c r="K12" s="698"/>
    </row>
    <row r="13" spans="1:11" ht="15" customHeight="1">
      <c r="A13" s="114"/>
      <c r="B13" s="114"/>
      <c r="C13" s="681"/>
      <c r="D13" s="681"/>
      <c r="E13" s="681"/>
      <c r="F13" s="681"/>
      <c r="G13" s="699" t="s">
        <v>133</v>
      </c>
      <c r="H13" s="699"/>
      <c r="I13" s="699"/>
      <c r="J13" s="699"/>
      <c r="K13" s="699"/>
    </row>
    <row r="14" spans="1:11" ht="15" customHeight="1">
      <c r="A14" s="114"/>
      <c r="B14" s="114"/>
      <c r="C14" s="192"/>
      <c r="D14" s="192"/>
      <c r="E14" s="192"/>
      <c r="F14" s="192"/>
      <c r="G14" s="193"/>
      <c r="H14" s="193"/>
      <c r="I14" s="193"/>
      <c r="J14" s="193"/>
      <c r="K14" s="193"/>
    </row>
    <row r="15" spans="1:11" ht="15" customHeight="1">
      <c r="A15" s="114"/>
      <c r="B15" s="114"/>
      <c r="C15" s="114"/>
      <c r="D15" s="242"/>
      <c r="E15" s="243"/>
      <c r="F15" s="243"/>
      <c r="G15" s="114"/>
      <c r="H15" s="240"/>
      <c r="I15" s="193"/>
      <c r="J15" s="114"/>
      <c r="K15" s="114"/>
    </row>
    <row r="16" spans="1:11" ht="18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15" customHeight="1">
      <c r="A17" s="647" t="s">
        <v>306</v>
      </c>
      <c r="B17" s="647"/>
      <c r="C17" s="647"/>
      <c r="D17" s="647"/>
      <c r="E17" s="647"/>
      <c r="F17" s="647" t="s">
        <v>224</v>
      </c>
      <c r="G17" s="647"/>
      <c r="H17" s="647"/>
      <c r="I17" s="647"/>
      <c r="J17" s="647"/>
      <c r="K17" s="647"/>
    </row>
    <row r="18" spans="1:11" ht="15" customHeight="1">
      <c r="A18" s="413"/>
      <c r="B18" s="639" t="str">
        <f>C3</f>
        <v>Duben</v>
      </c>
      <c r="C18" s="639"/>
      <c r="D18" s="413"/>
      <c r="E18" s="413"/>
      <c r="F18" s="413"/>
      <c r="G18" s="413"/>
      <c r="H18" s="639" t="str">
        <f>C3</f>
        <v>Duben</v>
      </c>
      <c r="I18" s="639"/>
      <c r="J18" s="413"/>
      <c r="K18" s="413"/>
    </row>
    <row r="19" spans="1:11" ht="15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 ht="1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 ht="1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 ht="15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 ht="15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 ht="15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 ht="1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 ht="1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ht="15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ht="1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ht="1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 customHeight="1">
      <c r="A34" s="647" t="s">
        <v>78</v>
      </c>
      <c r="B34" s="647"/>
      <c r="C34" s="647"/>
      <c r="D34" s="647"/>
      <c r="E34" s="647"/>
      <c r="F34" s="697" t="s">
        <v>79</v>
      </c>
      <c r="G34" s="697"/>
      <c r="H34" s="697"/>
      <c r="I34" s="697"/>
      <c r="J34" s="697"/>
      <c r="K34" s="697"/>
    </row>
    <row r="35" spans="1:11" ht="15" customHeight="1">
      <c r="A35" s="413"/>
      <c r="B35" s="639" t="str">
        <f>C3</f>
        <v>Duben</v>
      </c>
      <c r="C35" s="639"/>
      <c r="D35" s="413"/>
      <c r="E35" s="410"/>
      <c r="F35" s="697"/>
      <c r="G35" s="697"/>
      <c r="H35" s="697"/>
      <c r="I35" s="697"/>
      <c r="J35" s="697"/>
      <c r="K35" s="697"/>
    </row>
    <row r="36" spans="1:11" ht="15" customHeight="1">
      <c r="A36" s="413"/>
      <c r="B36" s="413"/>
      <c r="C36" s="413"/>
      <c r="D36" s="413"/>
      <c r="E36" s="411"/>
      <c r="F36" s="411"/>
      <c r="G36" s="411"/>
      <c r="H36" s="696" t="str">
        <f>C3</f>
        <v>Duben</v>
      </c>
      <c r="I36" s="696"/>
      <c r="J36" s="411"/>
      <c r="K36" s="411"/>
    </row>
    <row r="37" spans="1:11" ht="1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  <mergeCell ref="A1:K1"/>
    <mergeCell ref="G4:K4"/>
    <mergeCell ref="C3:K3"/>
    <mergeCell ref="A3:B3"/>
    <mergeCell ref="B5:B6"/>
    <mergeCell ref="C4:F4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57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8.28515625" style="232" customWidth="1"/>
    <col min="2" max="2" width="10.140625" style="232" customWidth="1"/>
    <col min="3" max="3" width="9.140625" style="232" customWidth="1"/>
    <col min="4" max="4" width="9.42578125" style="232" customWidth="1"/>
    <col min="5" max="6" width="8.5703125" style="232" customWidth="1"/>
    <col min="7" max="10" width="6.85546875" style="232" customWidth="1"/>
    <col min="11" max="11" width="7.85546875" style="232" customWidth="1"/>
    <col min="12" max="13" width="9.140625" style="232"/>
    <col min="14" max="14" width="11.140625" style="232" customWidth="1"/>
    <col min="15" max="16384" width="9.140625" style="232"/>
  </cols>
  <sheetData>
    <row r="1" spans="1:11" ht="15.75" customHeight="1">
      <c r="A1" s="682" t="str">
        <f>"5.7. Spotřeba zemního plynu a teplota ovzduší: "&amp;LOWER(C3)</f>
        <v>5.7. Spotřeba zemního plynu a teplota ovzduší: květen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18.75" customHeight="1">
      <c r="A3" s="687"/>
      <c r="B3" s="688"/>
      <c r="C3" s="685" t="str">
        <f>'3.1'!E6</f>
        <v>Květen</v>
      </c>
      <c r="D3" s="686"/>
      <c r="E3" s="686"/>
      <c r="F3" s="686"/>
      <c r="G3" s="686"/>
      <c r="H3" s="686"/>
      <c r="I3" s="686"/>
      <c r="J3" s="686"/>
      <c r="K3" s="686"/>
    </row>
    <row r="4" spans="1:11" ht="24.95" customHeight="1">
      <c r="A4" s="323"/>
      <c r="B4" s="311"/>
      <c r="C4" s="691" t="s">
        <v>67</v>
      </c>
      <c r="D4" s="692"/>
      <c r="E4" s="692"/>
      <c r="F4" s="693"/>
      <c r="G4" s="683" t="s">
        <v>258</v>
      </c>
      <c r="H4" s="683"/>
      <c r="I4" s="683"/>
      <c r="J4" s="683"/>
      <c r="K4" s="684"/>
    </row>
    <row r="5" spans="1:11" ht="25.5">
      <c r="A5" s="328"/>
      <c r="B5" s="689" t="s">
        <v>254</v>
      </c>
      <c r="C5" s="312"/>
      <c r="D5" s="313"/>
      <c r="E5" s="314" t="s">
        <v>255</v>
      </c>
      <c r="F5" s="314" t="s">
        <v>240</v>
      </c>
      <c r="G5" s="315" t="s">
        <v>74</v>
      </c>
      <c r="H5" s="315" t="s">
        <v>241</v>
      </c>
      <c r="I5" s="315" t="s">
        <v>242</v>
      </c>
      <c r="J5" s="315" t="s">
        <v>256</v>
      </c>
      <c r="K5" s="315" t="s">
        <v>257</v>
      </c>
    </row>
    <row r="6" spans="1:11" ht="14.1" customHeight="1">
      <c r="A6" s="450" t="s">
        <v>253</v>
      </c>
      <c r="B6" s="690"/>
      <c r="C6" s="406" t="s">
        <v>294</v>
      </c>
      <c r="D6" s="404" t="s">
        <v>289</v>
      </c>
      <c r="E6" s="405" t="s">
        <v>295</v>
      </c>
      <c r="F6" s="405" t="s">
        <v>295</v>
      </c>
      <c r="G6" s="316" t="s">
        <v>292</v>
      </c>
      <c r="H6" s="317" t="s">
        <v>292</v>
      </c>
      <c r="I6" s="317" t="s">
        <v>292</v>
      </c>
      <c r="J6" s="317" t="s">
        <v>292</v>
      </c>
      <c r="K6" s="317" t="s">
        <v>292</v>
      </c>
    </row>
    <row r="7" spans="1:11" ht="15.95" customHeight="1">
      <c r="A7" s="402" t="s">
        <v>21</v>
      </c>
      <c r="B7" s="120">
        <f>'5.2'!D21</f>
        <v>418316</v>
      </c>
      <c r="C7" s="116">
        <f>'5.2'!E21</f>
        <v>42756.089586598893</v>
      </c>
      <c r="D7" s="120">
        <f>'5.2'!F21</f>
        <v>456328.60224601114</v>
      </c>
      <c r="E7" s="122">
        <f>C7/$C$11</f>
        <v>8.6841724531938808E-2</v>
      </c>
      <c r="F7" s="122">
        <f>'5.2'!H21</f>
        <v>-0.20437340696814266</v>
      </c>
      <c r="G7" s="125">
        <v>12.858064516129033</v>
      </c>
      <c r="H7" s="125">
        <v>18.2</v>
      </c>
      <c r="I7" s="125">
        <v>7.2</v>
      </c>
      <c r="J7" s="125">
        <v>14</v>
      </c>
      <c r="K7" s="451">
        <v>-1.1419354838709666</v>
      </c>
    </row>
    <row r="8" spans="1:11" ht="15.95" customHeight="1">
      <c r="A8" s="403" t="s">
        <v>104</v>
      </c>
      <c r="B8" s="115">
        <f>'5.3'!D21</f>
        <v>2287860</v>
      </c>
      <c r="C8" s="116">
        <f>'5.3'!E21</f>
        <v>367686.54771647276</v>
      </c>
      <c r="D8" s="115">
        <f>'5.3'!F21</f>
        <v>3928416.4649799992</v>
      </c>
      <c r="E8" s="118">
        <f t="shared" ref="E8:E10" si="0">C8/$C$11</f>
        <v>0.74680669349382078</v>
      </c>
      <c r="F8" s="118">
        <f>'5.3'!H21</f>
        <v>-0.19260700649451934</v>
      </c>
      <c r="G8" s="125">
        <v>11.172043010752692</v>
      </c>
      <c r="H8" s="126">
        <v>17.400000000000002</v>
      </c>
      <c r="I8" s="126">
        <v>5.0166666666666666</v>
      </c>
      <c r="J8" s="126">
        <v>13.016666666666657</v>
      </c>
      <c r="K8" s="125">
        <v>-1.8446236559139653</v>
      </c>
    </row>
    <row r="9" spans="1:11" ht="15.95" customHeight="1">
      <c r="A9" s="403" t="s">
        <v>22</v>
      </c>
      <c r="B9" s="115">
        <f>'5.4'!D21</f>
        <v>114354</v>
      </c>
      <c r="C9" s="116">
        <f>'5.4'!E21</f>
        <v>18224.634010000005</v>
      </c>
      <c r="D9" s="115">
        <f>'5.4'!F21</f>
        <v>194668.50478999995</v>
      </c>
      <c r="E9" s="118">
        <f t="shared" si="0"/>
        <v>3.7015982090370561E-2</v>
      </c>
      <c r="F9" s="118">
        <f>'5.4'!H21</f>
        <v>-0.19498492659064787</v>
      </c>
      <c r="G9" s="125">
        <v>10.929032258064515</v>
      </c>
      <c r="H9" s="126">
        <v>17.600000000000001</v>
      </c>
      <c r="I9" s="126">
        <v>5.3</v>
      </c>
      <c r="J9" s="126">
        <v>12.399999999999995</v>
      </c>
      <c r="K9" s="125">
        <v>-1.4709677419354801</v>
      </c>
    </row>
    <row r="10" spans="1:11" ht="15.95" customHeight="1">
      <c r="A10" s="403" t="s">
        <v>36</v>
      </c>
      <c r="B10" s="115">
        <f>'5.5'!D21</f>
        <v>8199</v>
      </c>
      <c r="C10" s="116">
        <f>'5.5'!E21</f>
        <v>63677.736999999994</v>
      </c>
      <c r="D10" s="115">
        <f>'5.5'!F21</f>
        <v>679704.12673000002</v>
      </c>
      <c r="E10" s="118">
        <f t="shared" si="0"/>
        <v>0.12933559988386981</v>
      </c>
      <c r="F10" s="118">
        <f>'5.5'!H21</f>
        <v>1.4897284105545399</v>
      </c>
      <c r="G10" s="125">
        <v>11.2</v>
      </c>
      <c r="H10" s="126">
        <v>17.600000000000001</v>
      </c>
      <c r="I10" s="126">
        <v>5.0999999999999996</v>
      </c>
      <c r="J10" s="126">
        <v>13.522580645161288</v>
      </c>
      <c r="K10" s="125">
        <v>-2.3225806451612883</v>
      </c>
    </row>
    <row r="11" spans="1:11" ht="15.95" customHeight="1">
      <c r="A11" s="452" t="s">
        <v>3</v>
      </c>
      <c r="B11" s="366">
        <f>SUM(B7:B10)</f>
        <v>2828729</v>
      </c>
      <c r="C11" s="367">
        <f t="shared" ref="C11:E11" si="1">SUM(C7:C10)</f>
        <v>492345.00831307168</v>
      </c>
      <c r="D11" s="366">
        <f t="shared" si="1"/>
        <v>5259117.6987460097</v>
      </c>
      <c r="E11" s="370">
        <f t="shared" si="1"/>
        <v>1</v>
      </c>
      <c r="F11" s="370">
        <f>'5.1'!H22</f>
        <v>-0.11663807343246883</v>
      </c>
      <c r="G11" s="373">
        <v>11.2</v>
      </c>
      <c r="H11" s="374">
        <v>17.600000000000001</v>
      </c>
      <c r="I11" s="374">
        <v>5.0999999999999996</v>
      </c>
      <c r="J11" s="374">
        <v>13.522580645161288</v>
      </c>
      <c r="K11" s="375">
        <v>-2.3225806451612883</v>
      </c>
    </row>
    <row r="12" spans="1:11" ht="15" customHeight="1">
      <c r="A12" s="207"/>
      <c r="B12" s="208"/>
      <c r="C12" s="695" t="s">
        <v>216</v>
      </c>
      <c r="D12" s="695"/>
      <c r="E12" s="695"/>
      <c r="F12" s="695"/>
      <c r="G12" s="698" t="s">
        <v>132</v>
      </c>
      <c r="H12" s="698"/>
      <c r="I12" s="698"/>
      <c r="J12" s="698"/>
      <c r="K12" s="698"/>
    </row>
    <row r="13" spans="1:11" ht="15" customHeight="1">
      <c r="A13" s="114"/>
      <c r="B13" s="114"/>
      <c r="C13" s="681"/>
      <c r="D13" s="681"/>
      <c r="E13" s="681"/>
      <c r="F13" s="681"/>
      <c r="G13" s="699" t="s">
        <v>133</v>
      </c>
      <c r="H13" s="699"/>
      <c r="I13" s="699"/>
      <c r="J13" s="699"/>
      <c r="K13" s="699"/>
    </row>
    <row r="14" spans="1:11" ht="15" customHeight="1">
      <c r="A14" s="114"/>
      <c r="B14" s="114"/>
      <c r="C14" s="192"/>
      <c r="D14" s="192"/>
      <c r="E14" s="192"/>
      <c r="F14" s="192"/>
      <c r="G14" s="193"/>
      <c r="H14" s="193"/>
      <c r="I14" s="193"/>
      <c r="J14" s="193"/>
      <c r="K14" s="193"/>
    </row>
    <row r="15" spans="1:11" ht="15" customHeight="1">
      <c r="A15" s="114"/>
      <c r="B15" s="114"/>
      <c r="C15" s="114"/>
      <c r="D15" s="242"/>
      <c r="E15" s="243"/>
      <c r="F15" s="243"/>
      <c r="G15" s="114"/>
      <c r="H15" s="240"/>
      <c r="I15" s="193"/>
      <c r="J15" s="114"/>
      <c r="K15" s="114"/>
    </row>
    <row r="16" spans="1:11" ht="18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15" customHeight="1">
      <c r="A17" s="647" t="s">
        <v>306</v>
      </c>
      <c r="B17" s="647"/>
      <c r="C17" s="647"/>
      <c r="D17" s="647"/>
      <c r="E17" s="647"/>
      <c r="F17" s="647" t="s">
        <v>224</v>
      </c>
      <c r="G17" s="647"/>
      <c r="H17" s="647"/>
      <c r="I17" s="647"/>
      <c r="J17" s="647"/>
      <c r="K17" s="647"/>
    </row>
    <row r="18" spans="1:11" ht="15" customHeight="1">
      <c r="A18" s="409"/>
      <c r="B18" s="639" t="str">
        <f>C3</f>
        <v>Květen</v>
      </c>
      <c r="C18" s="639"/>
      <c r="D18" s="409"/>
      <c r="E18" s="409"/>
      <c r="F18" s="409"/>
      <c r="G18" s="412"/>
      <c r="H18" s="639" t="str">
        <f>C3</f>
        <v>Květen</v>
      </c>
      <c r="I18" s="639"/>
      <c r="J18" s="409"/>
      <c r="K18" s="409"/>
    </row>
    <row r="19" spans="1:11" ht="15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 ht="1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 ht="1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 ht="15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 ht="15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 ht="15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 ht="1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 ht="1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ht="15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ht="1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ht="1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 customHeight="1">
      <c r="A34" s="647" t="s">
        <v>78</v>
      </c>
      <c r="B34" s="647"/>
      <c r="C34" s="647"/>
      <c r="D34" s="647"/>
      <c r="E34" s="647"/>
      <c r="F34" s="697" t="s">
        <v>79</v>
      </c>
      <c r="G34" s="697"/>
      <c r="H34" s="697"/>
      <c r="I34" s="697"/>
      <c r="J34" s="697"/>
      <c r="K34" s="697"/>
    </row>
    <row r="35" spans="1:11" ht="15" customHeight="1">
      <c r="A35" s="409"/>
      <c r="B35" s="639" t="str">
        <f>C3</f>
        <v>Květen</v>
      </c>
      <c r="C35" s="639"/>
      <c r="D35" s="409"/>
      <c r="E35" s="410"/>
      <c r="F35" s="697"/>
      <c r="G35" s="697"/>
      <c r="H35" s="697"/>
      <c r="I35" s="697"/>
      <c r="J35" s="697"/>
      <c r="K35" s="697"/>
    </row>
    <row r="36" spans="1:11" ht="15" customHeight="1">
      <c r="A36" s="409"/>
      <c r="B36" s="409"/>
      <c r="C36" s="409"/>
      <c r="D36" s="409"/>
      <c r="E36" s="411"/>
      <c r="F36" s="411"/>
      <c r="G36" s="411"/>
      <c r="H36" s="696" t="str">
        <f>C3</f>
        <v>Květen</v>
      </c>
      <c r="I36" s="696"/>
      <c r="J36" s="411"/>
      <c r="K36" s="411"/>
    </row>
    <row r="37" spans="1:11" ht="1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B35:C35"/>
    <mergeCell ref="H36:I36"/>
    <mergeCell ref="A34:E34"/>
    <mergeCell ref="F34:K35"/>
    <mergeCell ref="A17:E17"/>
    <mergeCell ref="H18:I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K57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8.28515625" style="232" customWidth="1"/>
    <col min="2" max="2" width="10.140625" style="232" customWidth="1"/>
    <col min="3" max="3" width="9.140625" style="232" customWidth="1"/>
    <col min="4" max="4" width="9.42578125" style="232" customWidth="1"/>
    <col min="5" max="6" width="8.5703125" style="232" customWidth="1"/>
    <col min="7" max="10" width="6.85546875" style="232" customWidth="1"/>
    <col min="11" max="11" width="7.85546875" style="232" customWidth="1"/>
    <col min="12" max="13" width="9.140625" style="232"/>
    <col min="14" max="14" width="11.140625" style="232" customWidth="1"/>
    <col min="15" max="16384" width="9.140625" style="232"/>
  </cols>
  <sheetData>
    <row r="1" spans="1:11" ht="15.75" customHeight="1">
      <c r="A1" s="682" t="str">
        <f>"5.8. Spotřeba zemního plynu a teplota ovzduší: "&amp;LOWER(C3)</f>
        <v>5.8. Spotřeba zemního plynu a teplota ovzduší: červen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18.75" customHeight="1">
      <c r="A3" s="687"/>
      <c r="B3" s="688"/>
      <c r="C3" s="685" t="str">
        <f>'3.1'!F6</f>
        <v>Červen</v>
      </c>
      <c r="D3" s="686"/>
      <c r="E3" s="686"/>
      <c r="F3" s="686"/>
      <c r="G3" s="686"/>
      <c r="H3" s="686"/>
      <c r="I3" s="686"/>
      <c r="J3" s="686"/>
      <c r="K3" s="686"/>
    </row>
    <row r="4" spans="1:11" ht="24.95" customHeight="1">
      <c r="A4" s="323"/>
      <c r="B4" s="311"/>
      <c r="C4" s="691" t="s">
        <v>67</v>
      </c>
      <c r="D4" s="692"/>
      <c r="E4" s="692"/>
      <c r="F4" s="693"/>
      <c r="G4" s="683" t="s">
        <v>258</v>
      </c>
      <c r="H4" s="683"/>
      <c r="I4" s="683"/>
      <c r="J4" s="683"/>
      <c r="K4" s="684"/>
    </row>
    <row r="5" spans="1:11" ht="25.5">
      <c r="A5" s="328"/>
      <c r="B5" s="689" t="s">
        <v>254</v>
      </c>
      <c r="C5" s="312"/>
      <c r="D5" s="313"/>
      <c r="E5" s="314" t="s">
        <v>255</v>
      </c>
      <c r="F5" s="314" t="s">
        <v>240</v>
      </c>
      <c r="G5" s="315" t="s">
        <v>74</v>
      </c>
      <c r="H5" s="315" t="s">
        <v>241</v>
      </c>
      <c r="I5" s="315" t="s">
        <v>242</v>
      </c>
      <c r="J5" s="315" t="s">
        <v>256</v>
      </c>
      <c r="K5" s="315" t="s">
        <v>257</v>
      </c>
    </row>
    <row r="6" spans="1:11" ht="14.1" customHeight="1">
      <c r="A6" s="450" t="s">
        <v>253</v>
      </c>
      <c r="B6" s="690"/>
      <c r="C6" s="406" t="s">
        <v>294</v>
      </c>
      <c r="D6" s="404" t="s">
        <v>289</v>
      </c>
      <c r="E6" s="405" t="s">
        <v>295</v>
      </c>
      <c r="F6" s="405" t="s">
        <v>295</v>
      </c>
      <c r="G6" s="316" t="s">
        <v>292</v>
      </c>
      <c r="H6" s="317" t="s">
        <v>292</v>
      </c>
      <c r="I6" s="317" t="s">
        <v>292</v>
      </c>
      <c r="J6" s="317" t="s">
        <v>292</v>
      </c>
      <c r="K6" s="317" t="s">
        <v>292</v>
      </c>
    </row>
    <row r="7" spans="1:11" ht="15.95" customHeight="1">
      <c r="A7" s="402" t="s">
        <v>21</v>
      </c>
      <c r="B7" s="120">
        <f>'5.2'!D28</f>
        <v>418819</v>
      </c>
      <c r="C7" s="116">
        <f>'5.2'!E28</f>
        <v>23697.557000000001</v>
      </c>
      <c r="D7" s="120">
        <f>'5.2'!F28</f>
        <v>253842.58964398125</v>
      </c>
      <c r="E7" s="122">
        <f>C7/$C$11</f>
        <v>5.8732079145134557E-2</v>
      </c>
      <c r="F7" s="122">
        <f>'5.2'!H28</f>
        <v>0.17501771528652491</v>
      </c>
      <c r="G7" s="125">
        <v>18.02</v>
      </c>
      <c r="H7" s="125">
        <v>24.3</v>
      </c>
      <c r="I7" s="125">
        <v>13.5</v>
      </c>
      <c r="J7" s="125">
        <v>16.800000000000008</v>
      </c>
      <c r="K7" s="451">
        <v>1.2199999999999918</v>
      </c>
    </row>
    <row r="8" spans="1:11" ht="15.95" customHeight="1">
      <c r="A8" s="403" t="s">
        <v>104</v>
      </c>
      <c r="B8" s="115">
        <f>'5.3'!D28</f>
        <v>2287363</v>
      </c>
      <c r="C8" s="116">
        <f>'5.3'!E28</f>
        <v>280898.89395004482</v>
      </c>
      <c r="D8" s="115">
        <f>'5.3'!F28</f>
        <v>3008761.2124699997</v>
      </c>
      <c r="E8" s="118">
        <f t="shared" ref="E8:E10" si="0">C8/$C$11</f>
        <v>0.69618045738870005</v>
      </c>
      <c r="F8" s="118">
        <f>'5.3'!H28</f>
        <v>2.829089162083823E-2</v>
      </c>
      <c r="G8" s="125">
        <v>16.682777777777776</v>
      </c>
      <c r="H8" s="126">
        <v>21.683333333333337</v>
      </c>
      <c r="I8" s="126">
        <v>12.966666666666667</v>
      </c>
      <c r="J8" s="126">
        <v>15.800000000000008</v>
      </c>
      <c r="K8" s="125">
        <v>0.88277777777776834</v>
      </c>
    </row>
    <row r="9" spans="1:11" ht="15.95" customHeight="1">
      <c r="A9" s="403" t="s">
        <v>22</v>
      </c>
      <c r="B9" s="115">
        <f>'5.4'!D28</f>
        <v>114358</v>
      </c>
      <c r="C9" s="116">
        <f>'5.4'!E28</f>
        <v>13296.904999999999</v>
      </c>
      <c r="D9" s="115">
        <f>'5.4'!F28</f>
        <v>142039.36675000002</v>
      </c>
      <c r="E9" s="118">
        <f t="shared" si="0"/>
        <v>3.2955079582479126E-2</v>
      </c>
      <c r="F9" s="118">
        <f>'5.4'!H28</f>
        <v>0.16984282641557127</v>
      </c>
      <c r="G9" s="125">
        <v>16.069999999999997</v>
      </c>
      <c r="H9" s="126">
        <v>22</v>
      </c>
      <c r="I9" s="126">
        <v>12.7</v>
      </c>
      <c r="J9" s="126">
        <v>15.300000000000008</v>
      </c>
      <c r="K9" s="125">
        <v>0.76999999999998892</v>
      </c>
    </row>
    <row r="10" spans="1:11" ht="15.95" customHeight="1">
      <c r="A10" s="403" t="s">
        <v>36</v>
      </c>
      <c r="B10" s="115">
        <f>'5.5'!D28</f>
        <v>8213</v>
      </c>
      <c r="C10" s="116">
        <f>'5.5'!E28</f>
        <v>85592.394</v>
      </c>
      <c r="D10" s="115">
        <f>'5.5'!F28</f>
        <v>916840.5942980001</v>
      </c>
      <c r="E10" s="118">
        <f t="shared" si="0"/>
        <v>0.21213238388368641</v>
      </c>
      <c r="F10" s="118">
        <f>'5.5'!H28</f>
        <v>0.17417406216275949</v>
      </c>
      <c r="G10" s="125">
        <v>16.643333333333331</v>
      </c>
      <c r="H10" s="126">
        <v>21.9</v>
      </c>
      <c r="I10" s="126">
        <v>13</v>
      </c>
      <c r="J10" s="126">
        <v>16.59</v>
      </c>
      <c r="K10" s="125">
        <v>5.3333333333331012E-2</v>
      </c>
    </row>
    <row r="11" spans="1:11" ht="15.95" customHeight="1">
      <c r="A11" s="452" t="s">
        <v>3</v>
      </c>
      <c r="B11" s="366">
        <f>SUM(B7:B10)</f>
        <v>2828753</v>
      </c>
      <c r="C11" s="367">
        <f t="shared" ref="C11:E11" si="1">SUM(C7:C10)</f>
        <v>403485.74995004479</v>
      </c>
      <c r="D11" s="366">
        <f t="shared" si="1"/>
        <v>4321483.7631619815</v>
      </c>
      <c r="E11" s="370">
        <f t="shared" si="1"/>
        <v>1.0000000000000002</v>
      </c>
      <c r="F11" s="370">
        <f>'5.1'!H29</f>
        <v>6.85513365824931E-2</v>
      </c>
      <c r="G11" s="373">
        <v>16.643333333333331</v>
      </c>
      <c r="H11" s="374">
        <v>21.9</v>
      </c>
      <c r="I11" s="374">
        <v>13</v>
      </c>
      <c r="J11" s="374">
        <v>16.59</v>
      </c>
      <c r="K11" s="375">
        <v>5.3333333333331012E-2</v>
      </c>
    </row>
    <row r="12" spans="1:11" ht="15" customHeight="1">
      <c r="A12" s="207"/>
      <c r="B12" s="208"/>
      <c r="C12" s="695" t="s">
        <v>216</v>
      </c>
      <c r="D12" s="695"/>
      <c r="E12" s="695"/>
      <c r="F12" s="695"/>
      <c r="G12" s="698" t="s">
        <v>132</v>
      </c>
      <c r="H12" s="698"/>
      <c r="I12" s="698"/>
      <c r="J12" s="698"/>
      <c r="K12" s="698"/>
    </row>
    <row r="13" spans="1:11" ht="15" customHeight="1">
      <c r="A13" s="114"/>
      <c r="B13" s="114"/>
      <c r="C13" s="681"/>
      <c r="D13" s="681"/>
      <c r="E13" s="681"/>
      <c r="F13" s="681"/>
      <c r="G13" s="699" t="s">
        <v>133</v>
      </c>
      <c r="H13" s="699"/>
      <c r="I13" s="699"/>
      <c r="J13" s="699"/>
      <c r="K13" s="699"/>
    </row>
    <row r="14" spans="1:11" ht="15" customHeight="1">
      <c r="A14" s="114"/>
      <c r="B14" s="114"/>
      <c r="C14" s="192"/>
      <c r="D14" s="192"/>
      <c r="E14" s="192"/>
      <c r="F14" s="192"/>
      <c r="G14" s="193"/>
      <c r="H14" s="193"/>
      <c r="I14" s="193"/>
      <c r="J14" s="193"/>
      <c r="K14" s="193"/>
    </row>
    <row r="15" spans="1:11" ht="15" customHeight="1">
      <c r="A15" s="114"/>
      <c r="B15" s="114"/>
      <c r="C15" s="114"/>
      <c r="D15" s="242"/>
      <c r="E15" s="243"/>
      <c r="F15" s="243"/>
      <c r="G15" s="114"/>
      <c r="H15" s="240"/>
      <c r="I15" s="193"/>
      <c r="J15" s="114"/>
      <c r="K15" s="114"/>
    </row>
    <row r="16" spans="1:11" ht="18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15" customHeight="1">
      <c r="A17" s="647" t="s">
        <v>306</v>
      </c>
      <c r="B17" s="647"/>
      <c r="C17" s="647"/>
      <c r="D17" s="647"/>
      <c r="E17" s="647"/>
      <c r="F17" s="647" t="s">
        <v>224</v>
      </c>
      <c r="G17" s="647"/>
      <c r="H17" s="647"/>
      <c r="I17" s="647"/>
      <c r="J17" s="647"/>
      <c r="K17" s="647"/>
    </row>
    <row r="18" spans="1:11" ht="15" customHeight="1">
      <c r="A18" s="409"/>
      <c r="B18" s="639" t="str">
        <f>C3</f>
        <v>Červen</v>
      </c>
      <c r="C18" s="639"/>
      <c r="D18" s="409"/>
      <c r="E18" s="409"/>
      <c r="F18" s="409"/>
      <c r="G18" s="409"/>
      <c r="H18" s="639" t="str">
        <f>C3</f>
        <v>Červen</v>
      </c>
      <c r="I18" s="639"/>
      <c r="J18" s="409"/>
      <c r="K18" s="409"/>
    </row>
    <row r="19" spans="1:11" ht="15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 ht="1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 ht="1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 ht="15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 ht="15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 ht="15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 ht="1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 ht="1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ht="15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ht="1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ht="1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 customHeight="1">
      <c r="A34" s="647" t="s">
        <v>78</v>
      </c>
      <c r="B34" s="647"/>
      <c r="C34" s="647"/>
      <c r="D34" s="647"/>
      <c r="E34" s="647"/>
      <c r="F34" s="697" t="s">
        <v>79</v>
      </c>
      <c r="G34" s="697"/>
      <c r="H34" s="697"/>
      <c r="I34" s="697"/>
      <c r="J34" s="697"/>
      <c r="K34" s="697"/>
    </row>
    <row r="35" spans="1:11" ht="15" customHeight="1">
      <c r="A35" s="409"/>
      <c r="B35" s="639" t="str">
        <f>C3</f>
        <v>Červen</v>
      </c>
      <c r="C35" s="639"/>
      <c r="D35" s="409"/>
      <c r="E35" s="410"/>
      <c r="F35" s="697"/>
      <c r="G35" s="697"/>
      <c r="H35" s="697"/>
      <c r="I35" s="697"/>
      <c r="J35" s="697"/>
      <c r="K35" s="697"/>
    </row>
    <row r="36" spans="1:11" ht="15" customHeight="1">
      <c r="A36" s="409"/>
      <c r="B36" s="409"/>
      <c r="C36" s="409"/>
      <c r="D36" s="409"/>
      <c r="E36" s="411"/>
      <c r="F36" s="411"/>
      <c r="G36" s="411"/>
      <c r="H36" s="696" t="str">
        <f>C3</f>
        <v>Červen</v>
      </c>
      <c r="I36" s="696"/>
      <c r="J36" s="411"/>
      <c r="K36" s="411"/>
    </row>
    <row r="37" spans="1:11" ht="1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A2:B2"/>
    <mergeCell ref="A3:B3"/>
    <mergeCell ref="C4:F4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K57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8.28515625" style="232" customWidth="1"/>
    <col min="2" max="2" width="10.140625" style="232" customWidth="1"/>
    <col min="3" max="3" width="9.140625" style="232" customWidth="1"/>
    <col min="4" max="4" width="9.42578125" style="232" customWidth="1"/>
    <col min="5" max="6" width="8.5703125" style="232" customWidth="1"/>
    <col min="7" max="10" width="6.85546875" style="232" customWidth="1"/>
    <col min="11" max="11" width="7.85546875" style="232" customWidth="1"/>
    <col min="12" max="13" width="9.140625" style="232"/>
    <col min="14" max="14" width="11.140625" style="232" customWidth="1"/>
    <col min="15" max="16384" width="9.140625" style="232"/>
  </cols>
  <sheetData>
    <row r="1" spans="1:11" ht="15.75" customHeight="1">
      <c r="A1" s="682" t="str">
        <f>"5.9. Spotřeba zemního plynu a teplota ovzduší: "&amp;(C3)</f>
        <v>5.9. Spotřeba zemního plynu a teplota ovzduší: II. čtvrtletí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18.75" customHeight="1">
      <c r="A3" s="687"/>
      <c r="B3" s="688"/>
      <c r="C3" s="685" t="str">
        <f>'3.1'!G6</f>
        <v>II. čtvrtletí</v>
      </c>
      <c r="D3" s="686"/>
      <c r="E3" s="686"/>
      <c r="F3" s="686"/>
      <c r="G3" s="686"/>
      <c r="H3" s="686"/>
      <c r="I3" s="686"/>
      <c r="J3" s="686"/>
      <c r="K3" s="686"/>
    </row>
    <row r="4" spans="1:11" ht="24.95" customHeight="1">
      <c r="A4" s="323"/>
      <c r="B4" s="311"/>
      <c r="C4" s="691" t="s">
        <v>67</v>
      </c>
      <c r="D4" s="692"/>
      <c r="E4" s="692"/>
      <c r="F4" s="693"/>
      <c r="G4" s="683" t="s">
        <v>258</v>
      </c>
      <c r="H4" s="683"/>
      <c r="I4" s="683"/>
      <c r="J4" s="683"/>
      <c r="K4" s="684"/>
    </row>
    <row r="5" spans="1:11" ht="25.5">
      <c r="A5" s="328"/>
      <c r="B5" s="689" t="s">
        <v>254</v>
      </c>
      <c r="C5" s="312"/>
      <c r="D5" s="313"/>
      <c r="E5" s="314" t="s">
        <v>255</v>
      </c>
      <c r="F5" s="314" t="s">
        <v>240</v>
      </c>
      <c r="G5" s="315" t="s">
        <v>74</v>
      </c>
      <c r="H5" s="315" t="s">
        <v>241</v>
      </c>
      <c r="I5" s="315" t="s">
        <v>242</v>
      </c>
      <c r="J5" s="315" t="s">
        <v>256</v>
      </c>
      <c r="K5" s="315" t="s">
        <v>257</v>
      </c>
    </row>
    <row r="6" spans="1:11" ht="14.1" customHeight="1">
      <c r="A6" s="450" t="s">
        <v>253</v>
      </c>
      <c r="B6" s="690"/>
      <c r="C6" s="406" t="s">
        <v>294</v>
      </c>
      <c r="D6" s="404" t="s">
        <v>289</v>
      </c>
      <c r="E6" s="405" t="s">
        <v>295</v>
      </c>
      <c r="F6" s="405" t="s">
        <v>295</v>
      </c>
      <c r="G6" s="316" t="s">
        <v>292</v>
      </c>
      <c r="H6" s="317" t="s">
        <v>292</v>
      </c>
      <c r="I6" s="317" t="s">
        <v>292</v>
      </c>
      <c r="J6" s="317" t="s">
        <v>292</v>
      </c>
      <c r="K6" s="317" t="s">
        <v>292</v>
      </c>
    </row>
    <row r="7" spans="1:11" ht="15.95" customHeight="1">
      <c r="A7" s="402" t="s">
        <v>21</v>
      </c>
      <c r="B7" s="120">
        <f>'5.2'!D35</f>
        <v>418819</v>
      </c>
      <c r="C7" s="116">
        <f>'5.2'!E35</f>
        <v>122393.10456398761</v>
      </c>
      <c r="D7" s="120">
        <f>'5.2'!F35</f>
        <v>1306849.8777859921</v>
      </c>
      <c r="E7" s="122">
        <f>C7/$C$11</f>
        <v>8.3214837505407757E-2</v>
      </c>
      <c r="F7" s="122">
        <f>'5.2'!H35</f>
        <v>-9.2843821408921043E-2</v>
      </c>
      <c r="G7" s="125">
        <f>AVERAGE('5.6'!G7,'5.7'!G7,'5.8'!G7)</f>
        <v>14.081577060931901</v>
      </c>
      <c r="H7" s="125">
        <f>MAX('5.6'!H7,'5.7'!H7,'5.8'!H7)</f>
        <v>24.3</v>
      </c>
      <c r="I7" s="125">
        <f>MIN('5.6'!I7,'5.7'!I7,'5.8'!I7)</f>
        <v>2.2999999999999998</v>
      </c>
      <c r="J7" s="125">
        <f>AVERAGE('5.6'!J7,'5.7'!J7,'5.8'!J7)</f>
        <v>13.166666666666666</v>
      </c>
      <c r="K7" s="451">
        <f>G7-J7</f>
        <v>0.91491039426523457</v>
      </c>
    </row>
    <row r="8" spans="1:11" ht="15.95" customHeight="1">
      <c r="A8" s="403" t="s">
        <v>104</v>
      </c>
      <c r="B8" s="115">
        <f>'5.3'!D35</f>
        <v>2287363</v>
      </c>
      <c r="C8" s="116">
        <f>'5.3'!E35</f>
        <v>1097764.471178235</v>
      </c>
      <c r="D8" s="115">
        <f>'5.3'!F35</f>
        <v>11733996.010359999</v>
      </c>
      <c r="E8" s="118">
        <f t="shared" ref="E8:E10" si="0">C8/$C$11</f>
        <v>0.74636796258851656</v>
      </c>
      <c r="F8" s="118">
        <f>'5.3'!H35</f>
        <v>-9.3831341354848996E-2</v>
      </c>
      <c r="G8" s="125">
        <f>AVERAGE('5.6'!G8,'5.7'!G8,'5.8'!G8)</f>
        <v>12.421977299880524</v>
      </c>
      <c r="H8" s="126">
        <f>MAX('5.6'!H8,'5.7'!H8,'5.8'!H8)</f>
        <v>21.683333333333337</v>
      </c>
      <c r="I8" s="126">
        <f>MIN('5.6'!I8,'5.7'!I8,'5.8'!I8)</f>
        <v>0.18333333333333335</v>
      </c>
      <c r="J8" s="126">
        <f>AVERAGE('5.6'!J8,'5.7'!J8,'5.8'!J8)</f>
        <v>12.144444444444446</v>
      </c>
      <c r="K8" s="125">
        <f t="shared" ref="K8:K11" si="1">G8-J8</f>
        <v>0.27753285543607831</v>
      </c>
    </row>
    <row r="9" spans="1:11" ht="15.95" customHeight="1">
      <c r="A9" s="403" t="s">
        <v>22</v>
      </c>
      <c r="B9" s="115">
        <f>'5.4'!D35</f>
        <v>114358</v>
      </c>
      <c r="C9" s="116">
        <f>'5.4'!E35</f>
        <v>54022.703020000001</v>
      </c>
      <c r="D9" s="115">
        <f>'5.4'!F35</f>
        <v>577030.91650000005</v>
      </c>
      <c r="E9" s="118">
        <f t="shared" si="0"/>
        <v>3.6729932371818715E-2</v>
      </c>
      <c r="F9" s="118">
        <f>'5.4'!H35</f>
        <v>-6.2912900180379872E-2</v>
      </c>
      <c r="G9" s="125">
        <f>AVERAGE('5.6'!G9,'5.7'!G9,'5.8'!G9)</f>
        <v>12.110788530465948</v>
      </c>
      <c r="H9" s="126">
        <f>MAX('5.6'!H9,'5.7'!H9,'5.8'!H9)</f>
        <v>22</v>
      </c>
      <c r="I9" s="126">
        <f>MIN('5.6'!I9,'5.7'!I9,'5.8'!I9)</f>
        <v>-0.3</v>
      </c>
      <c r="J9" s="126">
        <f>AVERAGE('5.6'!J9,'5.7'!J9,'5.8'!J9)</f>
        <v>11.566666666666668</v>
      </c>
      <c r="K9" s="125">
        <f t="shared" si="1"/>
        <v>0.54412186379927974</v>
      </c>
    </row>
    <row r="10" spans="1:11" ht="15.95" customHeight="1">
      <c r="A10" s="403" t="s">
        <v>36</v>
      </c>
      <c r="B10" s="115">
        <f>'5.5'!D35</f>
        <v>8213</v>
      </c>
      <c r="C10" s="116">
        <f>'5.5'!E35</f>
        <v>196628.39230000001</v>
      </c>
      <c r="D10" s="115">
        <f>'5.5'!F35</f>
        <v>2102018.485419</v>
      </c>
      <c r="E10" s="118">
        <f t="shared" si="0"/>
        <v>0.13368726753425675</v>
      </c>
      <c r="F10" s="118">
        <f>'5.5'!H35</f>
        <v>0.48875374355008805</v>
      </c>
      <c r="G10" s="125">
        <f>AVERAGE('5.6'!G10,'5.7'!G10,'5.8'!G10)</f>
        <v>12.429999999999998</v>
      </c>
      <c r="H10" s="126">
        <f>MAX('5.6'!H10,'5.7'!H10,'5.8'!H10)</f>
        <v>21.9</v>
      </c>
      <c r="I10" s="126">
        <f>MIN('5.6'!I10,'5.7'!I10,'5.8'!I10)</f>
        <v>0.1</v>
      </c>
      <c r="J10" s="126">
        <f>AVERAGE('5.6'!J10,'5.7'!J10,'5.8'!J10)</f>
        <v>12.916415770609319</v>
      </c>
      <c r="K10" s="125">
        <f t="shared" si="1"/>
        <v>-0.48641577060932129</v>
      </c>
    </row>
    <row r="11" spans="1:11" ht="15.95" customHeight="1">
      <c r="A11" s="452" t="s">
        <v>3</v>
      </c>
      <c r="B11" s="366">
        <f>'5.1'!D36</f>
        <v>2828753</v>
      </c>
      <c r="C11" s="367">
        <f>'5.1'!E36</f>
        <v>1470808.6710622229</v>
      </c>
      <c r="D11" s="366">
        <f>'5.1'!F36</f>
        <v>15719895.290064989</v>
      </c>
      <c r="E11" s="370">
        <f t="shared" ref="E11" si="2">SUM(E7:E10)</f>
        <v>0.99999999999999978</v>
      </c>
      <c r="F11" s="370">
        <f>'5.1'!H36</f>
        <v>-4.2492165855379606E-2</v>
      </c>
      <c r="G11" s="373">
        <f>AVERAGE('5.6'!G11,'5.7'!G11,'5.8'!G11)</f>
        <v>12.429999999999998</v>
      </c>
      <c r="H11" s="374">
        <f>MAX('5.6'!H11,'5.7'!H11,'5.8'!H11)</f>
        <v>21.9</v>
      </c>
      <c r="I11" s="374">
        <f>MIN('5.6'!I11,'5.7'!I11,'5.8'!I11)</f>
        <v>0.1</v>
      </c>
      <c r="J11" s="374">
        <f>AVERAGE('5.6'!J11,'5.7'!J11,'5.8'!J11)</f>
        <v>12.916415770609319</v>
      </c>
      <c r="K11" s="375">
        <f t="shared" si="1"/>
        <v>-0.48641577060932129</v>
      </c>
    </row>
    <row r="12" spans="1:11" ht="15" customHeight="1">
      <c r="A12" s="207"/>
      <c r="B12" s="208"/>
      <c r="C12" s="695" t="s">
        <v>216</v>
      </c>
      <c r="D12" s="695"/>
      <c r="E12" s="695"/>
      <c r="F12" s="695"/>
      <c r="G12" s="698" t="s">
        <v>132</v>
      </c>
      <c r="H12" s="698"/>
      <c r="I12" s="698"/>
      <c r="J12" s="698"/>
      <c r="K12" s="698"/>
    </row>
    <row r="13" spans="1:11" ht="15" customHeight="1">
      <c r="A13" s="114"/>
      <c r="B13" s="114"/>
      <c r="C13" s="681"/>
      <c r="D13" s="681"/>
      <c r="E13" s="681"/>
      <c r="F13" s="681"/>
      <c r="G13" s="699" t="s">
        <v>133</v>
      </c>
      <c r="H13" s="699"/>
      <c r="I13" s="699"/>
      <c r="J13" s="699"/>
      <c r="K13" s="699"/>
    </row>
    <row r="14" spans="1:11" ht="15" customHeight="1">
      <c r="A14" s="114"/>
      <c r="B14" s="114"/>
      <c r="C14" s="192"/>
      <c r="D14" s="192"/>
      <c r="E14" s="192"/>
      <c r="F14" s="192"/>
      <c r="G14" s="193"/>
      <c r="H14" s="193"/>
      <c r="I14" s="193"/>
      <c r="J14" s="193"/>
      <c r="K14" s="193"/>
    </row>
    <row r="15" spans="1:11" ht="15" customHeight="1">
      <c r="A15" s="114"/>
      <c r="B15" s="114"/>
      <c r="C15" s="114"/>
      <c r="D15" s="242"/>
      <c r="E15" s="243"/>
      <c r="F15" s="243"/>
      <c r="G15" s="114"/>
      <c r="H15" s="240"/>
      <c r="I15" s="193"/>
      <c r="J15" s="114"/>
      <c r="K15" s="114"/>
    </row>
    <row r="16" spans="1:11" ht="18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15" customHeight="1">
      <c r="A17" s="647" t="s">
        <v>306</v>
      </c>
      <c r="B17" s="647"/>
      <c r="C17" s="647"/>
      <c r="D17" s="647"/>
      <c r="E17" s="647"/>
      <c r="F17" s="647" t="s">
        <v>224</v>
      </c>
      <c r="G17" s="647"/>
      <c r="H17" s="647"/>
      <c r="I17" s="647"/>
      <c r="J17" s="647"/>
      <c r="K17" s="647"/>
    </row>
    <row r="18" spans="1:11" ht="15" customHeight="1">
      <c r="A18" s="409"/>
      <c r="B18" s="648" t="str">
        <f>C3</f>
        <v>II. čtvrtletí</v>
      </c>
      <c r="C18" s="648"/>
      <c r="D18" s="409"/>
      <c r="E18" s="409"/>
      <c r="F18" s="409"/>
      <c r="G18" s="409"/>
      <c r="H18" s="648" t="str">
        <f>C3</f>
        <v>II. čtvrtletí</v>
      </c>
      <c r="I18" s="648"/>
      <c r="J18" s="409"/>
      <c r="K18" s="409"/>
    </row>
    <row r="19" spans="1:11" ht="15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 ht="1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 ht="1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 ht="15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 ht="15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 ht="15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 ht="1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 ht="1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ht="15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ht="1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ht="1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 customHeight="1">
      <c r="A34" s="647" t="s">
        <v>78</v>
      </c>
      <c r="B34" s="647"/>
      <c r="C34" s="647"/>
      <c r="D34" s="647"/>
      <c r="E34" s="647"/>
      <c r="F34" s="697" t="s">
        <v>79</v>
      </c>
      <c r="G34" s="697"/>
      <c r="H34" s="697"/>
      <c r="I34" s="697"/>
      <c r="J34" s="697"/>
      <c r="K34" s="697"/>
    </row>
    <row r="35" spans="1:11" ht="15" customHeight="1">
      <c r="A35" s="409"/>
      <c r="B35" s="648" t="str">
        <f>C3</f>
        <v>II. čtvrtletí</v>
      </c>
      <c r="C35" s="648"/>
      <c r="D35" s="409"/>
      <c r="E35" s="410"/>
      <c r="F35" s="697"/>
      <c r="G35" s="697"/>
      <c r="H35" s="697"/>
      <c r="I35" s="697"/>
      <c r="J35" s="697"/>
      <c r="K35" s="697"/>
    </row>
    <row r="36" spans="1:11" ht="15" customHeight="1">
      <c r="A36" s="409"/>
      <c r="B36" s="409"/>
      <c r="C36" s="409"/>
      <c r="D36" s="409"/>
      <c r="E36" s="411"/>
      <c r="F36" s="411"/>
      <c r="G36" s="411"/>
      <c r="H36" s="700" t="str">
        <f>C3</f>
        <v>II. čtvrtletí</v>
      </c>
      <c r="I36" s="700"/>
      <c r="J36" s="411"/>
      <c r="K36" s="411"/>
    </row>
    <row r="37" spans="1:11" ht="1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3:B3"/>
    <mergeCell ref="C4:F4"/>
    <mergeCell ref="A2:B2"/>
    <mergeCell ref="A1:K1"/>
    <mergeCell ref="G4:K4"/>
    <mergeCell ref="C3:K3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E47"/>
  <sheetViews>
    <sheetView showGridLines="0" zoomScaleNormal="100" zoomScaleSheetLayoutView="100" workbookViewId="0"/>
  </sheetViews>
  <sheetFormatPr defaultColWidth="9.140625" defaultRowHeight="12.75"/>
  <cols>
    <col min="1" max="1" width="4.7109375" style="18" customWidth="1"/>
    <col min="2" max="2" width="90.5703125" style="17" customWidth="1"/>
    <col min="3" max="3" width="3.28515625" style="2" bestFit="1" customWidth="1"/>
    <col min="4" max="4" width="9.140625" style="2" customWidth="1"/>
    <col min="5" max="5" width="9.140625" style="2" hidden="1" customWidth="1"/>
    <col min="6" max="16384" width="9.140625" style="2"/>
  </cols>
  <sheetData>
    <row r="1" spans="1:5" ht="18.75">
      <c r="A1" s="16" t="s">
        <v>143</v>
      </c>
    </row>
    <row r="2" spans="1:5" ht="6" customHeight="1"/>
    <row r="3" spans="1:5" ht="15">
      <c r="A3" s="197" t="str">
        <f>MID(E3,1,2+IF(MID(E3,3,1)&lt;&gt;" ",IF(MID(E3,4,1)&lt;&gt;" ",IF(MID(E3,5,1)&lt;&gt;" ",3,2),1),0))</f>
        <v>1.</v>
      </c>
      <c r="B3" s="198" t="str">
        <f>MID(E3,4+IF(MID(E3,3,1)&lt;&gt;" ",IF(MID(E3,4,1)&lt;&gt;" ",IF(MID(E3,5,1)&lt;&gt;" ",3,2),1),0),100)</f>
        <v>Zkratky a pojmy</v>
      </c>
      <c r="C3" s="199">
        <v>4</v>
      </c>
      <c r="E3" s="203" t="str">
        <f>'1'!A1</f>
        <v>1. Zkratky a pojmy</v>
      </c>
    </row>
    <row r="4" spans="1:5" ht="15">
      <c r="A4" s="197" t="str">
        <f t="shared" ref="A4:A36" si="0">MID(E4,1,2+IF(MID(E4,3,1)&lt;&gt;" ",IF(MID(E4,4,1)&lt;&gt;" ",IF(MID(E4,5,1)&lt;&gt;" ",3,2),1),0))</f>
        <v>2.</v>
      </c>
      <c r="B4" s="198" t="str">
        <f t="shared" ref="B4:B36" si="1">MID(E4,4+IF(MID(E4,3,1)&lt;&gt;" ",IF(MID(E4,4,1)&lt;&gt;" ",IF(MID(E4,5,1)&lt;&gt;" ",3,2),1),0),100)</f>
        <v>Komentář</v>
      </c>
      <c r="C4" s="199">
        <v>6</v>
      </c>
      <c r="E4" s="203" t="str">
        <f>'2'!A1</f>
        <v>2. Komentář</v>
      </c>
    </row>
    <row r="5" spans="1:5" ht="15">
      <c r="A5" s="197" t="str">
        <f t="shared" si="0"/>
        <v>3.</v>
      </c>
      <c r="B5" s="198" t="str">
        <f t="shared" si="1"/>
        <v>Plynárenská soustava</v>
      </c>
      <c r="C5" s="199">
        <v>7</v>
      </c>
      <c r="E5" s="203" t="str">
        <f>'3.1'!A1</f>
        <v>3. Plynárenská soustava</v>
      </c>
    </row>
    <row r="6" spans="1:5" ht="15">
      <c r="A6" s="200" t="str">
        <f t="shared" si="0"/>
        <v>3.1.</v>
      </c>
      <c r="B6" s="201" t="str">
        <f t="shared" si="1"/>
        <v>Čtvrtletní bilance plynárenské soustavy ČR</v>
      </c>
      <c r="C6" s="202">
        <v>7</v>
      </c>
      <c r="E6" s="204" t="str">
        <f>'3.1'!A2</f>
        <v>3.1. Čtvrtletní bilance plynárenské soustavy ČR</v>
      </c>
    </row>
    <row r="7" spans="1:5" ht="15">
      <c r="A7" s="200" t="str">
        <f t="shared" si="0"/>
        <v>3.2.</v>
      </c>
      <c r="B7" s="201" t="str">
        <f t="shared" si="1"/>
        <v>Bilance plynárenské soustavy ČR v průběhu roku</v>
      </c>
      <c r="C7" s="202">
        <v>8</v>
      </c>
      <c r="E7" s="204" t="str">
        <f>'3.2'!A1</f>
        <v>3.2. Bilance plynárenské soustavy ČR v průběhu roku</v>
      </c>
    </row>
    <row r="8" spans="1:5" ht="15">
      <c r="A8" s="197" t="str">
        <f t="shared" si="0"/>
        <v>4.</v>
      </c>
      <c r="B8" s="198" t="str">
        <f t="shared" si="1"/>
        <v>Spotřeba zemního plynu</v>
      </c>
      <c r="C8" s="199">
        <v>9</v>
      </c>
      <c r="E8" s="203" t="str">
        <f>'4.1'!A1</f>
        <v>4. Spotřeba zemního plynu</v>
      </c>
    </row>
    <row r="9" spans="1:5" ht="15">
      <c r="A9" s="200" t="str">
        <f t="shared" ref="A9" si="2">MID(E9,1,2+IF(MID(E9,3,1)&lt;&gt;" ",IF(MID(E9,4,1)&lt;&gt;" ",IF(MID(E9,5,1)&lt;&gt;" ",3,2),1),0))</f>
        <v>4.1.</v>
      </c>
      <c r="B9" s="201" t="str">
        <f t="shared" ref="B9" si="3">MID(E9,4+IF(MID(E9,3,1)&lt;&gt;" ",IF(MID(E9,4,1)&lt;&gt;" ",IF(MID(E9,5,1)&lt;&gt;" ",3,2),1),0),100)</f>
        <v>Spotřeba zemního plynu v ČR v průběhu roku</v>
      </c>
      <c r="C9" s="202">
        <v>9</v>
      </c>
      <c r="E9" s="203" t="str">
        <f>'4.1'!A2</f>
        <v>4.1. Spotřeba zemního plynu v ČR v průběhu roku</v>
      </c>
    </row>
    <row r="10" spans="1:5" ht="15">
      <c r="A10" s="200" t="str">
        <f t="shared" si="0"/>
        <v>4.2.</v>
      </c>
      <c r="B10" s="201" t="str">
        <f t="shared" si="1"/>
        <v>Spotřeba zemního plynu v ČR podle kategorií zákazníků v průběhu roku</v>
      </c>
      <c r="C10" s="202">
        <v>10</v>
      </c>
      <c r="E10" s="204" t="str">
        <f>'4.2'!A1</f>
        <v>4.2. Spotřeba zemního plynu v ČR podle kategorií zákazníků v průběhu roku</v>
      </c>
    </row>
    <row r="11" spans="1:5" ht="15">
      <c r="A11" s="200" t="str">
        <f t="shared" si="0"/>
        <v>4.3.</v>
      </c>
      <c r="B11" s="201" t="str">
        <f t="shared" si="1"/>
        <v>Denní průběh spotřeb zemního plynu v ČR</v>
      </c>
      <c r="C11" s="202">
        <v>11</v>
      </c>
      <c r="E11" s="204" t="str">
        <f>'4.3'!A1</f>
        <v>4.3. Denní průběh spotřeb zemního plynu v ČR</v>
      </c>
    </row>
    <row r="12" spans="1:5" ht="15">
      <c r="A12" s="197" t="str">
        <f t="shared" si="0"/>
        <v>5.</v>
      </c>
      <c r="B12" s="198" t="str">
        <f t="shared" si="1"/>
        <v>Spotřeba zemního plynu podle distribučních soustav</v>
      </c>
      <c r="C12" s="199">
        <v>12</v>
      </c>
      <c r="E12" s="203" t="str">
        <f>'5.1'!A1</f>
        <v>5. Spotřeba zemního plynu podle distribučních soustav</v>
      </c>
    </row>
    <row r="13" spans="1:5" ht="15">
      <c r="A13" s="200" t="str">
        <f t="shared" si="0"/>
        <v>5.1.</v>
      </c>
      <c r="B13" s="201" t="str">
        <f t="shared" si="1"/>
        <v>Spotřeba zemního plynu podle kategorií zákazníků v ČR</v>
      </c>
      <c r="C13" s="202">
        <v>12</v>
      </c>
      <c r="E13" s="204" t="str">
        <f>'5.1'!A2</f>
        <v>5.1. Spotřeba zemního plynu podle kategorií zákazníků v ČR</v>
      </c>
    </row>
    <row r="14" spans="1:5" ht="15">
      <c r="A14" s="200" t="str">
        <f t="shared" ref="A14:A17" si="4">MID(E14,1,2+IF(MID(E14,3,1)&lt;&gt;" ",IF(MID(E14,4,1)&lt;&gt;" ",IF(MID(E14,5,1)&lt;&gt;" ",3,2),1),0))</f>
        <v>5.2.</v>
      </c>
      <c r="B14" s="201" t="str">
        <f t="shared" ref="B14:B17" si="5">MID(E14,4+IF(MID(E14,3,1)&lt;&gt;" ",IF(MID(E14,4,1)&lt;&gt;" ",IF(MID(E14,5,1)&lt;&gt;" ",3,2),1),0),100)</f>
        <v>Spotřeba zemního plynu u společnosti PP Distribuce</v>
      </c>
      <c r="C14" s="202">
        <v>13</v>
      </c>
      <c r="E14" s="265" t="str">
        <f>'5.2'!A1</f>
        <v>5.2. Spotřeba zemního plynu u společnosti PP Distribuce</v>
      </c>
    </row>
    <row r="15" spans="1:5" ht="15">
      <c r="A15" s="200" t="str">
        <f t="shared" si="4"/>
        <v>5.3.</v>
      </c>
      <c r="B15" s="201" t="str">
        <f t="shared" si="5"/>
        <v>Spotřeba zemního plynu u společnosti GasNet</v>
      </c>
      <c r="C15" s="202">
        <v>14</v>
      </c>
      <c r="E15" s="266" t="str">
        <f>'5.3'!A1</f>
        <v>5.3. Spotřeba zemního plynu u společnosti GasNet</v>
      </c>
    </row>
    <row r="16" spans="1:5" ht="15">
      <c r="A16" s="200" t="str">
        <f t="shared" si="4"/>
        <v>5.4.</v>
      </c>
      <c r="B16" s="201" t="str">
        <f t="shared" si="5"/>
        <v>Spotřeba zemního plynu u společnosti E.ON Distribuce</v>
      </c>
      <c r="C16" s="202">
        <v>15</v>
      </c>
      <c r="E16" s="266" t="str">
        <f>'5.4'!A1</f>
        <v>5.4. Spotřeba zemního plynu u společnosti E.ON Distribuce</v>
      </c>
    </row>
    <row r="17" spans="1:5" ht="15">
      <c r="A17" s="200" t="str">
        <f t="shared" si="4"/>
        <v>5.5.</v>
      </c>
      <c r="B17" s="201" t="str">
        <f t="shared" si="5"/>
        <v>Spotřeba zemního plynu u ostatních společností</v>
      </c>
      <c r="C17" s="202">
        <v>16</v>
      </c>
      <c r="E17" s="266" t="str">
        <f>'5.5'!A1</f>
        <v>5.5. Spotřeba zemního plynu u ostatních společností</v>
      </c>
    </row>
    <row r="18" spans="1:5" ht="15">
      <c r="A18" s="200" t="str">
        <f t="shared" si="0"/>
        <v>5.6.</v>
      </c>
      <c r="B18" s="201" t="str">
        <f t="shared" si="1"/>
        <v>Spotřeba zemního plynu a teplota ovzduší: duben</v>
      </c>
      <c r="C18" s="202">
        <v>17</v>
      </c>
      <c r="E18" s="204" t="str">
        <f>'5.6'!A1</f>
        <v>5.6. Spotřeba zemního plynu a teplota ovzduší: duben</v>
      </c>
    </row>
    <row r="19" spans="1:5" ht="15">
      <c r="A19" s="200" t="str">
        <f t="shared" ref="A19:A21" si="6">MID(E19,1,2+IF(MID(E19,3,1)&lt;&gt;" ",IF(MID(E19,4,1)&lt;&gt;" ",IF(MID(E19,5,1)&lt;&gt;" ",3,2),1),0))</f>
        <v>5.7.</v>
      </c>
      <c r="B19" s="201" t="str">
        <f t="shared" ref="B19:B21" si="7">MID(E19,4+IF(MID(E19,3,1)&lt;&gt;" ",IF(MID(E19,4,1)&lt;&gt;" ",IF(MID(E19,5,1)&lt;&gt;" ",3,2),1),0),100)</f>
        <v>Spotřeba zemního plynu a teplota ovzduší: květen</v>
      </c>
      <c r="C19" s="202">
        <v>18</v>
      </c>
      <c r="E19" s="204" t="str">
        <f>'5.7'!A1</f>
        <v>5.7. Spotřeba zemního plynu a teplota ovzduší: květen</v>
      </c>
    </row>
    <row r="20" spans="1:5" ht="15">
      <c r="A20" s="200" t="str">
        <f t="shared" si="6"/>
        <v>5.8.</v>
      </c>
      <c r="B20" s="201" t="str">
        <f t="shared" si="7"/>
        <v>Spotřeba zemního plynu a teplota ovzduší: červen</v>
      </c>
      <c r="C20" s="202">
        <v>19</v>
      </c>
      <c r="E20" s="204" t="str">
        <f>'5.8'!A1</f>
        <v>5.8. Spotřeba zemního plynu a teplota ovzduší: červen</v>
      </c>
    </row>
    <row r="21" spans="1:5" ht="15">
      <c r="A21" s="200" t="str">
        <f t="shared" si="6"/>
        <v>5.9.</v>
      </c>
      <c r="B21" s="201" t="str">
        <f t="shared" si="7"/>
        <v>Spotřeba zemního plynu a teplota ovzduší: II. čtvrtletí</v>
      </c>
      <c r="C21" s="202">
        <v>20</v>
      </c>
      <c r="E21" s="204" t="str">
        <f>'5.9'!A1</f>
        <v>5.9. Spotřeba zemního plynu a teplota ovzduší: II. čtvrtletí</v>
      </c>
    </row>
    <row r="22" spans="1:5" ht="15">
      <c r="A22" s="200" t="str">
        <f t="shared" si="0"/>
        <v>5.10.</v>
      </c>
      <c r="B22" s="201" t="str">
        <f t="shared" si="1"/>
        <v>Spotřeba zemního plynu podle plynárenských soustav v průběhu roku</v>
      </c>
      <c r="C22" s="202">
        <v>21</v>
      </c>
      <c r="E22" s="204" t="str">
        <f>'5.10'!A1</f>
        <v>5.10. Spotřeba zemního plynu podle plynárenských soustav v průběhu roku</v>
      </c>
    </row>
    <row r="23" spans="1:5" ht="15">
      <c r="A23" s="197" t="str">
        <f t="shared" si="0"/>
        <v>6.</v>
      </c>
      <c r="B23" s="198" t="str">
        <f t="shared" si="1"/>
        <v>Spotřeba zemního plynu podle krajů</v>
      </c>
      <c r="C23" s="199">
        <v>22</v>
      </c>
      <c r="E23" s="203" t="str">
        <f>'6.1'!A1</f>
        <v>6. Spotřeba zemního plynu podle krajů</v>
      </c>
    </row>
    <row r="24" spans="1:5" ht="15">
      <c r="A24" s="200" t="str">
        <f t="shared" si="0"/>
        <v>6.1.</v>
      </c>
      <c r="B24" s="201" t="str">
        <f t="shared" si="1"/>
        <v>Spotřeba zemního plynu: Jihočeský a Jihomoravský kraj</v>
      </c>
      <c r="C24" s="202">
        <v>22</v>
      </c>
      <c r="E24" s="204" t="str">
        <f>'6.1'!A2</f>
        <v>6.1. Spotřeba zemního plynu: Jihočeský a Jihomoravský kraj</v>
      </c>
    </row>
    <row r="25" spans="1:5" ht="15">
      <c r="A25" s="200" t="str">
        <f t="shared" ref="A25:A30" si="8">MID(E25,1,2+IF(MID(E25,3,1)&lt;&gt;" ",IF(MID(E25,4,1)&lt;&gt;" ",IF(MID(E25,5,1)&lt;&gt;" ",3,2),1),0))</f>
        <v>6.2.</v>
      </c>
      <c r="B25" s="201" t="str">
        <f t="shared" ref="B25:B30" si="9">MID(E25,4+IF(MID(E25,3,1)&lt;&gt;" ",IF(MID(E25,4,1)&lt;&gt;" ",IF(MID(E25,5,1)&lt;&gt;" ",3,2),1),0),100)</f>
        <v>Spotřeba zemního plynu: Karlovarský a Královéhradecký kraj</v>
      </c>
      <c r="C25" s="202">
        <v>23</v>
      </c>
      <c r="E25" s="204" t="str">
        <f>'6.2'!A1</f>
        <v>6.2. Spotřeba zemního plynu: Karlovarský a Královéhradecký kraj</v>
      </c>
    </row>
    <row r="26" spans="1:5" ht="15">
      <c r="A26" s="200" t="str">
        <f t="shared" si="8"/>
        <v>6.3.</v>
      </c>
      <c r="B26" s="201" t="str">
        <f t="shared" si="9"/>
        <v>Spotřeba zemního plynu: Liberecký a Moravskoslezský kraj</v>
      </c>
      <c r="C26" s="202">
        <v>24</v>
      </c>
      <c r="E26" s="204" t="str">
        <f>'6.3'!A1</f>
        <v>6.3. Spotřeba zemního plynu: Liberecký a Moravskoslezský kraj</v>
      </c>
    </row>
    <row r="27" spans="1:5" ht="15">
      <c r="A27" s="200" t="str">
        <f t="shared" si="8"/>
        <v>6.4.</v>
      </c>
      <c r="B27" s="201" t="str">
        <f t="shared" si="9"/>
        <v>Spotřeba zemního plynu: Olomoucký a Pardubický kraj</v>
      </c>
      <c r="C27" s="202">
        <v>25</v>
      </c>
      <c r="E27" s="204" t="str">
        <f>'6.4'!A1</f>
        <v>6.4. Spotřeba zemního plynu: Olomoucký a Pardubický kraj</v>
      </c>
    </row>
    <row r="28" spans="1:5" ht="15">
      <c r="A28" s="200" t="str">
        <f t="shared" si="8"/>
        <v>6.5.</v>
      </c>
      <c r="B28" s="201" t="str">
        <f t="shared" si="9"/>
        <v>Spotřeba zemního plynu: Plzeňský kraj a Hlavní město Praha</v>
      </c>
      <c r="C28" s="202">
        <v>26</v>
      </c>
      <c r="E28" s="204" t="str">
        <f>'6.5'!A1</f>
        <v>6.5. Spotřeba zemního plynu: Plzeňský kraj a Hlavní město Praha</v>
      </c>
    </row>
    <row r="29" spans="1:5" ht="15">
      <c r="A29" s="200" t="str">
        <f t="shared" si="8"/>
        <v>6.6.</v>
      </c>
      <c r="B29" s="201" t="str">
        <f t="shared" si="9"/>
        <v>Spotřeba zemního plynu: Středočeský a Ústecký kraj</v>
      </c>
      <c r="C29" s="202">
        <v>27</v>
      </c>
      <c r="E29" s="204" t="str">
        <f>'6.6'!A1</f>
        <v>6.6. Spotřeba zemního plynu: Středočeský a Ústecký kraj</v>
      </c>
    </row>
    <row r="30" spans="1:5" ht="15">
      <c r="A30" s="200" t="str">
        <f t="shared" si="8"/>
        <v>6.7.</v>
      </c>
      <c r="B30" s="201" t="str">
        <f t="shared" si="9"/>
        <v>Spotřeba zemního plynu: Kraj Vysočina a Zlínský kraj</v>
      </c>
      <c r="C30" s="202">
        <v>28</v>
      </c>
      <c r="E30" s="204" t="str">
        <f>'6.7'!A1</f>
        <v>6.7. Spotřeba zemního plynu: Kraj Vysočina a Zlínský kraj</v>
      </c>
    </row>
    <row r="31" spans="1:5" ht="15">
      <c r="A31" s="200" t="str">
        <f t="shared" si="0"/>
        <v>6.8.</v>
      </c>
      <c r="B31" s="201" t="str">
        <f t="shared" si="1"/>
        <v>Spotřeba zemního plynu a teplota ovzduší podle krajů: duben</v>
      </c>
      <c r="C31" s="202">
        <v>29</v>
      </c>
      <c r="E31" s="204" t="str">
        <f>'6.8'!A1</f>
        <v>6.8. Spotřeba zemního plynu a teplota ovzduší podle krajů: duben</v>
      </c>
    </row>
    <row r="32" spans="1:5" ht="15">
      <c r="A32" s="200" t="str">
        <f t="shared" ref="A32:A34" si="10">MID(E32,1,2+IF(MID(E32,3,1)&lt;&gt;" ",IF(MID(E32,4,1)&lt;&gt;" ",IF(MID(E32,5,1)&lt;&gt;" ",3,2),1),0))</f>
        <v>6.9.</v>
      </c>
      <c r="B32" s="201" t="str">
        <f t="shared" ref="B32:B34" si="11">MID(E32,4+IF(MID(E32,3,1)&lt;&gt;" ",IF(MID(E32,4,1)&lt;&gt;" ",IF(MID(E32,5,1)&lt;&gt;" ",3,2),1),0),100)</f>
        <v>Spotřeba zemního plynu a teplota ovzduší podle krajů: květen</v>
      </c>
      <c r="C32" s="202">
        <v>30</v>
      </c>
      <c r="E32" s="204" t="str">
        <f>'6.9'!A1</f>
        <v>6.9. Spotřeba zemního plynu a teplota ovzduší podle krajů: květen</v>
      </c>
    </row>
    <row r="33" spans="1:5" ht="15">
      <c r="A33" s="200" t="str">
        <f t="shared" si="10"/>
        <v>6.10.</v>
      </c>
      <c r="B33" s="201" t="str">
        <f t="shared" si="11"/>
        <v>Spotřeba zemního plynu a teplota ovzduší podle krajů: červen</v>
      </c>
      <c r="C33" s="202">
        <v>31</v>
      </c>
      <c r="E33" s="204" t="str">
        <f>'6.10'!A1</f>
        <v>6.10. Spotřeba zemního plynu a teplota ovzduší podle krajů: červen</v>
      </c>
    </row>
    <row r="34" spans="1:5" ht="15">
      <c r="A34" s="200" t="str">
        <f t="shared" si="10"/>
        <v>6.11.</v>
      </c>
      <c r="B34" s="201" t="str">
        <f t="shared" si="11"/>
        <v>Spotřeba zemního plynu a teplota ovzduší podle krajů: ii. čtvrtletí</v>
      </c>
      <c r="C34" s="202">
        <v>32</v>
      </c>
      <c r="E34" s="204" t="str">
        <f>'6.11'!A1</f>
        <v>6.11. Spotřeba zemního plynu a teplota ovzduší podle krajů: ii. čtvrtletí</v>
      </c>
    </row>
    <row r="35" spans="1:5" ht="15">
      <c r="A35" s="200" t="str">
        <f t="shared" si="0"/>
        <v>6.12.</v>
      </c>
      <c r="B35" s="201" t="str">
        <f t="shared" si="1"/>
        <v>Spotřeba zemního plynu podle krajů v ČR v průběhu roku</v>
      </c>
      <c r="C35" s="202">
        <v>33</v>
      </c>
      <c r="E35" s="204" t="str">
        <f>'6.12'!A1</f>
        <v>6.12. Spotřeba zemního plynu podle krajů v ČR v průběhu roku</v>
      </c>
    </row>
    <row r="36" spans="1:5" ht="15">
      <c r="A36" s="197" t="str">
        <f t="shared" si="0"/>
        <v>7.</v>
      </c>
      <c r="B36" s="198" t="str">
        <f t="shared" si="1"/>
        <v>Mapa přepravní soustavy a toky plynu v plynárenské soustavě</v>
      </c>
      <c r="C36" s="199">
        <v>35</v>
      </c>
      <c r="E36" s="203" t="str">
        <f>'7'!A1</f>
        <v>7. Mapa přepravní soustavy a toky plynu v plynárenské soustavě</v>
      </c>
    </row>
    <row r="37" spans="1:5" ht="12" customHeight="1">
      <c r="A37" s="2"/>
      <c r="B37" s="23"/>
    </row>
    <row r="38" spans="1:5" ht="12" customHeight="1">
      <c r="A38" s="2"/>
      <c r="B38" s="23"/>
    </row>
    <row r="39" spans="1:5" ht="12" customHeight="1">
      <c r="A39" s="2"/>
      <c r="B39" s="23"/>
    </row>
    <row r="40" spans="1:5" ht="12" customHeight="1">
      <c r="A40" s="2"/>
      <c r="B40" s="23"/>
    </row>
    <row r="41" spans="1:5" ht="12" customHeight="1">
      <c r="A41" s="2"/>
      <c r="B41" s="24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O43"/>
  <sheetViews>
    <sheetView showGridLines="0" zoomScaleNormal="100" zoomScaleSheetLayoutView="100" workbookViewId="0">
      <selection activeCell="A2" sqref="A2:I2"/>
    </sheetView>
  </sheetViews>
  <sheetFormatPr defaultRowHeight="11.25"/>
  <cols>
    <col min="1" max="1" width="10.7109375" style="81" customWidth="1"/>
    <col min="2" max="10" width="8.85546875" style="81" customWidth="1"/>
    <col min="11" max="11" width="9" style="81" customWidth="1"/>
    <col min="12" max="12" width="9.28515625" style="81" bestFit="1" customWidth="1"/>
    <col min="13" max="13" width="11.42578125" style="81" bestFit="1" customWidth="1"/>
    <col min="14" max="252" width="9.140625" style="81"/>
    <col min="253" max="265" width="10.7109375" style="81" customWidth="1"/>
    <col min="266" max="508" width="9.140625" style="81"/>
    <col min="509" max="521" width="10.7109375" style="81" customWidth="1"/>
    <col min="522" max="764" width="9.140625" style="81"/>
    <col min="765" max="777" width="10.7109375" style="81" customWidth="1"/>
    <col min="778" max="1020" width="9.140625" style="81"/>
    <col min="1021" max="1033" width="10.7109375" style="81" customWidth="1"/>
    <col min="1034" max="1276" width="9.140625" style="81"/>
    <col min="1277" max="1289" width="10.7109375" style="81" customWidth="1"/>
    <col min="1290" max="1532" width="9.140625" style="81"/>
    <col min="1533" max="1545" width="10.7109375" style="81" customWidth="1"/>
    <col min="1546" max="1788" width="9.140625" style="81"/>
    <col min="1789" max="1801" width="10.7109375" style="81" customWidth="1"/>
    <col min="1802" max="2044" width="9.140625" style="81"/>
    <col min="2045" max="2057" width="10.7109375" style="81" customWidth="1"/>
    <col min="2058" max="2300" width="9.140625" style="81"/>
    <col min="2301" max="2313" width="10.7109375" style="81" customWidth="1"/>
    <col min="2314" max="2556" width="9.140625" style="81"/>
    <col min="2557" max="2569" width="10.7109375" style="81" customWidth="1"/>
    <col min="2570" max="2812" width="9.140625" style="81"/>
    <col min="2813" max="2825" width="10.7109375" style="81" customWidth="1"/>
    <col min="2826" max="3068" width="9.140625" style="81"/>
    <col min="3069" max="3081" width="10.7109375" style="81" customWidth="1"/>
    <col min="3082" max="3324" width="9.140625" style="81"/>
    <col min="3325" max="3337" width="10.7109375" style="81" customWidth="1"/>
    <col min="3338" max="3580" width="9.140625" style="81"/>
    <col min="3581" max="3593" width="10.7109375" style="81" customWidth="1"/>
    <col min="3594" max="3836" width="9.140625" style="81"/>
    <col min="3837" max="3849" width="10.7109375" style="81" customWidth="1"/>
    <col min="3850" max="4092" width="9.140625" style="81"/>
    <col min="4093" max="4105" width="10.7109375" style="81" customWidth="1"/>
    <col min="4106" max="4348" width="9.140625" style="81"/>
    <col min="4349" max="4361" width="10.7109375" style="81" customWidth="1"/>
    <col min="4362" max="4604" width="9.140625" style="81"/>
    <col min="4605" max="4617" width="10.7109375" style="81" customWidth="1"/>
    <col min="4618" max="4860" width="9.140625" style="81"/>
    <col min="4861" max="4873" width="10.7109375" style="81" customWidth="1"/>
    <col min="4874" max="5116" width="9.140625" style="81"/>
    <col min="5117" max="5129" width="10.7109375" style="81" customWidth="1"/>
    <col min="5130" max="5372" width="9.140625" style="81"/>
    <col min="5373" max="5385" width="10.7109375" style="81" customWidth="1"/>
    <col min="5386" max="5628" width="9.140625" style="81"/>
    <col min="5629" max="5641" width="10.7109375" style="81" customWidth="1"/>
    <col min="5642" max="5884" width="9.140625" style="81"/>
    <col min="5885" max="5897" width="10.7109375" style="81" customWidth="1"/>
    <col min="5898" max="6140" width="9.140625" style="81"/>
    <col min="6141" max="6153" width="10.7109375" style="81" customWidth="1"/>
    <col min="6154" max="6396" width="9.140625" style="81"/>
    <col min="6397" max="6409" width="10.7109375" style="81" customWidth="1"/>
    <col min="6410" max="6652" width="9.140625" style="81"/>
    <col min="6653" max="6665" width="10.7109375" style="81" customWidth="1"/>
    <col min="6666" max="6908" width="9.140625" style="81"/>
    <col min="6909" max="6921" width="10.7109375" style="81" customWidth="1"/>
    <col min="6922" max="7164" width="9.140625" style="81"/>
    <col min="7165" max="7177" width="10.7109375" style="81" customWidth="1"/>
    <col min="7178" max="7420" width="9.140625" style="81"/>
    <col min="7421" max="7433" width="10.7109375" style="81" customWidth="1"/>
    <col min="7434" max="7676" width="9.140625" style="81"/>
    <col min="7677" max="7689" width="10.7109375" style="81" customWidth="1"/>
    <col min="7690" max="7932" width="9.140625" style="81"/>
    <col min="7933" max="7945" width="10.7109375" style="81" customWidth="1"/>
    <col min="7946" max="8188" width="9.140625" style="81"/>
    <col min="8189" max="8201" width="10.7109375" style="81" customWidth="1"/>
    <col min="8202" max="8444" width="9.140625" style="81"/>
    <col min="8445" max="8457" width="10.7109375" style="81" customWidth="1"/>
    <col min="8458" max="8700" width="9.140625" style="81"/>
    <col min="8701" max="8713" width="10.7109375" style="81" customWidth="1"/>
    <col min="8714" max="8956" width="9.140625" style="81"/>
    <col min="8957" max="8969" width="10.7109375" style="81" customWidth="1"/>
    <col min="8970" max="9212" width="9.140625" style="81"/>
    <col min="9213" max="9225" width="10.7109375" style="81" customWidth="1"/>
    <col min="9226" max="9468" width="9.140625" style="81"/>
    <col min="9469" max="9481" width="10.7109375" style="81" customWidth="1"/>
    <col min="9482" max="9724" width="9.140625" style="81"/>
    <col min="9725" max="9737" width="10.7109375" style="81" customWidth="1"/>
    <col min="9738" max="9980" width="9.140625" style="81"/>
    <col min="9981" max="9993" width="10.7109375" style="81" customWidth="1"/>
    <col min="9994" max="10236" width="9.140625" style="81"/>
    <col min="10237" max="10249" width="10.7109375" style="81" customWidth="1"/>
    <col min="10250" max="10492" width="9.140625" style="81"/>
    <col min="10493" max="10505" width="10.7109375" style="81" customWidth="1"/>
    <col min="10506" max="10748" width="9.140625" style="81"/>
    <col min="10749" max="10761" width="10.7109375" style="81" customWidth="1"/>
    <col min="10762" max="11004" width="9.140625" style="81"/>
    <col min="11005" max="11017" width="10.7109375" style="81" customWidth="1"/>
    <col min="11018" max="11260" width="9.140625" style="81"/>
    <col min="11261" max="11273" width="10.7109375" style="81" customWidth="1"/>
    <col min="11274" max="11516" width="9.140625" style="81"/>
    <col min="11517" max="11529" width="10.7109375" style="81" customWidth="1"/>
    <col min="11530" max="11772" width="9.140625" style="81"/>
    <col min="11773" max="11785" width="10.7109375" style="81" customWidth="1"/>
    <col min="11786" max="12028" width="9.140625" style="81"/>
    <col min="12029" max="12041" width="10.7109375" style="81" customWidth="1"/>
    <col min="12042" max="12284" width="9.140625" style="81"/>
    <col min="12285" max="12297" width="10.7109375" style="81" customWidth="1"/>
    <col min="12298" max="12540" width="9.140625" style="81"/>
    <col min="12541" max="12553" width="10.7109375" style="81" customWidth="1"/>
    <col min="12554" max="12796" width="9.140625" style="81"/>
    <col min="12797" max="12809" width="10.7109375" style="81" customWidth="1"/>
    <col min="12810" max="13052" width="9.140625" style="81"/>
    <col min="13053" max="13065" width="10.7109375" style="81" customWidth="1"/>
    <col min="13066" max="13308" width="9.140625" style="81"/>
    <col min="13309" max="13321" width="10.7109375" style="81" customWidth="1"/>
    <col min="13322" max="13564" width="9.140625" style="81"/>
    <col min="13565" max="13577" width="10.7109375" style="81" customWidth="1"/>
    <col min="13578" max="13820" width="9.140625" style="81"/>
    <col min="13821" max="13833" width="10.7109375" style="81" customWidth="1"/>
    <col min="13834" max="14076" width="9.140625" style="81"/>
    <col min="14077" max="14089" width="10.7109375" style="81" customWidth="1"/>
    <col min="14090" max="14332" width="9.140625" style="81"/>
    <col min="14333" max="14345" width="10.7109375" style="81" customWidth="1"/>
    <col min="14346" max="14588" width="9.140625" style="81"/>
    <col min="14589" max="14601" width="10.7109375" style="81" customWidth="1"/>
    <col min="14602" max="14844" width="9.140625" style="81"/>
    <col min="14845" max="14857" width="10.7109375" style="81" customWidth="1"/>
    <col min="14858" max="15100" width="9.140625" style="81"/>
    <col min="15101" max="15113" width="10.7109375" style="81" customWidth="1"/>
    <col min="15114" max="15356" width="9.140625" style="81"/>
    <col min="15357" max="15369" width="10.7109375" style="81" customWidth="1"/>
    <col min="15370" max="15612" width="9.140625" style="81"/>
    <col min="15613" max="15625" width="10.7109375" style="81" customWidth="1"/>
    <col min="15626" max="15868" width="9.140625" style="81"/>
    <col min="15869" max="15881" width="10.7109375" style="81" customWidth="1"/>
    <col min="15882" max="16124" width="9.140625" style="81"/>
    <col min="16125" max="16137" width="10.7109375" style="81" customWidth="1"/>
    <col min="16138" max="16384" width="9.140625" style="81"/>
  </cols>
  <sheetData>
    <row r="1" spans="1:15" ht="15.75">
      <c r="A1" s="609" t="s">
        <v>285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5" ht="6" customHeight="1">
      <c r="A2" s="701"/>
      <c r="B2" s="702"/>
      <c r="C2" s="702"/>
      <c r="D2" s="702"/>
      <c r="E2" s="702"/>
      <c r="F2" s="702"/>
      <c r="G2" s="702"/>
      <c r="H2" s="702"/>
      <c r="I2" s="702"/>
      <c r="J2" s="226"/>
      <c r="K2" s="225"/>
    </row>
    <row r="3" spans="1:15" ht="17.25" customHeight="1">
      <c r="A3" s="618">
        <f>'3.1'!D4</f>
        <v>2020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</row>
    <row r="4" spans="1:15" ht="20.100000000000001" customHeight="1">
      <c r="A4" s="453"/>
      <c r="B4" s="614" t="s">
        <v>297</v>
      </c>
      <c r="C4" s="615"/>
      <c r="D4" s="615"/>
      <c r="E4" s="615"/>
      <c r="F4" s="703"/>
      <c r="G4" s="614" t="s">
        <v>298</v>
      </c>
      <c r="H4" s="615"/>
      <c r="I4" s="615"/>
      <c r="J4" s="615"/>
      <c r="K4" s="615"/>
    </row>
    <row r="5" spans="1:15" ht="67.5" customHeight="1">
      <c r="A5" s="454" t="s">
        <v>225</v>
      </c>
      <c r="B5" s="318" t="s">
        <v>96</v>
      </c>
      <c r="C5" s="319" t="s">
        <v>107</v>
      </c>
      <c r="D5" s="319" t="s">
        <v>97</v>
      </c>
      <c r="E5" s="319" t="s">
        <v>98</v>
      </c>
      <c r="F5" s="544" t="s">
        <v>95</v>
      </c>
      <c r="G5" s="318" t="s">
        <v>96</v>
      </c>
      <c r="H5" s="319" t="s">
        <v>107</v>
      </c>
      <c r="I5" s="319" t="s">
        <v>97</v>
      </c>
      <c r="J5" s="320" t="s">
        <v>98</v>
      </c>
      <c r="K5" s="319" t="s">
        <v>95</v>
      </c>
    </row>
    <row r="6" spans="1:15" ht="18" customHeight="1">
      <c r="A6" s="455" t="s">
        <v>227</v>
      </c>
      <c r="B6" s="85">
        <v>136917.21535539071</v>
      </c>
      <c r="C6" s="85">
        <v>954758.51609770872</v>
      </c>
      <c r="D6" s="86">
        <v>45892.195999999996</v>
      </c>
      <c r="E6" s="456">
        <v>79164.196999999971</v>
      </c>
      <c r="F6" s="154">
        <v>1216732.1244530994</v>
      </c>
      <c r="G6" s="86">
        <v>1459302.3576599997</v>
      </c>
      <c r="H6" s="86">
        <v>10182055.67575</v>
      </c>
      <c r="I6" s="86">
        <v>490446.71398</v>
      </c>
      <c r="J6" s="129">
        <v>844049.88630858925</v>
      </c>
      <c r="K6" s="456">
        <v>12975854.63369859</v>
      </c>
      <c r="L6" s="82"/>
      <c r="M6" s="223"/>
      <c r="N6" s="223"/>
      <c r="O6" s="223"/>
    </row>
    <row r="7" spans="1:15" ht="18" customHeight="1">
      <c r="A7" s="457" t="s">
        <v>228</v>
      </c>
      <c r="B7" s="85">
        <v>106688.84383246783</v>
      </c>
      <c r="C7" s="86">
        <v>765261.9820647327</v>
      </c>
      <c r="D7" s="86">
        <v>36536.847990000009</v>
      </c>
      <c r="E7" s="86">
        <v>67053.58600000001</v>
      </c>
      <c r="F7" s="156">
        <v>975541.25988720055</v>
      </c>
      <c r="G7" s="86">
        <v>1137227.6793</v>
      </c>
      <c r="H7" s="86">
        <v>8162355.7823599996</v>
      </c>
      <c r="I7" s="86">
        <v>390268.17244000005</v>
      </c>
      <c r="J7" s="130">
        <v>714954.02313300013</v>
      </c>
      <c r="K7" s="86">
        <v>10404805.657233</v>
      </c>
      <c r="L7" s="72"/>
      <c r="M7" s="223"/>
      <c r="N7" s="223"/>
      <c r="O7" s="223"/>
    </row>
    <row r="8" spans="1:15" ht="18" customHeight="1">
      <c r="A8" s="458" t="s">
        <v>229</v>
      </c>
      <c r="B8" s="131">
        <v>100518.29895887963</v>
      </c>
      <c r="C8" s="87">
        <v>726450.67627771804</v>
      </c>
      <c r="D8" s="87">
        <v>36263.548989999996</v>
      </c>
      <c r="E8" s="87">
        <v>55904.273999999998</v>
      </c>
      <c r="F8" s="158">
        <v>919136.79822659772</v>
      </c>
      <c r="G8" s="133">
        <v>1071801.27745202</v>
      </c>
      <c r="H8" s="87">
        <v>7749313.4673799993</v>
      </c>
      <c r="I8" s="87">
        <v>387407.89498999994</v>
      </c>
      <c r="J8" s="132">
        <v>596022.01623999991</v>
      </c>
      <c r="K8" s="87">
        <v>9804544.6560620219</v>
      </c>
      <c r="L8" s="222"/>
      <c r="M8" s="223"/>
      <c r="N8" s="223"/>
      <c r="O8" s="223"/>
    </row>
    <row r="9" spans="1:15" ht="18" customHeight="1">
      <c r="A9" s="455" t="s">
        <v>230</v>
      </c>
      <c r="B9" s="85">
        <v>55939.457977388724</v>
      </c>
      <c r="C9" s="86">
        <v>449179.02951171761</v>
      </c>
      <c r="D9" s="86">
        <v>22501.164009999997</v>
      </c>
      <c r="E9" s="456">
        <v>47358.261299999998</v>
      </c>
      <c r="F9" s="154">
        <v>574977.91279910633</v>
      </c>
      <c r="G9" s="86">
        <v>596678.68589600001</v>
      </c>
      <c r="H9" s="86">
        <v>4796818.3329099994</v>
      </c>
      <c r="I9" s="86">
        <v>240323.04496000003</v>
      </c>
      <c r="J9" s="129">
        <v>505473.76439100009</v>
      </c>
      <c r="K9" s="456">
        <v>6139293.8281569993</v>
      </c>
      <c r="L9" s="72"/>
      <c r="M9" s="223"/>
      <c r="N9" s="223"/>
      <c r="O9" s="223"/>
    </row>
    <row r="10" spans="1:15" ht="18" customHeight="1">
      <c r="A10" s="457" t="s">
        <v>231</v>
      </c>
      <c r="B10" s="85">
        <v>42756.089586598893</v>
      </c>
      <c r="C10" s="86">
        <v>367686.54771647276</v>
      </c>
      <c r="D10" s="86">
        <v>18224.634010000005</v>
      </c>
      <c r="E10" s="86">
        <v>63677.736999999994</v>
      </c>
      <c r="F10" s="156">
        <v>492345.00831307168</v>
      </c>
      <c r="G10" s="86">
        <v>456328.60224601114</v>
      </c>
      <c r="H10" s="86">
        <v>3928416.4649799992</v>
      </c>
      <c r="I10" s="86">
        <v>194668.50478999995</v>
      </c>
      <c r="J10" s="130">
        <v>679704.12673000002</v>
      </c>
      <c r="K10" s="86">
        <v>5259117.6987460097</v>
      </c>
      <c r="L10" s="72"/>
      <c r="M10" s="223"/>
      <c r="N10" s="223"/>
      <c r="O10" s="223"/>
    </row>
    <row r="11" spans="1:15" ht="18" customHeight="1">
      <c r="A11" s="458" t="s">
        <v>232</v>
      </c>
      <c r="B11" s="131">
        <v>23697.557000000001</v>
      </c>
      <c r="C11" s="87">
        <v>280898.89395004482</v>
      </c>
      <c r="D11" s="87">
        <v>13296.904999999999</v>
      </c>
      <c r="E11" s="87">
        <v>85592.394000000015</v>
      </c>
      <c r="F11" s="158">
        <v>403485.74995004485</v>
      </c>
      <c r="G11" s="133">
        <v>253842.58964398125</v>
      </c>
      <c r="H11" s="87">
        <v>3008761.2124699997</v>
      </c>
      <c r="I11" s="87">
        <v>142039.36675000002</v>
      </c>
      <c r="J11" s="132">
        <v>916840.5942980001</v>
      </c>
      <c r="K11" s="87">
        <v>4321483.7631619815</v>
      </c>
      <c r="L11" s="72"/>
      <c r="M11" s="223"/>
      <c r="N11" s="223"/>
      <c r="O11" s="223"/>
    </row>
    <row r="12" spans="1:15" ht="18" customHeight="1">
      <c r="A12" s="455" t="s">
        <v>233</v>
      </c>
      <c r="B12" s="85"/>
      <c r="C12" s="86"/>
      <c r="D12" s="86"/>
      <c r="E12" s="456"/>
      <c r="F12" s="154"/>
      <c r="G12" s="86"/>
      <c r="H12" s="86"/>
      <c r="I12" s="86"/>
      <c r="J12" s="129"/>
      <c r="K12" s="456"/>
      <c r="L12" s="72"/>
      <c r="M12" s="223"/>
      <c r="N12" s="223"/>
      <c r="O12" s="223"/>
    </row>
    <row r="13" spans="1:15" ht="18" customHeight="1">
      <c r="A13" s="457" t="s">
        <v>234</v>
      </c>
      <c r="B13" s="85"/>
      <c r="C13" s="86"/>
      <c r="D13" s="86"/>
      <c r="E13" s="86"/>
      <c r="F13" s="156"/>
      <c r="G13" s="86"/>
      <c r="H13" s="86"/>
      <c r="I13" s="86"/>
      <c r="J13" s="130"/>
      <c r="K13" s="86"/>
      <c r="L13" s="72"/>
      <c r="M13" s="223"/>
      <c r="N13" s="223"/>
      <c r="O13" s="223"/>
    </row>
    <row r="14" spans="1:15" ht="18" customHeight="1">
      <c r="A14" s="458" t="s">
        <v>235</v>
      </c>
      <c r="B14" s="131"/>
      <c r="C14" s="87"/>
      <c r="D14" s="87"/>
      <c r="E14" s="87"/>
      <c r="F14" s="158"/>
      <c r="G14" s="133"/>
      <c r="H14" s="87"/>
      <c r="I14" s="87"/>
      <c r="J14" s="132"/>
      <c r="K14" s="87"/>
      <c r="L14" s="72"/>
      <c r="M14" s="223"/>
      <c r="N14" s="223"/>
      <c r="O14" s="223"/>
    </row>
    <row r="15" spans="1:15" ht="18" customHeight="1">
      <c r="A15" s="455" t="s">
        <v>236</v>
      </c>
      <c r="B15" s="85"/>
      <c r="C15" s="86"/>
      <c r="D15" s="86"/>
      <c r="E15" s="456"/>
      <c r="F15" s="154"/>
      <c r="G15" s="86"/>
      <c r="H15" s="86"/>
      <c r="I15" s="86"/>
      <c r="J15" s="129"/>
      <c r="K15" s="456"/>
      <c r="L15" s="72"/>
      <c r="M15" s="223"/>
      <c r="N15" s="223"/>
      <c r="O15" s="223"/>
    </row>
    <row r="16" spans="1:15" ht="18" customHeight="1">
      <c r="A16" s="457" t="s">
        <v>237</v>
      </c>
      <c r="B16" s="85"/>
      <c r="C16" s="86"/>
      <c r="D16" s="86"/>
      <c r="E16" s="86"/>
      <c r="F16" s="156"/>
      <c r="G16" s="86"/>
      <c r="H16" s="86"/>
      <c r="I16" s="86"/>
      <c r="J16" s="130"/>
      <c r="K16" s="86"/>
      <c r="L16" s="72"/>
      <c r="M16" s="223"/>
      <c r="N16" s="223"/>
      <c r="O16" s="223"/>
    </row>
    <row r="17" spans="1:15" ht="18" customHeight="1">
      <c r="A17" s="458" t="s">
        <v>238</v>
      </c>
      <c r="B17" s="131"/>
      <c r="C17" s="87"/>
      <c r="D17" s="87"/>
      <c r="E17" s="87"/>
      <c r="F17" s="158"/>
      <c r="G17" s="133"/>
      <c r="H17" s="87"/>
      <c r="I17" s="87"/>
      <c r="J17" s="132"/>
      <c r="K17" s="87"/>
      <c r="L17" s="72"/>
      <c r="M17" s="223"/>
      <c r="N17" s="223"/>
      <c r="O17" s="223"/>
    </row>
    <row r="18" spans="1:15" ht="18" customHeight="1">
      <c r="A18" s="459" t="s">
        <v>54</v>
      </c>
      <c r="B18" s="358">
        <f>SUM(B6:B8)</f>
        <v>344124.35814673814</v>
      </c>
      <c r="C18" s="358">
        <f>SUM(C6:C8)</f>
        <v>2446471.1744401595</v>
      </c>
      <c r="D18" s="358">
        <f t="shared" ref="D18:J18" si="0">SUM(D6:D8)</f>
        <v>118692.59298</v>
      </c>
      <c r="E18" s="460">
        <f t="shared" si="0"/>
        <v>202122.057</v>
      </c>
      <c r="F18" s="390">
        <f t="shared" si="0"/>
        <v>3111410.1825668979</v>
      </c>
      <c r="G18" s="358">
        <f t="shared" si="0"/>
        <v>3668331.3144120197</v>
      </c>
      <c r="H18" s="358">
        <f t="shared" si="0"/>
        <v>26093724.925489999</v>
      </c>
      <c r="I18" s="358">
        <f t="shared" si="0"/>
        <v>1268122.7814100001</v>
      </c>
      <c r="J18" s="376">
        <f t="shared" si="0"/>
        <v>2155025.9256815892</v>
      </c>
      <c r="K18" s="460">
        <f>SUM(K6:K8)</f>
        <v>33185204.946993612</v>
      </c>
    </row>
    <row r="19" spans="1:15" ht="18" customHeight="1">
      <c r="A19" s="461" t="s">
        <v>63</v>
      </c>
      <c r="B19" s="358">
        <f>SUM(B9:B11)</f>
        <v>122393.10456398761</v>
      </c>
      <c r="C19" s="358">
        <f>SUM(C9:C11)</f>
        <v>1097764.4711782353</v>
      </c>
      <c r="D19" s="358">
        <f t="shared" ref="D19:J19" si="1">SUM(D9:D11)</f>
        <v>54022.703020000001</v>
      </c>
      <c r="E19" s="358">
        <f t="shared" si="1"/>
        <v>196628.39230000001</v>
      </c>
      <c r="F19" s="579">
        <f t="shared" si="1"/>
        <v>1470808.6710622227</v>
      </c>
      <c r="G19" s="358">
        <f t="shared" si="1"/>
        <v>1306849.8777859923</v>
      </c>
      <c r="H19" s="358">
        <f t="shared" si="1"/>
        <v>11733996.010359999</v>
      </c>
      <c r="I19" s="358">
        <f t="shared" si="1"/>
        <v>577030.91650000005</v>
      </c>
      <c r="J19" s="580">
        <f t="shared" si="1"/>
        <v>2102018.485419</v>
      </c>
      <c r="K19" s="358">
        <f>SUM(K9:K11)</f>
        <v>15719895.290064991</v>
      </c>
    </row>
    <row r="20" spans="1:15" ht="18" customHeight="1">
      <c r="A20" s="461" t="s">
        <v>75</v>
      </c>
      <c r="B20" s="359">
        <f>SUM(B12:B14)</f>
        <v>0</v>
      </c>
      <c r="C20" s="359">
        <f>SUM(C12:C14)</f>
        <v>0</v>
      </c>
      <c r="D20" s="359">
        <f t="shared" ref="D20:J20" si="2">SUM(D12:D14)</f>
        <v>0</v>
      </c>
      <c r="E20" s="359">
        <f t="shared" si="2"/>
        <v>0</v>
      </c>
      <c r="F20" s="391">
        <f t="shared" si="2"/>
        <v>0</v>
      </c>
      <c r="G20" s="359">
        <f t="shared" si="2"/>
        <v>0</v>
      </c>
      <c r="H20" s="359">
        <f t="shared" si="2"/>
        <v>0</v>
      </c>
      <c r="I20" s="359">
        <f t="shared" si="2"/>
        <v>0</v>
      </c>
      <c r="J20" s="377">
        <f t="shared" si="2"/>
        <v>0</v>
      </c>
      <c r="K20" s="359">
        <f>SUM(K12:K14)</f>
        <v>0</v>
      </c>
    </row>
    <row r="21" spans="1:15" ht="18" customHeight="1">
      <c r="A21" s="462" t="s">
        <v>64</v>
      </c>
      <c r="B21" s="378">
        <f>SUM(B15:B17)</f>
        <v>0</v>
      </c>
      <c r="C21" s="360">
        <f>SUM(C15:C17)</f>
        <v>0</v>
      </c>
      <c r="D21" s="360">
        <f t="shared" ref="D21:J21" si="3">SUM(D15:D17)</f>
        <v>0</v>
      </c>
      <c r="E21" s="360">
        <f t="shared" si="3"/>
        <v>0</v>
      </c>
      <c r="F21" s="392">
        <f t="shared" si="3"/>
        <v>0</v>
      </c>
      <c r="G21" s="378">
        <f t="shared" si="3"/>
        <v>0</v>
      </c>
      <c r="H21" s="360">
        <f t="shared" si="3"/>
        <v>0</v>
      </c>
      <c r="I21" s="360">
        <f t="shared" si="3"/>
        <v>0</v>
      </c>
      <c r="J21" s="379">
        <f t="shared" si="3"/>
        <v>0</v>
      </c>
      <c r="K21" s="360">
        <f>SUM(K15:K17)</f>
        <v>0</v>
      </c>
    </row>
    <row r="22" spans="1:15" ht="18" customHeight="1">
      <c r="A22" s="455" t="s">
        <v>65</v>
      </c>
      <c r="B22" s="85">
        <f>SUM(B6:B11)</f>
        <v>466517.46271072584</v>
      </c>
      <c r="C22" s="85">
        <f>SUM(C6:C11)</f>
        <v>3544235.6456183945</v>
      </c>
      <c r="D22" s="85">
        <f t="shared" ref="D22:J22" si="4">SUM(D6:D11)</f>
        <v>172715.296</v>
      </c>
      <c r="E22" s="576">
        <f t="shared" si="4"/>
        <v>398750.44930000004</v>
      </c>
      <c r="F22" s="581">
        <f t="shared" si="4"/>
        <v>4582218.8536291206</v>
      </c>
      <c r="G22" s="85">
        <f t="shared" si="4"/>
        <v>4975181.192198012</v>
      </c>
      <c r="H22" s="85">
        <f t="shared" si="4"/>
        <v>37827720.935850002</v>
      </c>
      <c r="I22" s="85">
        <f t="shared" si="4"/>
        <v>1845153.6979100001</v>
      </c>
      <c r="J22" s="153">
        <f t="shared" si="4"/>
        <v>4257044.4111005897</v>
      </c>
      <c r="K22" s="576">
        <f>SUM(K6:K11)</f>
        <v>48905100.237058602</v>
      </c>
    </row>
    <row r="23" spans="1:15" ht="18" customHeight="1">
      <c r="A23" s="458" t="s">
        <v>66</v>
      </c>
      <c r="B23" s="127">
        <f>SUM(B12:B17)</f>
        <v>0</v>
      </c>
      <c r="C23" s="84">
        <f>SUM(C12:C17)</f>
        <v>0</v>
      </c>
      <c r="D23" s="84">
        <f t="shared" ref="D23:J23" si="5">SUM(D12:D17)</f>
        <v>0</v>
      </c>
      <c r="E23" s="84">
        <f t="shared" si="5"/>
        <v>0</v>
      </c>
      <c r="F23" s="152">
        <f t="shared" si="5"/>
        <v>0</v>
      </c>
      <c r="G23" s="127">
        <f t="shared" si="5"/>
        <v>0</v>
      </c>
      <c r="H23" s="84">
        <f t="shared" si="5"/>
        <v>0</v>
      </c>
      <c r="I23" s="84">
        <f t="shared" si="5"/>
        <v>0</v>
      </c>
      <c r="J23" s="128">
        <f t="shared" si="5"/>
        <v>0</v>
      </c>
      <c r="K23" s="84">
        <f>SUM(K12:K17)</f>
        <v>0</v>
      </c>
    </row>
    <row r="24" spans="1:15" ht="18" customHeight="1">
      <c r="A24" s="463" t="s">
        <v>239</v>
      </c>
      <c r="B24" s="380">
        <f>SUM(B6:B17)</f>
        <v>466517.46271072584</v>
      </c>
      <c r="C24" s="361">
        <f>SUM(C6:C17)</f>
        <v>3544235.6456183945</v>
      </c>
      <c r="D24" s="361">
        <f t="shared" ref="D24:J24" si="6">SUM(D6:D17)</f>
        <v>172715.296</v>
      </c>
      <c r="E24" s="361">
        <f t="shared" si="6"/>
        <v>398750.44930000004</v>
      </c>
      <c r="F24" s="393">
        <f t="shared" si="6"/>
        <v>4582218.8536291206</v>
      </c>
      <c r="G24" s="380">
        <f t="shared" si="6"/>
        <v>4975181.192198012</v>
      </c>
      <c r="H24" s="361">
        <f t="shared" si="6"/>
        <v>37827720.935850002</v>
      </c>
      <c r="I24" s="361">
        <f t="shared" si="6"/>
        <v>1845153.6979100001</v>
      </c>
      <c r="J24" s="381">
        <f t="shared" si="6"/>
        <v>4257044.4111005897</v>
      </c>
      <c r="K24" s="361">
        <f>SUM(K6:K17)</f>
        <v>48905100.237058602</v>
      </c>
    </row>
    <row r="25" spans="1:15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pans="1:15" ht="12" customHeight="1">
      <c r="A26" s="167"/>
      <c r="B26" s="167"/>
      <c r="C26" s="167"/>
      <c r="H26" s="167"/>
      <c r="I26" s="167"/>
      <c r="J26" s="167"/>
      <c r="K26" s="167"/>
    </row>
    <row r="27" spans="1:15" ht="12" customHeight="1">
      <c r="E27" s="83"/>
      <c r="F27" s="83"/>
      <c r="G27" s="83"/>
      <c r="H27" s="83"/>
    </row>
    <row r="28" spans="1:15" ht="12" customHeight="1">
      <c r="E28" s="83"/>
      <c r="F28" s="83"/>
      <c r="G28" s="83"/>
    </row>
    <row r="29" spans="1:15" ht="12" customHeight="1">
      <c r="E29" s="83"/>
      <c r="F29" s="83"/>
      <c r="G29" s="83"/>
    </row>
    <row r="30" spans="1:15" ht="12" customHeight="1">
      <c r="E30" s="83"/>
      <c r="F30" s="83"/>
      <c r="G30" s="83"/>
    </row>
    <row r="31" spans="1:15" ht="12" customHeight="1">
      <c r="E31" s="83" t="str">
        <f>B5</f>
        <v xml:space="preserve"> PP Distribuce</v>
      </c>
      <c r="F31" s="83" t="str">
        <f t="shared" ref="F31:H31" si="7">C5</f>
        <v xml:space="preserve"> GasNet</v>
      </c>
      <c r="G31" s="83" t="str">
        <f t="shared" si="7"/>
        <v xml:space="preserve"> E.ON Distribuce</v>
      </c>
      <c r="H31" s="83" t="str">
        <f t="shared" si="7"/>
        <v xml:space="preserve"> Ostatní společnosti</v>
      </c>
    </row>
    <row r="32" spans="1:15" ht="12" customHeight="1">
      <c r="D32" s="81" t="str">
        <f>A18</f>
        <v>I. čtvrtletí</v>
      </c>
      <c r="E32" s="81">
        <f t="shared" ref="E32:H35" si="8">B18</f>
        <v>344124.35814673814</v>
      </c>
      <c r="F32" s="81">
        <f t="shared" si="8"/>
        <v>2446471.1744401595</v>
      </c>
      <c r="G32" s="81">
        <f t="shared" si="8"/>
        <v>118692.59298</v>
      </c>
      <c r="H32" s="81">
        <f t="shared" si="8"/>
        <v>202122.057</v>
      </c>
    </row>
    <row r="33" spans="4:8" ht="12" customHeight="1">
      <c r="D33" s="81" t="str">
        <f t="shared" ref="D33:D35" si="9">A19</f>
        <v>II. čtvrtletí</v>
      </c>
      <c r="E33" s="81">
        <f t="shared" si="8"/>
        <v>122393.10456398761</v>
      </c>
      <c r="F33" s="81">
        <f t="shared" si="8"/>
        <v>1097764.4711782353</v>
      </c>
      <c r="G33" s="81">
        <f t="shared" si="8"/>
        <v>54022.703020000001</v>
      </c>
      <c r="H33" s="81">
        <f t="shared" si="8"/>
        <v>196628.39230000001</v>
      </c>
    </row>
    <row r="34" spans="4:8" ht="12" customHeight="1">
      <c r="D34" s="81" t="str">
        <f t="shared" si="9"/>
        <v>III. čtvrtletí</v>
      </c>
      <c r="E34" s="81">
        <f t="shared" si="8"/>
        <v>0</v>
      </c>
      <c r="F34" s="81">
        <f t="shared" si="8"/>
        <v>0</v>
      </c>
      <c r="G34" s="81">
        <f t="shared" si="8"/>
        <v>0</v>
      </c>
      <c r="H34" s="81">
        <f t="shared" si="8"/>
        <v>0</v>
      </c>
    </row>
    <row r="35" spans="4:8" ht="12" customHeight="1">
      <c r="D35" s="81" t="str">
        <f t="shared" si="9"/>
        <v>IV. čtvrtletí</v>
      </c>
      <c r="E35" s="81">
        <f t="shared" si="8"/>
        <v>0</v>
      </c>
      <c r="F35" s="81">
        <f t="shared" si="8"/>
        <v>0</v>
      </c>
      <c r="G35" s="81">
        <f t="shared" si="8"/>
        <v>0</v>
      </c>
      <c r="H35" s="81">
        <f t="shared" si="8"/>
        <v>0</v>
      </c>
    </row>
    <row r="36" spans="4:8" ht="12" customHeight="1">
      <c r="E36" s="83"/>
      <c r="F36" s="83"/>
      <c r="G36" s="83"/>
    </row>
    <row r="37" spans="4:8" ht="12" customHeight="1">
      <c r="E37" s="83"/>
      <c r="F37" s="83"/>
      <c r="G37" s="83"/>
    </row>
    <row r="38" spans="4:8" ht="12" customHeight="1">
      <c r="E38" s="83"/>
      <c r="F38" s="83"/>
      <c r="G38" s="83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T120"/>
  <sheetViews>
    <sheetView showGridLines="0" zoomScaleNormal="100" zoomScaleSheetLayoutView="100" workbookViewId="0">
      <selection activeCell="A3" sqref="A3:C3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ht="18.75">
      <c r="A1" s="31" t="s">
        <v>146</v>
      </c>
    </row>
    <row r="2" spans="1:16" s="244" customFormat="1" ht="15.75">
      <c r="A2" s="682" t="s">
        <v>266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</row>
    <row r="3" spans="1:16" ht="6" customHeight="1">
      <c r="A3" s="660"/>
      <c r="B3" s="660"/>
      <c r="C3" s="660"/>
      <c r="D3" s="234"/>
      <c r="E3" s="234"/>
      <c r="F3" s="235"/>
      <c r="G3" s="236"/>
      <c r="H3" s="236"/>
      <c r="I3" s="236"/>
      <c r="J3" s="96"/>
      <c r="K3" s="96"/>
    </row>
    <row r="4" spans="1:16" ht="12.95" customHeight="1">
      <c r="A4" s="687" t="s">
        <v>39</v>
      </c>
      <c r="B4" s="687"/>
      <c r="C4" s="687"/>
      <c r="D4" s="688"/>
      <c r="E4" s="464"/>
      <c r="F4" s="465"/>
      <c r="G4" s="321"/>
      <c r="H4" s="322"/>
      <c r="I4" s="465"/>
      <c r="J4" s="466"/>
      <c r="K4" s="466"/>
    </row>
    <row r="5" spans="1:16" ht="24.95" customHeight="1">
      <c r="A5" s="323"/>
      <c r="B5" s="323"/>
      <c r="C5" s="323"/>
      <c r="D5" s="311"/>
      <c r="E5" s="668">
        <f>'3.1'!D4</f>
        <v>2020</v>
      </c>
      <c r="F5" s="669"/>
      <c r="G5" s="670"/>
      <c r="H5" s="324"/>
      <c r="I5" s="671">
        <f>E5-1</f>
        <v>2019</v>
      </c>
      <c r="J5" s="672"/>
      <c r="K5" s="672"/>
    </row>
    <row r="6" spans="1:16" ht="24.95" customHeight="1">
      <c r="A6" s="467"/>
      <c r="B6" s="325"/>
      <c r="C6" s="326"/>
      <c r="D6" s="327"/>
      <c r="E6" s="663" t="s">
        <v>67</v>
      </c>
      <c r="F6" s="664"/>
      <c r="G6" s="712" t="s">
        <v>37</v>
      </c>
      <c r="H6" s="705" t="s">
        <v>299</v>
      </c>
      <c r="I6" s="661" t="s">
        <v>67</v>
      </c>
      <c r="J6" s="707"/>
      <c r="K6" s="676" t="s">
        <v>37</v>
      </c>
    </row>
    <row r="7" spans="1:16" ht="24.95" customHeight="1">
      <c r="A7" s="467"/>
      <c r="B7" s="328"/>
      <c r="C7" s="328"/>
      <c r="D7" s="689" t="s">
        <v>226</v>
      </c>
      <c r="E7" s="663"/>
      <c r="F7" s="665"/>
      <c r="G7" s="646"/>
      <c r="H7" s="705"/>
      <c r="I7" s="661"/>
      <c r="J7" s="708"/>
      <c r="K7" s="677"/>
    </row>
    <row r="8" spans="1:16" ht="15" customHeight="1">
      <c r="A8" s="704" t="s">
        <v>225</v>
      </c>
      <c r="B8" s="704"/>
      <c r="C8" s="407" t="s">
        <v>252</v>
      </c>
      <c r="D8" s="690"/>
      <c r="E8" s="406" t="s">
        <v>294</v>
      </c>
      <c r="F8" s="404" t="s">
        <v>289</v>
      </c>
      <c r="G8" s="405" t="s">
        <v>295</v>
      </c>
      <c r="H8" s="706"/>
      <c r="I8" s="329" t="s">
        <v>296</v>
      </c>
      <c r="J8" s="330" t="s">
        <v>289</v>
      </c>
      <c r="K8" s="329" t="s">
        <v>295</v>
      </c>
    </row>
    <row r="9" spans="1:16" ht="11.1" customHeight="1">
      <c r="A9" s="650" t="str">
        <f>'3.1'!D6</f>
        <v>Duben</v>
      </c>
      <c r="B9" s="651"/>
      <c r="C9" s="403" t="s">
        <v>4</v>
      </c>
      <c r="D9" s="120">
        <v>93</v>
      </c>
      <c r="E9" s="116">
        <v>8399.6894100000009</v>
      </c>
      <c r="F9" s="120">
        <v>89712.882710000005</v>
      </c>
      <c r="G9" s="122">
        <f>E9/$E$14</f>
        <v>0.42815480521607868</v>
      </c>
      <c r="H9" s="122">
        <f>(E9-I9)/I9</f>
        <v>0.10084762805489524</v>
      </c>
      <c r="I9" s="119">
        <v>7630.2016700000004</v>
      </c>
      <c r="J9" s="135">
        <v>81783.553629999995</v>
      </c>
      <c r="K9" s="468">
        <f>I9/$I$14</f>
        <v>0.37206114009521085</v>
      </c>
    </row>
    <row r="10" spans="1:16" ht="11.1" customHeight="1">
      <c r="A10" s="652"/>
      <c r="B10" s="653"/>
      <c r="C10" s="403" t="s">
        <v>5</v>
      </c>
      <c r="D10" s="115">
        <v>313</v>
      </c>
      <c r="E10" s="116">
        <v>2301.3594800000001</v>
      </c>
      <c r="F10" s="115">
        <v>24579.684530000002</v>
      </c>
      <c r="G10" s="118">
        <f>E10/$E$14</f>
        <v>0.11730649453758506</v>
      </c>
      <c r="H10" s="118">
        <f>(E10-I10)/I10</f>
        <v>-6.9364770904768473E-3</v>
      </c>
      <c r="I10" s="119">
        <v>2317.4343100000001</v>
      </c>
      <c r="J10" s="134">
        <v>24838.058790000003</v>
      </c>
      <c r="K10" s="469">
        <f>I10/$I$14</f>
        <v>0.11300189546292271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6</v>
      </c>
      <c r="D11" s="115">
        <v>9629</v>
      </c>
      <c r="E11" s="116">
        <v>3329.0145299999999</v>
      </c>
      <c r="F11" s="115">
        <v>35555.806819999998</v>
      </c>
      <c r="G11" s="118">
        <f>E11/$E$14</f>
        <v>0.16968884182274135</v>
      </c>
      <c r="H11" s="118">
        <f t="shared" ref="H11:H13" si="0">(E11-I11)/I11</f>
        <v>-0.15634408146366816</v>
      </c>
      <c r="I11" s="119">
        <v>3945.93869</v>
      </c>
      <c r="J11" s="134">
        <v>42292.982799999998</v>
      </c>
      <c r="K11" s="469">
        <f>I11/$I$14</f>
        <v>0.19241043831377561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7</v>
      </c>
      <c r="D12" s="115">
        <v>94822</v>
      </c>
      <c r="E12" s="116">
        <v>5293.9332800000002</v>
      </c>
      <c r="F12" s="115">
        <v>56541.154349999997</v>
      </c>
      <c r="G12" s="118">
        <f>E12/$E$14</f>
        <v>0.26984604569150566</v>
      </c>
      <c r="H12" s="118">
        <f t="shared" si="0"/>
        <v>-0.1509698929616467</v>
      </c>
      <c r="I12" s="119">
        <v>6235.2715600000001</v>
      </c>
      <c r="J12" s="134">
        <v>66827.874719999993</v>
      </c>
      <c r="K12" s="469">
        <f>I12/$I$14</f>
        <v>0.30404206150121899</v>
      </c>
      <c r="L12" s="238"/>
      <c r="N12" s="238"/>
      <c r="O12" s="238"/>
      <c r="P12" s="238"/>
    </row>
    <row r="13" spans="1:16" ht="11.1" customHeight="1">
      <c r="A13" s="652"/>
      <c r="B13" s="653"/>
      <c r="C13" s="403" t="s">
        <v>112</v>
      </c>
      <c r="D13" s="115">
        <v>13</v>
      </c>
      <c r="E13" s="116">
        <v>294.35000000000002</v>
      </c>
      <c r="F13" s="115">
        <v>3143.6559999999999</v>
      </c>
      <c r="G13" s="118">
        <f>E13/$E$14</f>
        <v>1.5003812732089193E-2</v>
      </c>
      <c r="H13" s="118">
        <f t="shared" si="0"/>
        <v>-0.22351072866270255</v>
      </c>
      <c r="I13" s="119">
        <v>379.07799999999997</v>
      </c>
      <c r="J13" s="134">
        <v>4062.5590000000002</v>
      </c>
      <c r="K13" s="469">
        <f>I13/$I$14</f>
        <v>1.8484464626871693E-2</v>
      </c>
      <c r="L13" s="238"/>
      <c r="N13" s="238"/>
      <c r="O13" s="238"/>
      <c r="P13" s="238"/>
    </row>
    <row r="14" spans="1:16" ht="11.1" customHeight="1">
      <c r="A14" s="654"/>
      <c r="B14" s="655"/>
      <c r="C14" s="365" t="s">
        <v>0</v>
      </c>
      <c r="D14" s="366">
        <v>104870</v>
      </c>
      <c r="E14" s="367">
        <v>19618.346700000002</v>
      </c>
      <c r="F14" s="366">
        <v>209533.18440999999</v>
      </c>
      <c r="G14" s="370">
        <f>SUM(G9:G13)</f>
        <v>0.99999999999999989</v>
      </c>
      <c r="H14" s="370">
        <f>(E14-I14)/I14</f>
        <v>-4.3377258469615584E-2</v>
      </c>
      <c r="I14" s="371">
        <v>20507.924230000004</v>
      </c>
      <c r="J14" s="382">
        <v>219805.02893999999</v>
      </c>
      <c r="K14" s="470">
        <f>SUM(K9:K13)</f>
        <v>0.99999999999999989</v>
      </c>
      <c r="L14" s="238"/>
      <c r="M14" s="238"/>
    </row>
    <row r="15" spans="1:16" ht="11.1" customHeight="1">
      <c r="A15" s="656" t="str">
        <f>'3.1'!E6</f>
        <v>Květen</v>
      </c>
      <c r="B15" s="657"/>
      <c r="C15" s="403" t="s">
        <v>4</v>
      </c>
      <c r="D15" s="120">
        <v>90</v>
      </c>
      <c r="E15" s="116">
        <v>7554.66212</v>
      </c>
      <c r="F15" s="120">
        <v>80695.878859999997</v>
      </c>
      <c r="G15" s="122">
        <f>E15/$E$20</f>
        <v>0.47268799547558732</v>
      </c>
      <c r="H15" s="122">
        <f>(E15-I15)/I15</f>
        <v>-6.2262289227770606E-2</v>
      </c>
      <c r="I15" s="119">
        <v>8056.2635300000002</v>
      </c>
      <c r="J15" s="135">
        <v>86059.423939999993</v>
      </c>
      <c r="K15" s="468">
        <f>I15/$I$20</f>
        <v>0.41170414530945043</v>
      </c>
      <c r="L15" s="238"/>
      <c r="M15" s="238"/>
    </row>
    <row r="16" spans="1:16" ht="11.1" customHeight="1">
      <c r="A16" s="656"/>
      <c r="B16" s="657"/>
      <c r="C16" s="403" t="s">
        <v>5</v>
      </c>
      <c r="D16" s="115">
        <v>316</v>
      </c>
      <c r="E16" s="116">
        <v>1936.0243</v>
      </c>
      <c r="F16" s="115">
        <v>20679.642500000002</v>
      </c>
      <c r="G16" s="118">
        <f>E16/$E$20</f>
        <v>0.12113519188850595</v>
      </c>
      <c r="H16" s="118">
        <f>(E16-I16)/I16</f>
        <v>-6.6889472927133084E-2</v>
      </c>
      <c r="I16" s="119">
        <v>2074.8070499999999</v>
      </c>
      <c r="J16" s="134">
        <v>22161.875940000002</v>
      </c>
      <c r="K16" s="469">
        <f>I16/$I$20</f>
        <v>0.10603012923067477</v>
      </c>
      <c r="L16" s="239"/>
      <c r="M16" s="238"/>
    </row>
    <row r="17" spans="1:20" ht="11.1" customHeight="1">
      <c r="A17" s="656"/>
      <c r="B17" s="657"/>
      <c r="C17" s="403" t="s">
        <v>6</v>
      </c>
      <c r="D17" s="115">
        <v>9630</v>
      </c>
      <c r="E17" s="116">
        <v>2381.0510400000003</v>
      </c>
      <c r="F17" s="115">
        <v>25433.907790000001</v>
      </c>
      <c r="G17" s="118">
        <f>E17/$E$20</f>
        <v>0.14898009008808757</v>
      </c>
      <c r="H17" s="118">
        <f t="shared" ref="H17:H20" si="1">(E17-I17)/I17</f>
        <v>-0.320593741317586</v>
      </c>
      <c r="I17" s="119">
        <v>3504.6056900000003</v>
      </c>
      <c r="J17" s="134">
        <v>37436.457979999999</v>
      </c>
      <c r="K17" s="469">
        <f>I17/$I$20</f>
        <v>0.17909800056504444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7</v>
      </c>
      <c r="D18" s="115">
        <v>94783</v>
      </c>
      <c r="E18" s="116">
        <v>3789.3244800000002</v>
      </c>
      <c r="F18" s="115">
        <v>40476.377560000001</v>
      </c>
      <c r="G18" s="118">
        <f>E18/$E$20</f>
        <v>0.23709441457558825</v>
      </c>
      <c r="H18" s="118">
        <f t="shared" si="1"/>
        <v>-0.31568490080217554</v>
      </c>
      <c r="I18" s="119">
        <v>5537.3971499999998</v>
      </c>
      <c r="J18" s="134">
        <v>59150.871180000002</v>
      </c>
      <c r="K18" s="469">
        <f>I18/$I$20</f>
        <v>0.28298098149226464</v>
      </c>
      <c r="L18" s="238"/>
      <c r="M18" s="238"/>
      <c r="N18" s="238"/>
      <c r="O18" s="238"/>
    </row>
    <row r="19" spans="1:20" ht="11.1" customHeight="1">
      <c r="A19" s="656"/>
      <c r="B19" s="657"/>
      <c r="C19" s="403" t="s">
        <v>112</v>
      </c>
      <c r="D19" s="115">
        <v>13</v>
      </c>
      <c r="E19" s="116">
        <v>321.28199999999998</v>
      </c>
      <c r="F19" s="115">
        <v>3431.6550000000002</v>
      </c>
      <c r="G19" s="118">
        <f>E19/$E$20</f>
        <v>2.0102307972231011E-2</v>
      </c>
      <c r="H19" s="118">
        <f t="shared" si="1"/>
        <v>-0.18666079348684619</v>
      </c>
      <c r="I19" s="119">
        <v>395.01600000000002</v>
      </c>
      <c r="J19" s="134">
        <v>4219.9340000000002</v>
      </c>
      <c r="K19" s="469">
        <f>I19/$I$20</f>
        <v>2.0186743402565665E-2</v>
      </c>
      <c r="L19" s="238"/>
      <c r="M19" s="238"/>
      <c r="N19" s="238"/>
      <c r="O19" s="238"/>
    </row>
    <row r="20" spans="1:20" ht="11.1" customHeight="1">
      <c r="A20" s="656"/>
      <c r="B20" s="657"/>
      <c r="C20" s="365" t="s">
        <v>0</v>
      </c>
      <c r="D20" s="366">
        <v>104832</v>
      </c>
      <c r="E20" s="367">
        <v>15982.343939999999</v>
      </c>
      <c r="F20" s="366">
        <v>170717.46171</v>
      </c>
      <c r="G20" s="370">
        <f>SUM(G15:G19)</f>
        <v>1</v>
      </c>
      <c r="H20" s="370">
        <f t="shared" si="1"/>
        <v>-0.18324453670653768</v>
      </c>
      <c r="I20" s="371">
        <v>19568.08942</v>
      </c>
      <c r="J20" s="382">
        <v>209028.56303999998</v>
      </c>
      <c r="K20" s="470">
        <f>SUM(K15:K19)</f>
        <v>0.99999999999999989</v>
      </c>
      <c r="L20" s="238"/>
      <c r="M20" s="238"/>
      <c r="N20" s="238"/>
      <c r="O20" s="238"/>
    </row>
    <row r="21" spans="1:20" ht="11.1" customHeight="1">
      <c r="A21" s="656" t="str">
        <f>'3.1'!F6</f>
        <v>Červen</v>
      </c>
      <c r="B21" s="657"/>
      <c r="C21" s="402" t="s">
        <v>4</v>
      </c>
      <c r="D21" s="120">
        <v>86</v>
      </c>
      <c r="E21" s="270">
        <v>6763.3115799999996</v>
      </c>
      <c r="F21" s="120">
        <v>72246.370639999994</v>
      </c>
      <c r="G21" s="122">
        <f>E21/$E$26</f>
        <v>0.58239776221037431</v>
      </c>
      <c r="H21" s="122">
        <f>(E21-I21)/I21</f>
        <v>0.14086259262964607</v>
      </c>
      <c r="I21" s="543">
        <v>5928.2437900000004</v>
      </c>
      <c r="J21" s="135">
        <v>63333.20693</v>
      </c>
      <c r="K21" s="468">
        <f>I21/$I$26</f>
        <v>0.60419975287819483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5</v>
      </c>
      <c r="D22" s="115">
        <v>320</v>
      </c>
      <c r="E22" s="116">
        <v>1605.2633499999999</v>
      </c>
      <c r="F22" s="115">
        <v>17148.425340000002</v>
      </c>
      <c r="G22" s="118">
        <f>E22/$E$26</f>
        <v>0.13823136369510999</v>
      </c>
      <c r="H22" s="118">
        <f t="shared" ref="H22:H26" si="2">(E22-I22)/I22</f>
        <v>0.59825228073756564</v>
      </c>
      <c r="I22" s="119">
        <v>1004.38671</v>
      </c>
      <c r="J22" s="134">
        <v>10729.54414</v>
      </c>
      <c r="K22" s="469">
        <f>I22/$I$26</f>
        <v>0.10236593221753168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6</v>
      </c>
      <c r="D23" s="115">
        <v>9626</v>
      </c>
      <c r="E23" s="116">
        <v>1113.45415</v>
      </c>
      <c r="F23" s="115">
        <v>11894.68507</v>
      </c>
      <c r="G23" s="118">
        <f>E23/$E$26</f>
        <v>9.5881018878603036E-2</v>
      </c>
      <c r="H23" s="118">
        <f t="shared" si="2"/>
        <v>0.15764577242273367</v>
      </c>
      <c r="I23" s="119">
        <v>961.82630000000006</v>
      </c>
      <c r="J23" s="134">
        <v>10275.5108</v>
      </c>
      <c r="K23" s="469">
        <f>I23/$I$26</f>
        <v>9.8028224438413067E-2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7</v>
      </c>
      <c r="D24" s="115">
        <v>94795</v>
      </c>
      <c r="E24" s="116">
        <v>1772.4334900000001</v>
      </c>
      <c r="F24" s="115">
        <v>18934.548739999998</v>
      </c>
      <c r="G24" s="118">
        <f>E24/$E$26</f>
        <v>0.15262660695616273</v>
      </c>
      <c r="H24" s="118">
        <f t="shared" si="2"/>
        <v>0.1653605284750965</v>
      </c>
      <c r="I24" s="119">
        <v>1520.93146</v>
      </c>
      <c r="J24" s="134">
        <v>16248.886120000001</v>
      </c>
      <c r="K24" s="469">
        <f>I24/$I$26</f>
        <v>0.15501157591170386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403" t="s">
        <v>112</v>
      </c>
      <c r="D25" s="115">
        <v>13</v>
      </c>
      <c r="E25" s="116">
        <v>358.411</v>
      </c>
      <c r="F25" s="115">
        <v>3828.299</v>
      </c>
      <c r="G25" s="118">
        <f>E25/$E$26</f>
        <v>3.0863248259750068E-2</v>
      </c>
      <c r="H25" s="118">
        <f t="shared" si="2"/>
        <v>-9.569813796235549E-2</v>
      </c>
      <c r="I25" s="119">
        <v>396.34</v>
      </c>
      <c r="J25" s="134">
        <v>4234.2139999999999</v>
      </c>
      <c r="K25" s="469">
        <f>I25/$I$26</f>
        <v>4.0394514554156637E-2</v>
      </c>
      <c r="L25" s="116"/>
      <c r="M25" s="116"/>
      <c r="N25" s="116"/>
      <c r="O25" s="116"/>
      <c r="P25" s="116"/>
      <c r="Q25" s="116"/>
      <c r="R25" s="116"/>
      <c r="S25" s="116"/>
      <c r="T25" s="116"/>
    </row>
    <row r="26" spans="1:20" ht="11.1" customHeight="1">
      <c r="A26" s="656"/>
      <c r="B26" s="657"/>
      <c r="C26" s="365" t="s">
        <v>0</v>
      </c>
      <c r="D26" s="366">
        <v>104840</v>
      </c>
      <c r="E26" s="367">
        <v>11612.873569999998</v>
      </c>
      <c r="F26" s="366">
        <v>124052.32879</v>
      </c>
      <c r="G26" s="370">
        <f>SUM(G21:G25)</f>
        <v>1.0000000000000002</v>
      </c>
      <c r="H26" s="370">
        <f t="shared" si="2"/>
        <v>0.18357064752219279</v>
      </c>
      <c r="I26" s="371">
        <v>9811.7282599999999</v>
      </c>
      <c r="J26" s="382">
        <v>104821.36199</v>
      </c>
      <c r="K26" s="470">
        <f>SUM(K21:K25)</f>
        <v>1</v>
      </c>
    </row>
    <row r="27" spans="1:20" ht="11.1" customHeight="1">
      <c r="A27" s="658" t="str">
        <f>'3.1'!G6</f>
        <v>II. čtvrtletí</v>
      </c>
      <c r="B27" s="659"/>
      <c r="C27" s="403" t="s">
        <v>4</v>
      </c>
      <c r="D27" s="115">
        <f>D21</f>
        <v>86</v>
      </c>
      <c r="E27" s="116">
        <f>E9+E15+E21</f>
        <v>22717.663110000001</v>
      </c>
      <c r="F27" s="115">
        <f>F9+F15+F21</f>
        <v>242655.13221000001</v>
      </c>
      <c r="G27" s="118">
        <f>E27/$E$32</f>
        <v>0.48116814500499666</v>
      </c>
      <c r="H27" s="118">
        <f>(E27-I27)/I27</f>
        <v>5.1027942153201396E-2</v>
      </c>
      <c r="I27" s="119">
        <f>I9+I15+I21</f>
        <v>21614.708989999999</v>
      </c>
      <c r="J27" s="134">
        <f>J9+J15+J21</f>
        <v>231176.18449999997</v>
      </c>
      <c r="K27" s="469">
        <f>I27/$I$32</f>
        <v>0.43326693416980117</v>
      </c>
    </row>
    <row r="28" spans="1:20" ht="11.1" customHeight="1">
      <c r="A28" s="656"/>
      <c r="B28" s="657"/>
      <c r="C28" s="403" t="s">
        <v>5</v>
      </c>
      <c r="D28" s="115">
        <f>D22</f>
        <v>320</v>
      </c>
      <c r="E28" s="116">
        <f t="shared" ref="E28:F28" si="3">E10+E16+E22</f>
        <v>5842.6471300000003</v>
      </c>
      <c r="F28" s="115">
        <f t="shared" si="3"/>
        <v>62407.752370000002</v>
      </c>
      <c r="G28" s="118">
        <f>E28/$E$32</f>
        <v>0.12374933406875702</v>
      </c>
      <c r="H28" s="118">
        <f t="shared" ref="H28:H31" si="4">(E28-I28)/I28</f>
        <v>8.2647730066748984E-2</v>
      </c>
      <c r="I28" s="119">
        <f t="shared" ref="I28:J28" si="5">I10+I16+I22</f>
        <v>5396.6280699999998</v>
      </c>
      <c r="J28" s="134">
        <f t="shared" si="5"/>
        <v>57729.478870000006</v>
      </c>
      <c r="K28" s="469">
        <f>I28/$I$32</f>
        <v>0.10817543274930722</v>
      </c>
    </row>
    <row r="29" spans="1:20" ht="11.1" customHeight="1">
      <c r="A29" s="656"/>
      <c r="B29" s="657"/>
      <c r="C29" s="403" t="s">
        <v>6</v>
      </c>
      <c r="D29" s="115">
        <f>D23</f>
        <v>9626</v>
      </c>
      <c r="E29" s="116">
        <f t="shared" ref="E29:F29" si="6">E11+E17+E23</f>
        <v>6823.5197200000002</v>
      </c>
      <c r="F29" s="115">
        <f t="shared" si="6"/>
        <v>72884.399680000002</v>
      </c>
      <c r="G29" s="118">
        <f>E29/$E$32</f>
        <v>0.14452456267969607</v>
      </c>
      <c r="H29" s="118">
        <f t="shared" si="4"/>
        <v>-0.18887077382091771</v>
      </c>
      <c r="I29" s="119">
        <f t="shared" ref="I29:J29" si="7">I11+I17+I23</f>
        <v>8412.37068</v>
      </c>
      <c r="J29" s="134">
        <f t="shared" si="7"/>
        <v>90004.951580000008</v>
      </c>
      <c r="K29" s="469">
        <f>I29/$I$32</f>
        <v>0.16862600626775895</v>
      </c>
    </row>
    <row r="30" spans="1:20" ht="11.1" customHeight="1">
      <c r="A30" s="656"/>
      <c r="B30" s="657"/>
      <c r="C30" s="403" t="s">
        <v>7</v>
      </c>
      <c r="D30" s="115">
        <f>D24</f>
        <v>94795</v>
      </c>
      <c r="E30" s="116">
        <f t="shared" ref="E30:F31" si="8">E12+E18+E24</f>
        <v>10855.69125</v>
      </c>
      <c r="F30" s="115">
        <f t="shared" si="8"/>
        <v>115952.08064999999</v>
      </c>
      <c r="G30" s="118">
        <f>E30/$E$32</f>
        <v>0.22992738276896971</v>
      </c>
      <c r="H30" s="118">
        <f t="shared" si="4"/>
        <v>-0.18338966787204042</v>
      </c>
      <c r="I30" s="119">
        <f t="shared" ref="I30:J30" si="9">I12+I18+I24</f>
        <v>13293.60017</v>
      </c>
      <c r="J30" s="134">
        <f t="shared" si="9"/>
        <v>142227.63201999999</v>
      </c>
      <c r="K30" s="469">
        <f>I30/$I$32</f>
        <v>0.26647027227615</v>
      </c>
    </row>
    <row r="31" spans="1:20" ht="11.1" customHeight="1">
      <c r="A31" s="656"/>
      <c r="B31" s="657"/>
      <c r="C31" s="403" t="s">
        <v>112</v>
      </c>
      <c r="D31" s="115">
        <f>D25</f>
        <v>13</v>
      </c>
      <c r="E31" s="116">
        <f>E13+E19+E25</f>
        <v>974.04300000000012</v>
      </c>
      <c r="F31" s="115">
        <f t="shared" si="8"/>
        <v>10403.61</v>
      </c>
      <c r="G31" s="118">
        <f>E31/$E$32</f>
        <v>2.0630575477580536E-2</v>
      </c>
      <c r="H31" s="118">
        <f t="shared" si="4"/>
        <v>-0.1677933142748757</v>
      </c>
      <c r="I31" s="119">
        <f>I13+I19+I25</f>
        <v>1170.434</v>
      </c>
      <c r="J31" s="134">
        <f t="shared" ref="J31" si="10">J13+J19+J25</f>
        <v>12516.707</v>
      </c>
      <c r="K31" s="469">
        <f>I31/$I$32</f>
        <v>2.3461354536982691E-2</v>
      </c>
    </row>
    <row r="32" spans="1:20" ht="11.1" customHeight="1">
      <c r="A32" s="656"/>
      <c r="B32" s="657"/>
      <c r="C32" s="365" t="s">
        <v>0</v>
      </c>
      <c r="D32" s="366">
        <f>SUM(D27:D31)</f>
        <v>104840</v>
      </c>
      <c r="E32" s="367">
        <f>SUM(E27:E31)</f>
        <v>47213.564210000004</v>
      </c>
      <c r="F32" s="366">
        <f>SUM(F27:F31)</f>
        <v>504302.97490999999</v>
      </c>
      <c r="G32" s="370">
        <f>SUM(G27:G31)</f>
        <v>1</v>
      </c>
      <c r="H32" s="370">
        <f>(E32-I32)/I32</f>
        <v>-5.3603903436325991E-2</v>
      </c>
      <c r="I32" s="371">
        <f>SUM(I27:I31)</f>
        <v>49887.741909999997</v>
      </c>
      <c r="J32" s="382">
        <f>SUM(J27:J31)</f>
        <v>533654.95397000003</v>
      </c>
      <c r="K32" s="470">
        <f>SUM(K27:K31)</f>
        <v>1</v>
      </c>
    </row>
    <row r="33" spans="1:11" ht="9.9499999999999993" customHeight="1">
      <c r="A33" s="136"/>
      <c r="B33" s="137"/>
      <c r="C33" s="138"/>
      <c r="D33" s="105"/>
      <c r="E33" s="105"/>
      <c r="F33" s="105"/>
      <c r="G33" s="139"/>
      <c r="H33" s="140"/>
      <c r="I33" s="141"/>
      <c r="J33" s="141"/>
      <c r="K33" s="142"/>
    </row>
    <row r="34" spans="1:11" ht="12.95" customHeight="1">
      <c r="A34" s="709" t="s">
        <v>40</v>
      </c>
      <c r="B34" s="710"/>
      <c r="C34" s="710"/>
      <c r="D34" s="711"/>
      <c r="E34" s="331"/>
      <c r="F34" s="331"/>
      <c r="G34" s="332"/>
      <c r="H34" s="322"/>
      <c r="I34" s="333"/>
      <c r="J34" s="333"/>
      <c r="K34" s="471"/>
    </row>
    <row r="35" spans="1:11" ht="24.95" customHeight="1">
      <c r="A35" s="467"/>
      <c r="B35" s="325"/>
      <c r="C35" s="334"/>
      <c r="D35" s="335"/>
      <c r="E35" s="668">
        <f>'3.1'!D4</f>
        <v>2020</v>
      </c>
      <c r="F35" s="678"/>
      <c r="G35" s="679"/>
      <c r="H35" s="336"/>
      <c r="I35" s="671">
        <f>E35-1</f>
        <v>2019</v>
      </c>
      <c r="J35" s="680"/>
      <c r="K35" s="680"/>
    </row>
    <row r="36" spans="1:11" ht="24.95" customHeight="1">
      <c r="A36" s="467"/>
      <c r="B36" s="325"/>
      <c r="C36" s="326"/>
      <c r="D36" s="327"/>
      <c r="E36" s="663" t="s">
        <v>67</v>
      </c>
      <c r="F36" s="664"/>
      <c r="G36" s="712" t="s">
        <v>37</v>
      </c>
      <c r="H36" s="705" t="s">
        <v>299</v>
      </c>
      <c r="I36" s="661" t="s">
        <v>67</v>
      </c>
      <c r="J36" s="707"/>
      <c r="K36" s="676" t="s">
        <v>37</v>
      </c>
    </row>
    <row r="37" spans="1:11" ht="24.95" customHeight="1">
      <c r="A37" s="467"/>
      <c r="B37" s="328"/>
      <c r="C37" s="328"/>
      <c r="D37" s="689" t="s">
        <v>226</v>
      </c>
      <c r="E37" s="663"/>
      <c r="F37" s="665"/>
      <c r="G37" s="646"/>
      <c r="H37" s="705"/>
      <c r="I37" s="661"/>
      <c r="J37" s="708"/>
      <c r="K37" s="677"/>
    </row>
    <row r="38" spans="1:11" ht="15" customHeight="1">
      <c r="A38" s="704" t="s">
        <v>225</v>
      </c>
      <c r="B38" s="704"/>
      <c r="C38" s="407" t="s">
        <v>252</v>
      </c>
      <c r="D38" s="690"/>
      <c r="E38" s="406" t="s">
        <v>294</v>
      </c>
      <c r="F38" s="404" t="s">
        <v>289</v>
      </c>
      <c r="G38" s="405" t="s">
        <v>295</v>
      </c>
      <c r="H38" s="706"/>
      <c r="I38" s="329" t="s">
        <v>296</v>
      </c>
      <c r="J38" s="330" t="s">
        <v>289</v>
      </c>
      <c r="K38" s="329" t="s">
        <v>295</v>
      </c>
    </row>
    <row r="39" spans="1:11" ht="11.1" customHeight="1">
      <c r="A39" s="650" t="str">
        <f>'3.1'!D6</f>
        <v>Duben</v>
      </c>
      <c r="B39" s="651"/>
      <c r="C39" s="403" t="s">
        <v>4</v>
      </c>
      <c r="D39" s="120">
        <v>199</v>
      </c>
      <c r="E39" s="116">
        <v>26056.867000000002</v>
      </c>
      <c r="F39" s="120">
        <v>278262.99273</v>
      </c>
      <c r="G39" s="122">
        <f>E39/$E$44</f>
        <v>0.37983881877206638</v>
      </c>
      <c r="H39" s="122">
        <f>(E39-I39)/I39</f>
        <v>-0.10813332004842113</v>
      </c>
      <c r="I39" s="119">
        <v>29216.100999999999</v>
      </c>
      <c r="J39" s="135">
        <v>311658.72963999992</v>
      </c>
      <c r="K39" s="468">
        <f>I39/$I$44</f>
        <v>0.39886061087606772</v>
      </c>
    </row>
    <row r="40" spans="1:11" ht="11.1" customHeight="1">
      <c r="A40" s="652"/>
      <c r="B40" s="653"/>
      <c r="C40" s="403" t="s">
        <v>5</v>
      </c>
      <c r="D40" s="115">
        <v>830</v>
      </c>
      <c r="E40" s="116">
        <v>7051.9680000000008</v>
      </c>
      <c r="F40" s="115">
        <v>75308.287100000001</v>
      </c>
      <c r="G40" s="118">
        <f t="shared" ref="G40:G41" si="11">E40/$E$44</f>
        <v>0.10279866705150745</v>
      </c>
      <c r="H40" s="118">
        <f>(E40-I40)/I40</f>
        <v>-0.13859540087010552</v>
      </c>
      <c r="I40" s="119">
        <v>8186.5919999999996</v>
      </c>
      <c r="J40" s="134">
        <v>87044.384980000003</v>
      </c>
      <c r="K40" s="469">
        <f t="shared" ref="K40:K43" si="12">I40/$I$44</f>
        <v>0.11176402649050018</v>
      </c>
    </row>
    <row r="41" spans="1:11" ht="11.1" customHeight="1">
      <c r="A41" s="652"/>
      <c r="B41" s="653"/>
      <c r="C41" s="403" t="s">
        <v>6</v>
      </c>
      <c r="D41" s="115">
        <v>24695</v>
      </c>
      <c r="E41" s="116">
        <v>9482.6679999999997</v>
      </c>
      <c r="F41" s="115">
        <v>101266.60648</v>
      </c>
      <c r="G41" s="118">
        <f t="shared" si="11"/>
        <v>0.1382317149612681</v>
      </c>
      <c r="H41" s="118">
        <f t="shared" ref="H41:H43" si="13">(E41-I41)/I41</f>
        <v>-2.8675212261307655E-2</v>
      </c>
      <c r="I41" s="119">
        <v>9762.6130000000012</v>
      </c>
      <c r="J41" s="134">
        <v>104251.21534</v>
      </c>
      <c r="K41" s="469">
        <f t="shared" si="12"/>
        <v>0.1332799946483838</v>
      </c>
    </row>
    <row r="42" spans="1:11" ht="11.1" customHeight="1">
      <c r="A42" s="652"/>
      <c r="B42" s="653"/>
      <c r="C42" s="403" t="s">
        <v>7</v>
      </c>
      <c r="D42" s="115">
        <v>359861</v>
      </c>
      <c r="E42" s="116">
        <v>25093.9</v>
      </c>
      <c r="F42" s="115">
        <v>267979.59999999998</v>
      </c>
      <c r="G42" s="118">
        <f>E42/$E$44</f>
        <v>0.36580135802145197</v>
      </c>
      <c r="H42" s="118">
        <f t="shared" si="13"/>
        <v>8.5751663183420812E-4</v>
      </c>
      <c r="I42" s="119">
        <v>25072.400000000001</v>
      </c>
      <c r="J42" s="134">
        <v>267739.09999999998</v>
      </c>
      <c r="K42" s="469">
        <f t="shared" si="12"/>
        <v>0.34229046443018257</v>
      </c>
    </row>
    <row r="43" spans="1:11" ht="11.1" customHeight="1">
      <c r="A43" s="652"/>
      <c r="B43" s="653"/>
      <c r="C43" s="403" t="s">
        <v>112</v>
      </c>
      <c r="D43" s="115">
        <v>27</v>
      </c>
      <c r="E43" s="116">
        <v>914.39700000000005</v>
      </c>
      <c r="F43" s="115">
        <v>9764.9160199999988</v>
      </c>
      <c r="G43" s="118">
        <f>E43/$E$44</f>
        <v>1.3329441193706104E-2</v>
      </c>
      <c r="H43" s="118">
        <f t="shared" si="13"/>
        <v>-9.5725449320308381E-2</v>
      </c>
      <c r="I43" s="119">
        <v>1011.194</v>
      </c>
      <c r="J43" s="134">
        <v>11505.149990000002</v>
      </c>
      <c r="K43" s="469">
        <f t="shared" si="12"/>
        <v>1.3804903554865668E-2</v>
      </c>
    </row>
    <row r="44" spans="1:11" ht="11.1" customHeight="1">
      <c r="A44" s="654"/>
      <c r="B44" s="655"/>
      <c r="C44" s="365" t="s">
        <v>0</v>
      </c>
      <c r="D44" s="366">
        <v>385612</v>
      </c>
      <c r="E44" s="367">
        <v>68599.8</v>
      </c>
      <c r="F44" s="366">
        <v>732582.40233000007</v>
      </c>
      <c r="G44" s="370">
        <f>SUM(G39:G43)</f>
        <v>1</v>
      </c>
      <c r="H44" s="370">
        <f>(E44-I44)/I44</f>
        <v>-6.3469895111052929E-2</v>
      </c>
      <c r="I44" s="371">
        <v>73248.900000000009</v>
      </c>
      <c r="J44" s="382">
        <v>782198.57994999981</v>
      </c>
      <c r="K44" s="470">
        <f>SUM(K39:K43)</f>
        <v>0.99999999999999989</v>
      </c>
    </row>
    <row r="45" spans="1:11" ht="11.1" customHeight="1">
      <c r="A45" s="650" t="str">
        <f>'3.1'!E6</f>
        <v>Květen</v>
      </c>
      <c r="B45" s="651"/>
      <c r="C45" s="403" t="s">
        <v>4</v>
      </c>
      <c r="D45" s="120">
        <v>199</v>
      </c>
      <c r="E45" s="116">
        <v>19426.753000000001</v>
      </c>
      <c r="F45" s="120">
        <v>207558.14282999997</v>
      </c>
      <c r="G45" s="122">
        <f>E45/$E$50</f>
        <v>0.38932461030970811</v>
      </c>
      <c r="H45" s="122">
        <f>(E45-I45)/I45</f>
        <v>-0.17306887716802943</v>
      </c>
      <c r="I45" s="119">
        <v>23492.589</v>
      </c>
      <c r="J45" s="135">
        <v>250144.06009999997</v>
      </c>
      <c r="K45" s="468">
        <f>I45/$I$50</f>
        <v>0.38178473224384729</v>
      </c>
    </row>
    <row r="46" spans="1:11" ht="11.1" customHeight="1">
      <c r="A46" s="652"/>
      <c r="B46" s="653"/>
      <c r="C46" s="403" t="s">
        <v>5</v>
      </c>
      <c r="D46" s="115">
        <v>831</v>
      </c>
      <c r="E46" s="116">
        <v>5634.9210000000003</v>
      </c>
      <c r="F46" s="115">
        <v>60204.743800000098</v>
      </c>
      <c r="G46" s="118">
        <f t="shared" ref="G46:G48" si="14">E46/$E$50</f>
        <v>0.11292743684191542</v>
      </c>
      <c r="H46" s="118">
        <f>(E46-I46)/I46</f>
        <v>-0.16307332694378751</v>
      </c>
      <c r="I46" s="119">
        <v>6732.8729999999996</v>
      </c>
      <c r="J46" s="134">
        <v>71690.243880000024</v>
      </c>
      <c r="K46" s="469">
        <f t="shared" ref="K46:K49" si="15">I46/$I$50</f>
        <v>0.10941783025859042</v>
      </c>
    </row>
    <row r="47" spans="1:11" ht="11.1" customHeight="1">
      <c r="A47" s="652"/>
      <c r="B47" s="653"/>
      <c r="C47" s="403" t="s">
        <v>6</v>
      </c>
      <c r="D47" s="115">
        <v>24685</v>
      </c>
      <c r="E47" s="116">
        <v>6167.4960000000001</v>
      </c>
      <c r="F47" s="115">
        <v>65894.706260000006</v>
      </c>
      <c r="G47" s="118">
        <f t="shared" si="14"/>
        <v>0.12360058198025596</v>
      </c>
      <c r="H47" s="118">
        <f t="shared" ref="H47:H49" si="16">(E47-I47)/I47</f>
        <v>-0.27787038657815716</v>
      </c>
      <c r="I47" s="119">
        <v>8540.7049999999999</v>
      </c>
      <c r="J47" s="134">
        <v>90939.397230000002</v>
      </c>
      <c r="K47" s="469">
        <f t="shared" si="15"/>
        <v>0.13879742124627845</v>
      </c>
    </row>
    <row r="48" spans="1:11" ht="11.1" customHeight="1">
      <c r="A48" s="652"/>
      <c r="B48" s="653"/>
      <c r="C48" s="403" t="s">
        <v>7</v>
      </c>
      <c r="D48" s="115">
        <v>359715</v>
      </c>
      <c r="E48" s="116">
        <v>17656.2</v>
      </c>
      <c r="F48" s="115">
        <v>188641.8</v>
      </c>
      <c r="G48" s="118">
        <f t="shared" si="14"/>
        <v>0.353841590746033</v>
      </c>
      <c r="H48" s="118">
        <f t="shared" si="16"/>
        <v>-0.18437694883935787</v>
      </c>
      <c r="I48" s="119">
        <v>21647.5</v>
      </c>
      <c r="J48" s="134">
        <v>230498.7</v>
      </c>
      <c r="K48" s="469">
        <f t="shared" si="15"/>
        <v>0.35179966717370675</v>
      </c>
    </row>
    <row r="49" spans="1:11" ht="11.1" customHeight="1">
      <c r="A49" s="652"/>
      <c r="B49" s="653"/>
      <c r="C49" s="403" t="s">
        <v>112</v>
      </c>
      <c r="D49" s="115">
        <v>27</v>
      </c>
      <c r="E49" s="116">
        <v>1013.23</v>
      </c>
      <c r="F49" s="115">
        <v>10825.490430000002</v>
      </c>
      <c r="G49" s="118">
        <f>E49/$E$50</f>
        <v>2.0305780122087596E-2</v>
      </c>
      <c r="H49" s="118">
        <f t="shared" si="16"/>
        <v>-9.5276235274788734E-2</v>
      </c>
      <c r="I49" s="119">
        <v>1119.933</v>
      </c>
      <c r="J49" s="134">
        <v>11924.82323</v>
      </c>
      <c r="K49" s="469">
        <f t="shared" si="15"/>
        <v>1.820034907757713E-2</v>
      </c>
    </row>
    <row r="50" spans="1:11" ht="11.1" customHeight="1">
      <c r="A50" s="654"/>
      <c r="B50" s="655"/>
      <c r="C50" s="365" t="s">
        <v>0</v>
      </c>
      <c r="D50" s="366">
        <v>385457</v>
      </c>
      <c r="E50" s="367">
        <v>49898.6</v>
      </c>
      <c r="F50" s="366">
        <v>533124.88332000002</v>
      </c>
      <c r="G50" s="370">
        <f>SUM(G45:G49)</f>
        <v>1</v>
      </c>
      <c r="H50" s="370">
        <f t="shared" ref="H50" si="17">(E50-I50)/I50</f>
        <v>-0.1890836876113213</v>
      </c>
      <c r="I50" s="371">
        <v>61533.599999999999</v>
      </c>
      <c r="J50" s="382">
        <v>655197.22444000002</v>
      </c>
      <c r="K50" s="470">
        <f>SUM(K45:K49)</f>
        <v>1</v>
      </c>
    </row>
    <row r="51" spans="1:11" ht="11.1" customHeight="1">
      <c r="A51" s="656" t="str">
        <f>'3.1'!F6</f>
        <v>Červen</v>
      </c>
      <c r="B51" s="657"/>
      <c r="C51" s="402" t="s">
        <v>4</v>
      </c>
      <c r="D51" s="120">
        <v>200</v>
      </c>
      <c r="E51" s="270">
        <v>16464.153000000002</v>
      </c>
      <c r="F51" s="120">
        <v>176350.55015000011</v>
      </c>
      <c r="G51" s="122">
        <f>E51/$E$56</f>
        <v>0.50897445568000199</v>
      </c>
      <c r="H51" s="122">
        <f>(E51-I51)/I51</f>
        <v>-2.1989469020182405E-2</v>
      </c>
      <c r="I51" s="543">
        <v>16834.330999999998</v>
      </c>
      <c r="J51" s="135">
        <v>179594.16553000003</v>
      </c>
      <c r="K51" s="468">
        <f>I51/$I$56</f>
        <v>0.59718656658176472</v>
      </c>
    </row>
    <row r="52" spans="1:11" ht="11.1" customHeight="1">
      <c r="A52" s="656"/>
      <c r="B52" s="657"/>
      <c r="C52" s="403" t="s">
        <v>5</v>
      </c>
      <c r="D52" s="115">
        <v>833</v>
      </c>
      <c r="E52" s="116">
        <v>4405.1939999999995</v>
      </c>
      <c r="F52" s="115">
        <v>47184.890240000044</v>
      </c>
      <c r="G52" s="118">
        <f t="shared" ref="G52:G55" si="18">E52/$E$56</f>
        <v>0.1361826033999326</v>
      </c>
      <c r="H52" s="118">
        <f t="shared" ref="H52:H55" si="19">(E52-I52)/I52</f>
        <v>0.27848204863880299</v>
      </c>
      <c r="I52" s="119">
        <v>3445.6439999999998</v>
      </c>
      <c r="J52" s="134">
        <v>36759.614040000022</v>
      </c>
      <c r="K52" s="469">
        <f t="shared" ref="K52:K55" si="20">I52/$I$56</f>
        <v>0.12223190277196393</v>
      </c>
    </row>
    <row r="53" spans="1:11" ht="11.1" customHeight="1">
      <c r="A53" s="656"/>
      <c r="B53" s="657"/>
      <c r="C53" s="403" t="s">
        <v>6</v>
      </c>
      <c r="D53" s="115">
        <v>24683</v>
      </c>
      <c r="E53" s="116">
        <v>2623.799</v>
      </c>
      <c r="F53" s="115">
        <v>28103.537250000001</v>
      </c>
      <c r="G53" s="118">
        <f t="shared" si="18"/>
        <v>8.1112382024069715E-2</v>
      </c>
      <c r="H53" s="118">
        <f t="shared" si="19"/>
        <v>0.47533903346644629</v>
      </c>
      <c r="I53" s="119">
        <v>1778.4380000000001</v>
      </c>
      <c r="J53" s="134">
        <v>18973.366320000001</v>
      </c>
      <c r="K53" s="469">
        <f t="shared" si="20"/>
        <v>6.3088891569171399E-2</v>
      </c>
    </row>
    <row r="54" spans="1:11" ht="11.1" customHeight="1">
      <c r="A54" s="656"/>
      <c r="B54" s="657"/>
      <c r="C54" s="403" t="s">
        <v>7</v>
      </c>
      <c r="D54" s="115">
        <v>359634</v>
      </c>
      <c r="E54" s="116">
        <v>7759.7</v>
      </c>
      <c r="F54" s="115">
        <v>83115.5</v>
      </c>
      <c r="G54" s="118">
        <f t="shared" si="18"/>
        <v>0.23988413395697375</v>
      </c>
      <c r="H54" s="118">
        <f t="shared" si="19"/>
        <v>0.54188689742876428</v>
      </c>
      <c r="I54" s="119">
        <v>5032.6000000000004</v>
      </c>
      <c r="J54" s="134">
        <v>53689.2</v>
      </c>
      <c r="K54" s="469">
        <f t="shared" si="20"/>
        <v>0.17852809921459842</v>
      </c>
    </row>
    <row r="55" spans="1:11" ht="11.1" customHeight="1">
      <c r="A55" s="656"/>
      <c r="B55" s="657"/>
      <c r="C55" s="403" t="s">
        <v>112</v>
      </c>
      <c r="D55" s="115">
        <v>27</v>
      </c>
      <c r="E55" s="116">
        <v>1094.854</v>
      </c>
      <c r="F55" s="115">
        <v>11727.195759999999</v>
      </c>
      <c r="G55" s="118">
        <f t="shared" si="18"/>
        <v>3.3846424939021943E-2</v>
      </c>
      <c r="H55" s="118">
        <f t="shared" si="19"/>
        <v>-3.216534791471405E-3</v>
      </c>
      <c r="I55" s="119">
        <v>1098.3869999999999</v>
      </c>
      <c r="J55" s="134">
        <v>11717.945250000001</v>
      </c>
      <c r="K55" s="469">
        <f t="shared" si="20"/>
        <v>3.8964539862501507E-2</v>
      </c>
    </row>
    <row r="56" spans="1:11" ht="11.1" customHeight="1">
      <c r="A56" s="656"/>
      <c r="B56" s="657"/>
      <c r="C56" s="365" t="s">
        <v>0</v>
      </c>
      <c r="D56" s="366">
        <v>385377</v>
      </c>
      <c r="E56" s="367">
        <v>32347.7</v>
      </c>
      <c r="F56" s="366">
        <v>346481.67340000015</v>
      </c>
      <c r="G56" s="370">
        <f>SUM(G51:G55)</f>
        <v>0.99999999999999989</v>
      </c>
      <c r="H56" s="370">
        <f t="shared" ref="H56" si="21">(E56-I56)/I56</f>
        <v>0.147512894917948</v>
      </c>
      <c r="I56" s="371">
        <v>28189.399999999998</v>
      </c>
      <c r="J56" s="382">
        <v>300734.29114000004</v>
      </c>
      <c r="K56" s="470">
        <f>SUM(K51:K55)</f>
        <v>1</v>
      </c>
    </row>
    <row r="57" spans="1:11" ht="11.1" customHeight="1">
      <c r="A57" s="658" t="str">
        <f>'3.1'!G6</f>
        <v>II. čtvrtletí</v>
      </c>
      <c r="B57" s="659"/>
      <c r="C57" s="403" t="s">
        <v>4</v>
      </c>
      <c r="D57" s="115">
        <f>D51</f>
        <v>200</v>
      </c>
      <c r="E57" s="116">
        <f>E39+E45+E51</f>
        <v>61947.773000000001</v>
      </c>
      <c r="F57" s="115">
        <f>F39+F45+F51</f>
        <v>662171.68571000011</v>
      </c>
      <c r="G57" s="118">
        <f>E57/$E$62</f>
        <v>0.41066870804084427</v>
      </c>
      <c r="H57" s="118">
        <f>(E57-I57)/I57</f>
        <v>-0.10921653806210124</v>
      </c>
      <c r="I57" s="119">
        <f>I39+I45+I51</f>
        <v>69543.021000000008</v>
      </c>
      <c r="J57" s="134">
        <f>J39+J45+J51</f>
        <v>741396.95526999992</v>
      </c>
      <c r="K57" s="469">
        <f>I57/$I$62</f>
        <v>0.42671786363170588</v>
      </c>
    </row>
    <row r="58" spans="1:11" ht="11.1" customHeight="1">
      <c r="A58" s="656"/>
      <c r="B58" s="657"/>
      <c r="C58" s="403" t="s">
        <v>5</v>
      </c>
      <c r="D58" s="115">
        <f>D52</f>
        <v>833</v>
      </c>
      <c r="E58" s="116">
        <f t="shared" ref="E58:F58" si="22">E40+E46+E52</f>
        <v>17092.082999999999</v>
      </c>
      <c r="F58" s="115">
        <f t="shared" si="22"/>
        <v>182697.92114000014</v>
      </c>
      <c r="G58" s="118">
        <f t="shared" ref="G58:G61" si="23">E58/$E$62</f>
        <v>0.11330808685143333</v>
      </c>
      <c r="H58" s="118">
        <f t="shared" ref="H58:H61" si="24">(E58-I58)/I58</f>
        <v>-6.9317639225555464E-2</v>
      </c>
      <c r="I58" s="119">
        <f t="shared" ref="I58:J59" si="25">I40+I46+I52</f>
        <v>18365.109</v>
      </c>
      <c r="J58" s="134">
        <f t="shared" si="25"/>
        <v>195494.24290000004</v>
      </c>
      <c r="K58" s="469">
        <f t="shared" ref="K58:K61" si="26">I58/$I$62</f>
        <v>0.11268880708882943</v>
      </c>
    </row>
    <row r="59" spans="1:11" ht="11.1" customHeight="1">
      <c r="A59" s="656"/>
      <c r="B59" s="657"/>
      <c r="C59" s="403" t="s">
        <v>6</v>
      </c>
      <c r="D59" s="115">
        <f>D53</f>
        <v>24683</v>
      </c>
      <c r="E59" s="116">
        <f>E41+E47+E53</f>
        <v>18273.963</v>
      </c>
      <c r="F59" s="115">
        <f t="shared" ref="F59" si="27">F41+F47+F53</f>
        <v>195264.84999000002</v>
      </c>
      <c r="G59" s="118">
        <f t="shared" si="23"/>
        <v>0.12114309219794213</v>
      </c>
      <c r="H59" s="118">
        <f t="shared" si="24"/>
        <v>-9.0021659460457606E-2</v>
      </c>
      <c r="I59" s="119">
        <f>I41+I47+I53</f>
        <v>20081.756000000001</v>
      </c>
      <c r="J59" s="134">
        <f t="shared" si="25"/>
        <v>214163.97889</v>
      </c>
      <c r="K59" s="469">
        <f t="shared" si="26"/>
        <v>0.123222199655278</v>
      </c>
    </row>
    <row r="60" spans="1:11" ht="11.1" customHeight="1">
      <c r="A60" s="656"/>
      <c r="B60" s="657"/>
      <c r="C60" s="403" t="s">
        <v>7</v>
      </c>
      <c r="D60" s="115">
        <f>D54</f>
        <v>359634</v>
      </c>
      <c r="E60" s="116">
        <f t="shared" ref="E60:F60" si="28">E42+E48+E54</f>
        <v>50509.8</v>
      </c>
      <c r="F60" s="115">
        <f t="shared" si="28"/>
        <v>539736.89999999991</v>
      </c>
      <c r="G60" s="118">
        <f t="shared" si="23"/>
        <v>0.33484326078035825</v>
      </c>
      <c r="H60" s="118">
        <f t="shared" si="24"/>
        <v>-2.401236655234041E-2</v>
      </c>
      <c r="I60" s="119">
        <f t="shared" ref="I60:J61" si="29">I42+I48+I54</f>
        <v>51752.5</v>
      </c>
      <c r="J60" s="134">
        <f t="shared" si="29"/>
        <v>551927</v>
      </c>
      <c r="K60" s="469">
        <f t="shared" si="26"/>
        <v>0.31755474410005652</v>
      </c>
    </row>
    <row r="61" spans="1:11" ht="11.1" customHeight="1">
      <c r="A61" s="656"/>
      <c r="B61" s="657"/>
      <c r="C61" s="403" t="s">
        <v>112</v>
      </c>
      <c r="D61" s="115">
        <f>D55</f>
        <v>27</v>
      </c>
      <c r="E61" s="116">
        <f>E43+E49+E55</f>
        <v>3022.4809999999998</v>
      </c>
      <c r="F61" s="115">
        <f t="shared" ref="F61" si="30">F43+F49+F55</f>
        <v>32317.602210000001</v>
      </c>
      <c r="G61" s="118">
        <f t="shared" si="23"/>
        <v>2.003685212942197E-2</v>
      </c>
      <c r="H61" s="118">
        <f t="shared" si="24"/>
        <v>-6.410654977807817E-2</v>
      </c>
      <c r="I61" s="119">
        <f>I43+I49+I55</f>
        <v>3229.5140000000001</v>
      </c>
      <c r="J61" s="134">
        <f t="shared" si="29"/>
        <v>35147.918470000004</v>
      </c>
      <c r="K61" s="469">
        <f t="shared" si="26"/>
        <v>1.9816385524130235E-2</v>
      </c>
    </row>
    <row r="62" spans="1:11" ht="11.1" customHeight="1">
      <c r="A62" s="656"/>
      <c r="B62" s="657"/>
      <c r="C62" s="365" t="s">
        <v>0</v>
      </c>
      <c r="D62" s="366">
        <f>SUM(D57:D61)</f>
        <v>385377</v>
      </c>
      <c r="E62" s="367">
        <f>SUM(E57:E61)</f>
        <v>150846.1</v>
      </c>
      <c r="F62" s="366">
        <f>SUM(F57:F61)</f>
        <v>1612188.9590499999</v>
      </c>
      <c r="G62" s="370">
        <f>SUM(G57:G61)</f>
        <v>0.99999999999999989</v>
      </c>
      <c r="H62" s="370">
        <f>(E62-I62)/I62</f>
        <v>-7.4404237785777719E-2</v>
      </c>
      <c r="I62" s="371">
        <f>SUM(I57:I61)</f>
        <v>162971.9</v>
      </c>
      <c r="J62" s="382">
        <f>SUM(J57:J61)</f>
        <v>1738130.0955299998</v>
      </c>
      <c r="K62" s="470">
        <f>SUM(K57:K61)</f>
        <v>1</v>
      </c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E36:F37"/>
    <mergeCell ref="I36:J37"/>
    <mergeCell ref="G6:G7"/>
    <mergeCell ref="G36:G37"/>
    <mergeCell ref="K36:K37"/>
    <mergeCell ref="E35:G35"/>
    <mergeCell ref="I35:K35"/>
    <mergeCell ref="H36:H38"/>
    <mergeCell ref="A45:B50"/>
    <mergeCell ref="A51:B56"/>
    <mergeCell ref="A57:B62"/>
    <mergeCell ref="A39:B44"/>
    <mergeCell ref="D7:D8"/>
    <mergeCell ref="A38:B38"/>
    <mergeCell ref="A9:B14"/>
    <mergeCell ref="A15:B20"/>
    <mergeCell ref="A21:B26"/>
    <mergeCell ref="A27:B32"/>
    <mergeCell ref="A34:D34"/>
    <mergeCell ref="D37:D38"/>
    <mergeCell ref="A2:K2"/>
    <mergeCell ref="A4:D4"/>
    <mergeCell ref="A8:B8"/>
    <mergeCell ref="H6:H8"/>
    <mergeCell ref="I5:K5"/>
    <mergeCell ref="E5:G5"/>
    <mergeCell ref="A3:C3"/>
    <mergeCell ref="K6:K7"/>
    <mergeCell ref="E6:F7"/>
    <mergeCell ref="I6:J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267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41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50</v>
      </c>
      <c r="E8" s="116">
        <v>8004.9759999999997</v>
      </c>
      <c r="F8" s="120">
        <v>85486.165650000024</v>
      </c>
      <c r="G8" s="122">
        <f>E8/$E$13</f>
        <v>0.50631398518687176</v>
      </c>
      <c r="H8" s="122">
        <f>(E8-I8)/I8</f>
        <v>-8.2264960817010221E-2</v>
      </c>
      <c r="I8" s="119">
        <v>8722.5349999999999</v>
      </c>
      <c r="J8" s="135">
        <v>92871.896629999988</v>
      </c>
      <c r="K8" s="468">
        <f>I8/$I$13</f>
        <v>0.5419709707284035</v>
      </c>
    </row>
    <row r="9" spans="1:16" ht="11.1" customHeight="1">
      <c r="A9" s="652"/>
      <c r="B9" s="653"/>
      <c r="C9" s="403" t="s">
        <v>5</v>
      </c>
      <c r="D9" s="115">
        <v>186</v>
      </c>
      <c r="E9" s="116">
        <v>2040.442</v>
      </c>
      <c r="F9" s="115">
        <v>21790.118119999977</v>
      </c>
      <c r="G9" s="118">
        <f>E9/$E$13</f>
        <v>0.12905776613979494</v>
      </c>
      <c r="H9" s="118">
        <f>(E9-I9)/I9</f>
        <v>0.18882628834445181</v>
      </c>
      <c r="I9" s="119">
        <v>1716.3500000000001</v>
      </c>
      <c r="J9" s="134">
        <v>18335.603770000005</v>
      </c>
      <c r="K9" s="469">
        <f>I9/$I$13</f>
        <v>0.10664467102851356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6009</v>
      </c>
      <c r="E10" s="116">
        <v>2350.806</v>
      </c>
      <c r="F10" s="115">
        <v>25104.2673</v>
      </c>
      <c r="G10" s="118">
        <f>E10/$E$13</f>
        <v>0.14868826018481621</v>
      </c>
      <c r="H10" s="118">
        <f t="shared" ref="H10:H12" si="0">(E10-I10)/I10</f>
        <v>-1.6196639642972434E-2</v>
      </c>
      <c r="I10" s="119">
        <v>2389.5079999999998</v>
      </c>
      <c r="J10" s="134">
        <v>25516.281790000001</v>
      </c>
      <c r="K10" s="469">
        <f>I10/$I$13</f>
        <v>0.14847105461007448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78374</v>
      </c>
      <c r="E11" s="116">
        <v>3302.8</v>
      </c>
      <c r="F11" s="115">
        <v>35270.699999999997</v>
      </c>
      <c r="G11" s="118">
        <f>E11/$E$13</f>
        <v>0.208901791869857</v>
      </c>
      <c r="H11" s="118">
        <f t="shared" si="0"/>
        <v>5.4735900875008014E-2</v>
      </c>
      <c r="I11" s="119">
        <v>3131.4</v>
      </c>
      <c r="J11" s="134">
        <v>33439.300000000003</v>
      </c>
      <c r="K11" s="469">
        <f>I11/$I$13</f>
        <v>0.1945681957984603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7</v>
      </c>
      <c r="E12" s="116">
        <v>111.276</v>
      </c>
      <c r="F12" s="115">
        <v>1188.3317199999999</v>
      </c>
      <c r="G12" s="118">
        <f>E12/$E$13</f>
        <v>7.038196618659987E-3</v>
      </c>
      <c r="H12" s="118">
        <f t="shared" si="0"/>
        <v>-0.17148026536219255</v>
      </c>
      <c r="I12" s="119">
        <v>134.30699999999999</v>
      </c>
      <c r="J12" s="134">
        <v>1700.6794600000001</v>
      </c>
      <c r="K12" s="469">
        <f>I12/$I$13</f>
        <v>8.3451078345480635E-3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84626</v>
      </c>
      <c r="E13" s="367">
        <v>15810.300000000001</v>
      </c>
      <c r="F13" s="366">
        <v>168839.58278999999</v>
      </c>
      <c r="G13" s="370">
        <f>SUM(G8:G12)</f>
        <v>0.99999999999999989</v>
      </c>
      <c r="H13" s="370">
        <f>(E13-I13)/I13</f>
        <v>-1.7633791265121955E-2</v>
      </c>
      <c r="I13" s="371">
        <v>16094.1</v>
      </c>
      <c r="J13" s="382">
        <v>171863.76165</v>
      </c>
      <c r="K13" s="470">
        <f>SUM(K8:K12)</f>
        <v>1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50</v>
      </c>
      <c r="E14" s="116">
        <v>7382.1550000000007</v>
      </c>
      <c r="F14" s="120">
        <v>78872.344520000028</v>
      </c>
      <c r="G14" s="122">
        <f>E14/$E$19</f>
        <v>0.55629568506880078</v>
      </c>
      <c r="H14" s="122">
        <f>(E14-I14)/I14</f>
        <v>-8.7674809737476558E-2</v>
      </c>
      <c r="I14" s="119">
        <v>8091.5830000000005</v>
      </c>
      <c r="J14" s="135">
        <v>86157.216490000021</v>
      </c>
      <c r="K14" s="468">
        <f>I14/$I$19</f>
        <v>0.55533629363238313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186</v>
      </c>
      <c r="E15" s="116">
        <v>1907.5339999999999</v>
      </c>
      <c r="F15" s="115">
        <v>20380.540710000001</v>
      </c>
      <c r="G15" s="118">
        <f>E15/$E$19</f>
        <v>0.14374568582236891</v>
      </c>
      <c r="H15" s="118">
        <f>(E15-I15)/I15</f>
        <v>0.25940675901491389</v>
      </c>
      <c r="I15" s="119">
        <v>1514.6289999999999</v>
      </c>
      <c r="J15" s="134">
        <v>16127.760890000003</v>
      </c>
      <c r="K15" s="469">
        <f>I15/$I$19</f>
        <v>0.10395103839237918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6007</v>
      </c>
      <c r="E16" s="116">
        <v>1528.529</v>
      </c>
      <c r="F16" s="115">
        <v>16331.40727</v>
      </c>
      <c r="G16" s="118">
        <f>E16/$E$19</f>
        <v>0.1151850763364531</v>
      </c>
      <c r="H16" s="118">
        <f t="shared" ref="H16:H19" si="1">(E16-I16)/I16</f>
        <v>-0.2687569726299755</v>
      </c>
      <c r="I16" s="119">
        <v>2090.3159999999998</v>
      </c>
      <c r="J16" s="134">
        <v>22257.459409999999</v>
      </c>
      <c r="K16" s="469">
        <f>I16/$I$19</f>
        <v>0.14346121642211027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78342</v>
      </c>
      <c r="E17" s="116">
        <v>2323.9</v>
      </c>
      <c r="F17" s="115">
        <v>24828.5</v>
      </c>
      <c r="G17" s="118">
        <f>E17/$E$19</f>
        <v>0.17512170125544452</v>
      </c>
      <c r="H17" s="118">
        <f t="shared" si="1"/>
        <v>-0.1404741650331027</v>
      </c>
      <c r="I17" s="119">
        <v>2703.7</v>
      </c>
      <c r="J17" s="134">
        <v>28788.2</v>
      </c>
      <c r="K17" s="469">
        <f>I17/$I$19</f>
        <v>0.18555859058652355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7</v>
      </c>
      <c r="E18" s="116">
        <v>128.08199999999999</v>
      </c>
      <c r="F18" s="115">
        <v>1368.4441400000001</v>
      </c>
      <c r="G18" s="118">
        <f>E18/$E$19</f>
        <v>9.651851516932675E-3</v>
      </c>
      <c r="H18" s="118">
        <f t="shared" si="1"/>
        <v>-0.24822153875049902</v>
      </c>
      <c r="I18" s="119">
        <v>170.37200000000001</v>
      </c>
      <c r="J18" s="134">
        <v>1814.0782800000002</v>
      </c>
      <c r="K18" s="469">
        <f>I18/$I$19</f>
        <v>1.1692860966603985E-2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84592</v>
      </c>
      <c r="E19" s="367">
        <v>13270.2</v>
      </c>
      <c r="F19" s="366">
        <v>141781.23664000005</v>
      </c>
      <c r="G19" s="370">
        <f>SUM(G14:G18)</f>
        <v>1</v>
      </c>
      <c r="H19" s="370">
        <f t="shared" si="1"/>
        <v>-8.9248212153239942E-2</v>
      </c>
      <c r="I19" s="371">
        <v>14570.599999999999</v>
      </c>
      <c r="J19" s="382">
        <v>155144.71507000001</v>
      </c>
      <c r="K19" s="470">
        <f>SUM(K14:K18)</f>
        <v>1.0000000000000002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51</v>
      </c>
      <c r="E20" s="270">
        <v>6727.3710000000001</v>
      </c>
      <c r="F20" s="120">
        <v>72058.179540000012</v>
      </c>
      <c r="G20" s="122">
        <f>E20/$E$25</f>
        <v>0.66515434051809375</v>
      </c>
      <c r="H20" s="122">
        <f>(E20-I20)/I20</f>
        <v>-8.9397500536017041E-2</v>
      </c>
      <c r="I20" s="543">
        <v>7387.8239999999996</v>
      </c>
      <c r="J20" s="135">
        <v>78816.148180000004</v>
      </c>
      <c r="K20" s="468">
        <f>I20/$I$25</f>
        <v>0.79457764202284409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186</v>
      </c>
      <c r="E21" s="116">
        <v>1570.8520000000001</v>
      </c>
      <c r="F21" s="115">
        <v>16825.701109999998</v>
      </c>
      <c r="G21" s="118">
        <f>E21/$E$25</f>
        <v>0.15531461340715841</v>
      </c>
      <c r="H21" s="118">
        <f t="shared" ref="H21:H25" si="2">(E21-I21)/I21</f>
        <v>1.3154428498991784</v>
      </c>
      <c r="I21" s="119">
        <v>678.42399999999998</v>
      </c>
      <c r="J21" s="134">
        <v>7237.854180000003</v>
      </c>
      <c r="K21" s="469">
        <f>I21/$I$25</f>
        <v>7.2966077996945516E-2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6007</v>
      </c>
      <c r="E22" s="116">
        <v>650.25400000000002</v>
      </c>
      <c r="F22" s="115">
        <v>6965.02196</v>
      </c>
      <c r="G22" s="118">
        <f>E22/$E$25</f>
        <v>6.4292465888866918E-2</v>
      </c>
      <c r="H22" s="118">
        <f t="shared" si="2"/>
        <v>0.49458596603328631</v>
      </c>
      <c r="I22" s="119">
        <v>435.07300000000004</v>
      </c>
      <c r="J22" s="134">
        <v>4641.8433800000003</v>
      </c>
      <c r="K22" s="469">
        <f>I22/$I$25</f>
        <v>4.6793112349157874E-2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78324</v>
      </c>
      <c r="E23" s="116">
        <v>1021.3</v>
      </c>
      <c r="F23" s="115">
        <v>10939.4</v>
      </c>
      <c r="G23" s="118">
        <f>E23/$E$25</f>
        <v>0.10097884121020367</v>
      </c>
      <c r="H23" s="118">
        <f t="shared" si="2"/>
        <v>0.62498011137629272</v>
      </c>
      <c r="I23" s="119">
        <v>628.5</v>
      </c>
      <c r="J23" s="134">
        <v>6705.5</v>
      </c>
      <c r="K23" s="469">
        <f>I23/$I$25</f>
        <v>6.7596635763298857E-2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7</v>
      </c>
      <c r="E24" s="116">
        <v>144.22300000000001</v>
      </c>
      <c r="F24" s="115">
        <v>1544.8002900000001</v>
      </c>
      <c r="G24" s="118">
        <f>E24/$E$25</f>
        <v>1.425973897567728E-2</v>
      </c>
      <c r="H24" s="118">
        <f t="shared" si="2"/>
        <v>-0.14142243970972562</v>
      </c>
      <c r="I24" s="119">
        <v>167.97900000000001</v>
      </c>
      <c r="J24" s="134">
        <v>1792.04755</v>
      </c>
      <c r="K24" s="469">
        <f>I24/$I$25</f>
        <v>1.8066531867753664E-2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84575</v>
      </c>
      <c r="E25" s="367">
        <v>10114</v>
      </c>
      <c r="F25" s="366">
        <v>108333.1029</v>
      </c>
      <c r="G25" s="370">
        <f>SUM(G20:G23)</f>
        <v>0.98574026102432266</v>
      </c>
      <c r="H25" s="370">
        <f t="shared" si="2"/>
        <v>8.7784207016713717E-2</v>
      </c>
      <c r="I25" s="371">
        <v>9297.7999999999993</v>
      </c>
      <c r="J25" s="382">
        <v>99193.393290000022</v>
      </c>
      <c r="K25" s="470">
        <f>SUM(K20:K24)</f>
        <v>1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51</v>
      </c>
      <c r="E26" s="116">
        <f>E8+E14+E20</f>
        <v>22114.502</v>
      </c>
      <c r="F26" s="115">
        <f>F8+F14+F20</f>
        <v>236416.68971000006</v>
      </c>
      <c r="G26" s="118">
        <f>E26/$E$31</f>
        <v>0.56422462335276635</v>
      </c>
      <c r="H26" s="118">
        <f>(E26-I26)/I26</f>
        <v>-8.6250929780759003E-2</v>
      </c>
      <c r="I26" s="119">
        <f>I8+I14+I20</f>
        <v>24201.942000000003</v>
      </c>
      <c r="J26" s="134">
        <f>J8+J14+J20</f>
        <v>257845.26130000001</v>
      </c>
      <c r="K26" s="469">
        <f>I26/$I$31</f>
        <v>0.60561631529558968</v>
      </c>
    </row>
    <row r="27" spans="1:20" ht="11.1" customHeight="1">
      <c r="A27" s="656"/>
      <c r="B27" s="657"/>
      <c r="C27" s="403" t="s">
        <v>5</v>
      </c>
      <c r="D27" s="115">
        <f>D21</f>
        <v>186</v>
      </c>
      <c r="E27" s="116">
        <f t="shared" ref="E27:F30" si="3">E9+E15+E21</f>
        <v>5518.8279999999995</v>
      </c>
      <c r="F27" s="115">
        <f t="shared" si="3"/>
        <v>58996.35993999998</v>
      </c>
      <c r="G27" s="118">
        <f>E27/$E$31</f>
        <v>0.14080618454119836</v>
      </c>
      <c r="H27" s="118">
        <f t="shared" ref="H27:H30" si="4">(E27-I27)/I27</f>
        <v>0.41168050467040601</v>
      </c>
      <c r="I27" s="119">
        <f t="shared" ref="I27:J27" si="5">I9+I15+I21</f>
        <v>3909.4030000000002</v>
      </c>
      <c r="J27" s="134">
        <f t="shared" si="5"/>
        <v>41701.218840000009</v>
      </c>
      <c r="K27" s="469">
        <f>I27/$I$31</f>
        <v>9.7826787613387561E-2</v>
      </c>
    </row>
    <row r="28" spans="1:20" ht="11.1" customHeight="1">
      <c r="A28" s="656"/>
      <c r="B28" s="657"/>
      <c r="C28" s="403" t="s">
        <v>6</v>
      </c>
      <c r="D28" s="115">
        <f>D22</f>
        <v>6007</v>
      </c>
      <c r="E28" s="116">
        <f t="shared" si="3"/>
        <v>4529.5889999999999</v>
      </c>
      <c r="F28" s="115">
        <f t="shared" si="3"/>
        <v>48400.696530000001</v>
      </c>
      <c r="G28" s="118">
        <f>E28/$E$31</f>
        <v>0.11556695454719412</v>
      </c>
      <c r="H28" s="118">
        <f t="shared" si="4"/>
        <v>-7.8395946039154021E-2</v>
      </c>
      <c r="I28" s="119">
        <f t="shared" ref="I28:J28" si="6">I10+I16+I22</f>
        <v>4914.8969999999999</v>
      </c>
      <c r="J28" s="134">
        <f t="shared" si="6"/>
        <v>52415.584580000002</v>
      </c>
      <c r="K28" s="469">
        <f>I28/$I$31</f>
        <v>0.12298772599311855</v>
      </c>
    </row>
    <row r="29" spans="1:20" ht="11.1" customHeight="1">
      <c r="A29" s="656"/>
      <c r="B29" s="657"/>
      <c r="C29" s="403" t="s">
        <v>7</v>
      </c>
      <c r="D29" s="115">
        <f>D23</f>
        <v>78324</v>
      </c>
      <c r="E29" s="116">
        <f t="shared" si="3"/>
        <v>6648.0000000000009</v>
      </c>
      <c r="F29" s="115">
        <f t="shared" si="3"/>
        <v>71038.599999999991</v>
      </c>
      <c r="G29" s="118">
        <f>E29/$E$31</f>
        <v>0.16961563484672595</v>
      </c>
      <c r="H29" s="118">
        <f t="shared" si="4"/>
        <v>2.8528993130763125E-2</v>
      </c>
      <c r="I29" s="119">
        <f t="shared" ref="I29:J29" si="7">I11+I17+I23</f>
        <v>6463.6</v>
      </c>
      <c r="J29" s="134">
        <f t="shared" si="7"/>
        <v>68933</v>
      </c>
      <c r="K29" s="469">
        <f>I29/$I$31</f>
        <v>0.16174163278073195</v>
      </c>
    </row>
    <row r="30" spans="1:20" ht="11.1" customHeight="1">
      <c r="A30" s="656"/>
      <c r="B30" s="657"/>
      <c r="C30" s="403" t="s">
        <v>112</v>
      </c>
      <c r="D30" s="115">
        <f>D24</f>
        <v>7</v>
      </c>
      <c r="E30" s="116">
        <f>E12+E18+E24</f>
        <v>383.58100000000002</v>
      </c>
      <c r="F30" s="115">
        <f t="shared" si="3"/>
        <v>4101.5761499999999</v>
      </c>
      <c r="G30" s="118">
        <f>E30/$E$31</f>
        <v>9.7866027121152211E-3</v>
      </c>
      <c r="H30" s="118">
        <f t="shared" si="4"/>
        <v>-0.18845973198380223</v>
      </c>
      <c r="I30" s="119">
        <f>I12+I18+I24</f>
        <v>472.65800000000002</v>
      </c>
      <c r="J30" s="134">
        <f t="shared" ref="J30" si="8">J12+J18+J24</f>
        <v>5306.8052900000002</v>
      </c>
      <c r="K30" s="469">
        <f>I30/$I$31</f>
        <v>1.1827538317172349E-2</v>
      </c>
    </row>
    <row r="31" spans="1:20" ht="11.1" customHeight="1">
      <c r="A31" s="656"/>
      <c r="B31" s="657"/>
      <c r="C31" s="365" t="s">
        <v>0</v>
      </c>
      <c r="D31" s="366">
        <f>SUM(D26:D30)</f>
        <v>84575</v>
      </c>
      <c r="E31" s="367">
        <f>SUM(E26:E30)</f>
        <v>39194.5</v>
      </c>
      <c r="F31" s="366">
        <f>SUM(F26:F30)</f>
        <v>418953.92233000003</v>
      </c>
      <c r="G31" s="370">
        <f>SUM(G26:G30)</f>
        <v>0.99999999999999989</v>
      </c>
      <c r="H31" s="370">
        <f>(E31-I31)/I31</f>
        <v>-1.9218016890835157E-2</v>
      </c>
      <c r="I31" s="371">
        <f>SUM(I26:I30)</f>
        <v>39962.5</v>
      </c>
      <c r="J31" s="382">
        <f>SUM(J26:J30)</f>
        <v>426201.87001000001</v>
      </c>
      <c r="K31" s="470">
        <f>SUM(K26:K30)</f>
        <v>1.0000000000000002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42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81</v>
      </c>
      <c r="E38" s="116">
        <v>8210.6310000000012</v>
      </c>
      <c r="F38" s="120">
        <v>87682.200529999987</v>
      </c>
      <c r="G38" s="122">
        <f>E38/$E$43</f>
        <v>0.39014269287058345</v>
      </c>
      <c r="H38" s="122">
        <f>(E38-I38)/I38</f>
        <v>-0.23540712977878045</v>
      </c>
      <c r="I38" s="119">
        <v>10738.566000000001</v>
      </c>
      <c r="J38" s="135">
        <v>114670.61127000011</v>
      </c>
      <c r="K38" s="468">
        <f>I38/$I$43</f>
        <v>0.44896861399012478</v>
      </c>
    </row>
    <row r="39" spans="1:11" ht="11.1" customHeight="1">
      <c r="A39" s="652"/>
      <c r="B39" s="653"/>
      <c r="C39" s="403" t="s">
        <v>5</v>
      </c>
      <c r="D39" s="115">
        <v>238</v>
      </c>
      <c r="E39" s="116">
        <v>2022.1129999999998</v>
      </c>
      <c r="F39" s="115">
        <v>21594.479789999998</v>
      </c>
      <c r="G39" s="118">
        <f t="shared" ref="G39" si="9">E39/$E$43</f>
        <v>9.6084285252694204E-2</v>
      </c>
      <c r="H39" s="118">
        <f>(E39-I39)/I39</f>
        <v>-7.2437107268675999E-2</v>
      </c>
      <c r="I39" s="119">
        <v>2180.027916</v>
      </c>
      <c r="J39" s="134">
        <v>23225.255959999999</v>
      </c>
      <c r="K39" s="469">
        <f t="shared" ref="K39:K42" si="10">I39/$I$43</f>
        <v>9.1144768482709901E-2</v>
      </c>
    </row>
    <row r="40" spans="1:11" ht="11.1" customHeight="1">
      <c r="A40" s="652"/>
      <c r="B40" s="653"/>
      <c r="C40" s="403" t="s">
        <v>6</v>
      </c>
      <c r="D40" s="115">
        <v>9813</v>
      </c>
      <c r="E40" s="116">
        <v>3720.8029999999999</v>
      </c>
      <c r="F40" s="115">
        <v>39734.446240000005</v>
      </c>
      <c r="G40" s="118">
        <f>E40/$E$43</f>
        <v>0.17680055309524265</v>
      </c>
      <c r="H40" s="118">
        <f t="shared" ref="H40:H42" si="11">(E40-I40)/I40</f>
        <v>-4.6523213046077629E-2</v>
      </c>
      <c r="I40" s="119">
        <v>3902.3530000000001</v>
      </c>
      <c r="J40" s="134">
        <v>41671.718050000003</v>
      </c>
      <c r="K40" s="469">
        <f t="shared" si="10"/>
        <v>0.16315344317949018</v>
      </c>
    </row>
    <row r="41" spans="1:11" ht="11.1" customHeight="1">
      <c r="A41" s="652"/>
      <c r="B41" s="653"/>
      <c r="C41" s="403" t="s">
        <v>7</v>
      </c>
      <c r="D41" s="115">
        <v>108027</v>
      </c>
      <c r="E41" s="116">
        <v>6979</v>
      </c>
      <c r="F41" s="115">
        <v>74529.2</v>
      </c>
      <c r="G41" s="118">
        <f>E41/$E$43</f>
        <v>0.33161956170528201</v>
      </c>
      <c r="H41" s="118">
        <f t="shared" si="11"/>
        <v>7.2887349354117054E-3</v>
      </c>
      <c r="I41" s="119">
        <v>6928.5</v>
      </c>
      <c r="J41" s="134">
        <v>73986.600000000006</v>
      </c>
      <c r="K41" s="469">
        <f t="shared" si="10"/>
        <v>0.28967359720381464</v>
      </c>
    </row>
    <row r="42" spans="1:11" ht="11.1" customHeight="1">
      <c r="A42" s="652"/>
      <c r="B42" s="653"/>
      <c r="C42" s="403" t="s">
        <v>112</v>
      </c>
      <c r="D42" s="115">
        <v>16</v>
      </c>
      <c r="E42" s="116">
        <v>112.65300000000001</v>
      </c>
      <c r="F42" s="115">
        <v>1203.0365699999998</v>
      </c>
      <c r="G42" s="118">
        <f>E42/$E$43</f>
        <v>5.3529070761978992E-3</v>
      </c>
      <c r="H42" s="118">
        <f t="shared" si="11"/>
        <v>-0.33283421699303989</v>
      </c>
      <c r="I42" s="119">
        <v>168.853084</v>
      </c>
      <c r="J42" s="134">
        <v>1859.91282</v>
      </c>
      <c r="K42" s="469">
        <f t="shared" si="10"/>
        <v>7.0595771438605589E-3</v>
      </c>
    </row>
    <row r="43" spans="1:11" ht="11.1" customHeight="1">
      <c r="A43" s="654"/>
      <c r="B43" s="655"/>
      <c r="C43" s="365" t="s">
        <v>0</v>
      </c>
      <c r="D43" s="366">
        <v>118175</v>
      </c>
      <c r="E43" s="367">
        <v>21045.199999999997</v>
      </c>
      <c r="F43" s="366">
        <v>224743.36313000001</v>
      </c>
      <c r="G43" s="370">
        <f>SUM(G38:G42)</f>
        <v>1.0000000000000002</v>
      </c>
      <c r="H43" s="370">
        <f>(E43-I43)/I43</f>
        <v>-0.12012141331114679</v>
      </c>
      <c r="I43" s="371">
        <v>23918.3</v>
      </c>
      <c r="J43" s="382">
        <v>255414.09810000012</v>
      </c>
      <c r="K43" s="470">
        <f>SUM(K38:K42)</f>
        <v>1.0000000000000002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81</v>
      </c>
      <c r="E44" s="116">
        <v>9421.01</v>
      </c>
      <c r="F44" s="120">
        <v>100655.71772999999</v>
      </c>
      <c r="G44" s="122">
        <f>E44/$E$49</f>
        <v>0.51030024320620526</v>
      </c>
      <c r="H44" s="122">
        <f>(E44-I44)/I44</f>
        <v>-0.14056645194990675</v>
      </c>
      <c r="I44" s="119">
        <v>10961.883</v>
      </c>
      <c r="J44" s="135">
        <v>116719.57226999999</v>
      </c>
      <c r="K44" s="468">
        <f>I44/$I$49</f>
        <v>0.49115019624710998</v>
      </c>
    </row>
    <row r="45" spans="1:11" ht="11.1" customHeight="1">
      <c r="A45" s="652"/>
      <c r="B45" s="653"/>
      <c r="C45" s="403" t="s">
        <v>5</v>
      </c>
      <c r="D45" s="115">
        <v>238</v>
      </c>
      <c r="E45" s="116">
        <v>1581.0519999999999</v>
      </c>
      <c r="F45" s="115">
        <v>16892.563760000001</v>
      </c>
      <c r="G45" s="118">
        <f t="shared" ref="G45:G48" si="12">E45/$E$49</f>
        <v>8.5639567320452609E-2</v>
      </c>
      <c r="H45" s="118">
        <f>(E45-I45)/I45</f>
        <v>-0.11417370700788262</v>
      </c>
      <c r="I45" s="119">
        <v>1784.8330000000001</v>
      </c>
      <c r="J45" s="134">
        <v>19004.639340000009</v>
      </c>
      <c r="K45" s="469">
        <f t="shared" ref="K45:K48" si="13">I45/$I$49</f>
        <v>7.9969935659623265E-2</v>
      </c>
    </row>
    <row r="46" spans="1:11" ht="11.1" customHeight="1">
      <c r="A46" s="652"/>
      <c r="B46" s="653"/>
      <c r="C46" s="403" t="s">
        <v>6</v>
      </c>
      <c r="D46" s="115">
        <v>9809</v>
      </c>
      <c r="E46" s="116">
        <v>2419.8440000000001</v>
      </c>
      <c r="F46" s="115">
        <v>25853.617719999998</v>
      </c>
      <c r="G46" s="118">
        <f t="shared" si="12"/>
        <v>0.13107373643813949</v>
      </c>
      <c r="H46" s="118">
        <f t="shared" ref="H46:H48" si="14">(E46-I46)/I46</f>
        <v>-0.29188216393692074</v>
      </c>
      <c r="I46" s="119">
        <v>3417.29</v>
      </c>
      <c r="J46" s="134">
        <v>36386.329890000001</v>
      </c>
      <c r="K46" s="469">
        <f t="shared" si="13"/>
        <v>0.15311262254243058</v>
      </c>
    </row>
    <row r="47" spans="1:11" ht="11.1" customHeight="1">
      <c r="A47" s="652"/>
      <c r="B47" s="653"/>
      <c r="C47" s="403" t="s">
        <v>7</v>
      </c>
      <c r="D47" s="115">
        <v>107982</v>
      </c>
      <c r="E47" s="116">
        <v>4910.5</v>
      </c>
      <c r="F47" s="115">
        <v>52464.1</v>
      </c>
      <c r="G47" s="118">
        <f t="shared" si="12"/>
        <v>0.26598308931463516</v>
      </c>
      <c r="H47" s="118">
        <f t="shared" si="14"/>
        <v>-0.17912069541959211</v>
      </c>
      <c r="I47" s="119">
        <v>5982</v>
      </c>
      <c r="J47" s="134">
        <v>63695.6</v>
      </c>
      <c r="K47" s="469">
        <f t="shared" si="13"/>
        <v>0.26802516264315285</v>
      </c>
    </row>
    <row r="48" spans="1:11" ht="11.1" customHeight="1">
      <c r="A48" s="652"/>
      <c r="B48" s="653"/>
      <c r="C48" s="403" t="s">
        <v>112</v>
      </c>
      <c r="D48" s="115">
        <v>16</v>
      </c>
      <c r="E48" s="116">
        <v>129.29400000000001</v>
      </c>
      <c r="F48" s="115">
        <v>1381.3925400000001</v>
      </c>
      <c r="G48" s="118">
        <f t="shared" si="12"/>
        <v>7.0033637205674454E-3</v>
      </c>
      <c r="H48" s="118">
        <f t="shared" si="14"/>
        <v>-0.25174485225181431</v>
      </c>
      <c r="I48" s="119">
        <v>172.79400000000001</v>
      </c>
      <c r="J48" s="134">
        <v>1839.8684900000001</v>
      </c>
      <c r="K48" s="469">
        <f t="shared" si="13"/>
        <v>7.7420829076832081E-3</v>
      </c>
    </row>
    <row r="49" spans="1:11" ht="11.1" customHeight="1">
      <c r="A49" s="654"/>
      <c r="B49" s="655"/>
      <c r="C49" s="365" t="s">
        <v>0</v>
      </c>
      <c r="D49" s="366">
        <v>118126</v>
      </c>
      <c r="E49" s="367">
        <v>18461.7</v>
      </c>
      <c r="F49" s="366">
        <v>197247.39175000001</v>
      </c>
      <c r="G49" s="370">
        <f>SUM(G44:G48)</f>
        <v>0.99999999999999989</v>
      </c>
      <c r="H49" s="370">
        <f t="shared" ref="H49" si="15">(E49-I49)/I49</f>
        <v>-0.17281843109844622</v>
      </c>
      <c r="I49" s="371">
        <v>22318.800000000003</v>
      </c>
      <c r="J49" s="382">
        <v>237646.00998999999</v>
      </c>
      <c r="K49" s="470">
        <f>SUM(K44:K48)</f>
        <v>0.99999999999999989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82</v>
      </c>
      <c r="E50" s="270">
        <v>8196.4699999999993</v>
      </c>
      <c r="F50" s="120">
        <v>87794.356789999991</v>
      </c>
      <c r="G50" s="122">
        <f>E50/$E$55</f>
        <v>0.64224585102881937</v>
      </c>
      <c r="H50" s="122">
        <f>(E50-I50)/I50</f>
        <v>4.7815271913947958E-2</v>
      </c>
      <c r="I50" s="543">
        <v>7822.4380000000001</v>
      </c>
      <c r="J50" s="135">
        <v>83451.823850000001</v>
      </c>
      <c r="K50" s="468">
        <f>I50/$I$55</f>
        <v>0.70224414679689739</v>
      </c>
    </row>
    <row r="51" spans="1:11" ht="11.1" customHeight="1">
      <c r="A51" s="656"/>
      <c r="B51" s="657"/>
      <c r="C51" s="403" t="s">
        <v>5</v>
      </c>
      <c r="D51" s="115">
        <v>239</v>
      </c>
      <c r="E51" s="116">
        <v>1227.674</v>
      </c>
      <c r="F51" s="115">
        <v>13149.324100000005</v>
      </c>
      <c r="G51" s="118">
        <f t="shared" ref="G51:G54" si="16">E51/$E$55</f>
        <v>9.6196110388491005E-2</v>
      </c>
      <c r="H51" s="118">
        <f t="shared" ref="H51:H54" si="17">(E51-I51)/I51</f>
        <v>0.16957311630149091</v>
      </c>
      <c r="I51" s="119">
        <v>1049.6769999999999</v>
      </c>
      <c r="J51" s="134">
        <v>11198.659819999993</v>
      </c>
      <c r="K51" s="469">
        <f t="shared" ref="K51:K54" si="18">I51/$I$55</f>
        <v>9.4232709709853479E-2</v>
      </c>
    </row>
    <row r="52" spans="1:11" ht="11.1" customHeight="1">
      <c r="A52" s="656"/>
      <c r="B52" s="657"/>
      <c r="C52" s="403" t="s">
        <v>6</v>
      </c>
      <c r="D52" s="115">
        <v>9808</v>
      </c>
      <c r="E52" s="116">
        <v>1028.6670000000001</v>
      </c>
      <c r="F52" s="115">
        <v>11018.074920000001</v>
      </c>
      <c r="G52" s="118">
        <f t="shared" si="16"/>
        <v>8.0602639043425128E-2</v>
      </c>
      <c r="H52" s="118">
        <f t="shared" si="17"/>
        <v>0.44586172581298089</v>
      </c>
      <c r="I52" s="119">
        <v>711.45600000000002</v>
      </c>
      <c r="J52" s="134">
        <v>7590.3573899999992</v>
      </c>
      <c r="K52" s="469">
        <f t="shared" si="18"/>
        <v>6.3869577707555303E-2</v>
      </c>
    </row>
    <row r="53" spans="1:11" ht="11.1" customHeight="1">
      <c r="A53" s="656"/>
      <c r="B53" s="657"/>
      <c r="C53" s="403" t="s">
        <v>7</v>
      </c>
      <c r="D53" s="115">
        <v>107957</v>
      </c>
      <c r="E53" s="116">
        <v>2158.1</v>
      </c>
      <c r="F53" s="115">
        <v>23115.7</v>
      </c>
      <c r="G53" s="118">
        <f t="shared" si="16"/>
        <v>0.16910093870962686</v>
      </c>
      <c r="H53" s="118">
        <f t="shared" si="17"/>
        <v>0.55180844179190325</v>
      </c>
      <c r="I53" s="119">
        <v>1390.7</v>
      </c>
      <c r="J53" s="134">
        <v>14836.4</v>
      </c>
      <c r="K53" s="469">
        <f t="shared" si="18"/>
        <v>0.12484738580867566</v>
      </c>
    </row>
    <row r="54" spans="1:11" ht="11.1" customHeight="1">
      <c r="A54" s="656"/>
      <c r="B54" s="657"/>
      <c r="C54" s="403" t="s">
        <v>112</v>
      </c>
      <c r="D54" s="115">
        <v>16</v>
      </c>
      <c r="E54" s="116">
        <v>151.28899999999999</v>
      </c>
      <c r="F54" s="115">
        <v>1620.4844999999998</v>
      </c>
      <c r="G54" s="118">
        <f t="shared" si="16"/>
        <v>1.1854460829637521E-2</v>
      </c>
      <c r="H54" s="118">
        <f t="shared" si="17"/>
        <v>-8.270225369704548E-2</v>
      </c>
      <c r="I54" s="119">
        <v>164.929</v>
      </c>
      <c r="J54" s="134">
        <v>1759.5246200000001</v>
      </c>
      <c r="K54" s="469">
        <f t="shared" si="18"/>
        <v>1.4806179977018098E-2</v>
      </c>
    </row>
    <row r="55" spans="1:11" ht="11.1" customHeight="1">
      <c r="A55" s="656"/>
      <c r="B55" s="657"/>
      <c r="C55" s="365" t="s">
        <v>0</v>
      </c>
      <c r="D55" s="366">
        <v>118102</v>
      </c>
      <c r="E55" s="367">
        <v>12762.2</v>
      </c>
      <c r="F55" s="366">
        <v>136697.94030999998</v>
      </c>
      <c r="G55" s="370">
        <f>SUM(G50:G54)</f>
        <v>0.99999999999999978</v>
      </c>
      <c r="H55" s="370">
        <f t="shared" ref="H55" si="19">(E55-I55)/I55</f>
        <v>0.14570166618787703</v>
      </c>
      <c r="I55" s="371">
        <v>11139.2</v>
      </c>
      <c r="J55" s="382">
        <v>118836.76567999998</v>
      </c>
      <c r="K55" s="470">
        <f>SUM(K50:K54)</f>
        <v>0.99999999999999978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82</v>
      </c>
      <c r="E56" s="116">
        <f>E38+E44+E50</f>
        <v>25828.111000000004</v>
      </c>
      <c r="F56" s="115">
        <f>F38+F44+F50</f>
        <v>276132.27504999994</v>
      </c>
      <c r="G56" s="118">
        <f>E56/$E$61</f>
        <v>0.49413728187399447</v>
      </c>
      <c r="H56" s="118">
        <f>(E56-I56)/I56</f>
        <v>-0.12514954922938254</v>
      </c>
      <c r="I56" s="119">
        <f>I38+I44+I50</f>
        <v>29522.887000000002</v>
      </c>
      <c r="J56" s="134">
        <f>J38+J44+J50</f>
        <v>314842.0073900001</v>
      </c>
      <c r="K56" s="469">
        <f>I56/$I$61</f>
        <v>0.51454846338993632</v>
      </c>
    </row>
    <row r="57" spans="1:11" ht="11.1" customHeight="1">
      <c r="A57" s="656"/>
      <c r="B57" s="657"/>
      <c r="C57" s="403" t="s">
        <v>5</v>
      </c>
      <c r="D57" s="115">
        <f>D51</f>
        <v>239</v>
      </c>
      <c r="E57" s="116">
        <f t="shared" ref="E57:F58" si="20">E39+E45+E51</f>
        <v>4830.8389999999999</v>
      </c>
      <c r="F57" s="115">
        <f t="shared" si="20"/>
        <v>51636.367650000007</v>
      </c>
      <c r="G57" s="118">
        <f t="shared" ref="G57:G60" si="21">E57/$E$61</f>
        <v>9.2422463750093276E-2</v>
      </c>
      <c r="H57" s="118">
        <f t="shared" ref="H57:H60" si="22">(E57-I57)/I57</f>
        <v>-3.6633268922719273E-2</v>
      </c>
      <c r="I57" s="119">
        <f t="shared" ref="I57:J57" si="23">I39+I45+I51</f>
        <v>5014.5379160000002</v>
      </c>
      <c r="J57" s="134">
        <f t="shared" si="23"/>
        <v>53428.555119999997</v>
      </c>
      <c r="K57" s="469">
        <f t="shared" ref="K57:K60" si="24">I57/$I$61</f>
        <v>8.7397373410275675E-2</v>
      </c>
    </row>
    <row r="58" spans="1:11" ht="11.1" customHeight="1">
      <c r="A58" s="656"/>
      <c r="B58" s="657"/>
      <c r="C58" s="403" t="s">
        <v>6</v>
      </c>
      <c r="D58" s="115">
        <f>D52</f>
        <v>9808</v>
      </c>
      <c r="E58" s="116">
        <f>E40+E46+E52</f>
        <v>7169.3140000000003</v>
      </c>
      <c r="F58" s="115">
        <f t="shared" si="20"/>
        <v>76606.138879999999</v>
      </c>
      <c r="G58" s="118">
        <f t="shared" si="21"/>
        <v>0.13716161173618832</v>
      </c>
      <c r="H58" s="118">
        <f t="shared" si="22"/>
        <v>-0.10730598639115267</v>
      </c>
      <c r="I58" s="119">
        <f>I40+I46+I52</f>
        <v>8031.0990000000002</v>
      </c>
      <c r="J58" s="134">
        <f t="shared" ref="J58" si="25">J40+J46+J52</f>
        <v>85648.405330000009</v>
      </c>
      <c r="K58" s="469">
        <f t="shared" si="24"/>
        <v>0.13997241021118476</v>
      </c>
    </row>
    <row r="59" spans="1:11" ht="11.1" customHeight="1">
      <c r="A59" s="656"/>
      <c r="B59" s="657"/>
      <c r="C59" s="403" t="s">
        <v>7</v>
      </c>
      <c r="D59" s="115">
        <f>D53</f>
        <v>107957</v>
      </c>
      <c r="E59" s="116">
        <f t="shared" ref="E59:F60" si="26">E41+E47+E53</f>
        <v>14047.6</v>
      </c>
      <c r="F59" s="115">
        <f t="shared" si="26"/>
        <v>150109</v>
      </c>
      <c r="G59" s="118">
        <f t="shared" si="21"/>
        <v>0.26875534493610947</v>
      </c>
      <c r="H59" s="118">
        <f t="shared" si="22"/>
        <v>-1.773277766900682E-2</v>
      </c>
      <c r="I59" s="119">
        <f t="shared" ref="I59:J59" si="27">I41+I47+I53</f>
        <v>14301.2</v>
      </c>
      <c r="J59" s="134">
        <f t="shared" si="27"/>
        <v>152518.6</v>
      </c>
      <c r="K59" s="469">
        <f t="shared" si="24"/>
        <v>0.2492527402429226</v>
      </c>
    </row>
    <row r="60" spans="1:11" ht="11.1" customHeight="1">
      <c r="A60" s="656"/>
      <c r="B60" s="657"/>
      <c r="C60" s="403" t="s">
        <v>112</v>
      </c>
      <c r="D60" s="115">
        <f>D54</f>
        <v>16</v>
      </c>
      <c r="E60" s="116">
        <f>E42+E48+E54</f>
        <v>393.23599999999999</v>
      </c>
      <c r="F60" s="115">
        <f t="shared" si="26"/>
        <v>4204.9136099999996</v>
      </c>
      <c r="G60" s="118">
        <f t="shared" si="21"/>
        <v>7.5232977036145642E-3</v>
      </c>
      <c r="H60" s="118">
        <f t="shared" si="22"/>
        <v>-0.22373753436018909</v>
      </c>
      <c r="I60" s="119">
        <f>I42+I48+I54</f>
        <v>506.57608400000004</v>
      </c>
      <c r="J60" s="134">
        <f t="shared" ref="J60" si="28">J42+J48+J54</f>
        <v>5459.3059300000004</v>
      </c>
      <c r="K60" s="469">
        <f t="shared" si="24"/>
        <v>8.8290127456807088E-3</v>
      </c>
    </row>
    <row r="61" spans="1:11" ht="11.1" customHeight="1">
      <c r="A61" s="656"/>
      <c r="B61" s="657"/>
      <c r="C61" s="365" t="s">
        <v>0</v>
      </c>
      <c r="D61" s="366">
        <f>SUM(D56:D60)</f>
        <v>118102</v>
      </c>
      <c r="E61" s="367">
        <f>SUM(E56:E60)</f>
        <v>52269.1</v>
      </c>
      <c r="F61" s="366">
        <f>SUM(F56:F60)</f>
        <v>558688.69519</v>
      </c>
      <c r="G61" s="370">
        <f>SUM(G56:G60)</f>
        <v>1.0000000000000002</v>
      </c>
      <c r="H61" s="370">
        <f>(E61-I61)/I61</f>
        <v>-8.9012362247129981E-2</v>
      </c>
      <c r="I61" s="371">
        <f>SUM(I56:I60)</f>
        <v>57376.3</v>
      </c>
      <c r="J61" s="382">
        <f>SUM(J56:J60)</f>
        <v>611896.87377000006</v>
      </c>
      <c r="K61" s="470">
        <f>SUM(K56:K60)</f>
        <v>1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269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43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94</v>
      </c>
      <c r="E8" s="116">
        <v>8736.610999999999</v>
      </c>
      <c r="F8" s="120">
        <v>93298.513500000015</v>
      </c>
      <c r="G8" s="122">
        <f>E8/$E$13</f>
        <v>0.41905828800567918</v>
      </c>
      <c r="H8" s="122">
        <f>(E8-I8)/I8</f>
        <v>-0.19628064770686474</v>
      </c>
      <c r="I8" s="119">
        <v>10870.226000000001</v>
      </c>
      <c r="J8" s="135">
        <v>116046.76338000005</v>
      </c>
      <c r="K8" s="468">
        <f>I8/$I$13</f>
        <v>0.45926004478431709</v>
      </c>
    </row>
    <row r="9" spans="1:16" ht="11.1" customHeight="1">
      <c r="A9" s="652"/>
      <c r="B9" s="653"/>
      <c r="C9" s="403" t="s">
        <v>5</v>
      </c>
      <c r="D9" s="115">
        <v>301</v>
      </c>
      <c r="E9" s="116">
        <v>2483.2819999999997</v>
      </c>
      <c r="F9" s="115">
        <v>26518.661740000007</v>
      </c>
      <c r="G9" s="118">
        <f>E9/$E$13</f>
        <v>0.11911253729338744</v>
      </c>
      <c r="H9" s="118">
        <f>(E9-I9)/I9</f>
        <v>-0.17979533213525942</v>
      </c>
      <c r="I9" s="119">
        <v>3027.6370000000002</v>
      </c>
      <c r="J9" s="134">
        <v>32288.46286</v>
      </c>
      <c r="K9" s="469">
        <f>I9/$I$13</f>
        <v>0.12791571253538384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8909</v>
      </c>
      <c r="E10" s="116">
        <v>3990.6080000000002</v>
      </c>
      <c r="F10" s="115">
        <v>42616.12055</v>
      </c>
      <c r="G10" s="118">
        <f>E10/$E$13</f>
        <v>0.19141259197436714</v>
      </c>
      <c r="H10" s="118">
        <f t="shared" ref="H10:H12" si="0">(E10-I10)/I10</f>
        <v>-3.9664246540069073E-2</v>
      </c>
      <c r="I10" s="119">
        <v>4155.4299999999994</v>
      </c>
      <c r="J10" s="134">
        <v>44373.976059999994</v>
      </c>
      <c r="K10" s="469">
        <f>I10/$I$13</f>
        <v>0.17556424014533775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84155</v>
      </c>
      <c r="E11" s="116">
        <v>5373.4</v>
      </c>
      <c r="F11" s="115">
        <v>57382.5</v>
      </c>
      <c r="G11" s="118">
        <f>E11/$E$13</f>
        <v>0.25773927725175316</v>
      </c>
      <c r="H11" s="118">
        <f t="shared" si="0"/>
        <v>2.1112441327936351E-2</v>
      </c>
      <c r="I11" s="119">
        <v>5262.3</v>
      </c>
      <c r="J11" s="134">
        <v>56193.9</v>
      </c>
      <c r="K11" s="469">
        <f>I11/$I$13</f>
        <v>0.2223287844860366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8</v>
      </c>
      <c r="E12" s="116">
        <v>264.29899999999998</v>
      </c>
      <c r="F12" s="115">
        <v>2822.4612199999997</v>
      </c>
      <c r="G12" s="118">
        <f>E12/$E$13</f>
        <v>1.2677305474813175E-2</v>
      </c>
      <c r="H12" s="118">
        <f t="shared" si="0"/>
        <v>-0.25213988404304388</v>
      </c>
      <c r="I12" s="119">
        <v>353.40699999999998</v>
      </c>
      <c r="J12" s="134">
        <v>3849.2046500000001</v>
      </c>
      <c r="K12" s="469">
        <f>I12/$I$13</f>
        <v>1.4931218048924753E-2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93467</v>
      </c>
      <c r="E13" s="367">
        <v>20848.199999999997</v>
      </c>
      <c r="F13" s="366">
        <v>222638.25701000003</v>
      </c>
      <c r="G13" s="370">
        <f>SUM(G8:G12)</f>
        <v>1.0000000000000002</v>
      </c>
      <c r="H13" s="370">
        <f>(E13-I13)/I13</f>
        <v>-0.11917698255101622</v>
      </c>
      <c r="I13" s="371">
        <v>23669</v>
      </c>
      <c r="J13" s="382">
        <v>252752.30695000003</v>
      </c>
      <c r="K13" s="470">
        <f>SUM(K8:K12)</f>
        <v>1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93</v>
      </c>
      <c r="E14" s="116">
        <v>9093.9719999999998</v>
      </c>
      <c r="F14" s="120">
        <v>97160.982359999995</v>
      </c>
      <c r="G14" s="122">
        <f>E14/$E$19</f>
        <v>0.51430966129205569</v>
      </c>
      <c r="H14" s="122">
        <f>(E14-I14)/I14</f>
        <v>-0.22297027916250051</v>
      </c>
      <c r="I14" s="119">
        <v>11703.505999999999</v>
      </c>
      <c r="J14" s="135">
        <v>124616.05933</v>
      </c>
      <c r="K14" s="468">
        <f>I14/$I$19</f>
        <v>0.51138500124530828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301</v>
      </c>
      <c r="E15" s="116">
        <v>1907.633</v>
      </c>
      <c r="F15" s="115">
        <v>20381.953450000012</v>
      </c>
      <c r="G15" s="118">
        <f>E15/$E$19</f>
        <v>0.10788620001244209</v>
      </c>
      <c r="H15" s="118">
        <f>(E15-I15)/I15</f>
        <v>-0.27515952028214941</v>
      </c>
      <c r="I15" s="119">
        <v>2631.797</v>
      </c>
      <c r="J15" s="134">
        <v>28022.436220000032</v>
      </c>
      <c r="K15" s="469">
        <f>I15/$I$19</f>
        <v>0.1149964388553651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8906</v>
      </c>
      <c r="E16" s="116">
        <v>2594.9319999999998</v>
      </c>
      <c r="F16" s="115">
        <v>27724.133870000001</v>
      </c>
      <c r="G16" s="118">
        <f>E16/$E$19</f>
        <v>0.14675640061305625</v>
      </c>
      <c r="H16" s="118">
        <f t="shared" ref="H16:H19" si="1">(E16-I16)/I16</f>
        <v>-0.28618432001566868</v>
      </c>
      <c r="I16" s="119">
        <v>3635.297</v>
      </c>
      <c r="J16" s="134">
        <v>38707.916660000003</v>
      </c>
      <c r="K16" s="469">
        <f>I16/$I$19</f>
        <v>0.15884439764221639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84120</v>
      </c>
      <c r="E17" s="116">
        <v>3780.7</v>
      </c>
      <c r="F17" s="115">
        <v>40393.9</v>
      </c>
      <c r="G17" s="118">
        <f>E17/$E$19</f>
        <v>0.21381751961044906</v>
      </c>
      <c r="H17" s="118">
        <f t="shared" si="1"/>
        <v>-0.16788819192252671</v>
      </c>
      <c r="I17" s="119">
        <v>4543.5</v>
      </c>
      <c r="J17" s="134">
        <v>48377.8</v>
      </c>
      <c r="K17" s="469">
        <f>I17/$I$19</f>
        <v>0.19852835151774675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8</v>
      </c>
      <c r="E18" s="116">
        <v>304.66300000000001</v>
      </c>
      <c r="F18" s="115">
        <v>3255.0596199999995</v>
      </c>
      <c r="G18" s="118">
        <f>E18/$E$19</f>
        <v>1.7230218471996787E-2</v>
      </c>
      <c r="H18" s="118">
        <f t="shared" si="1"/>
        <v>-0.18057288864981172</v>
      </c>
      <c r="I18" s="119">
        <v>371.8</v>
      </c>
      <c r="J18" s="134">
        <v>3958.8505199999995</v>
      </c>
      <c r="K18" s="469">
        <f>I18/$I$19</f>
        <v>1.6245810739363542E-2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93428</v>
      </c>
      <c r="E19" s="367">
        <v>17681.900000000001</v>
      </c>
      <c r="F19" s="366">
        <v>188916.02929999999</v>
      </c>
      <c r="G19" s="370">
        <f>SUM(G14:G18)</f>
        <v>0.99999999999999989</v>
      </c>
      <c r="H19" s="370">
        <f t="shared" si="1"/>
        <v>-0.22738891631965519</v>
      </c>
      <c r="I19" s="371">
        <v>22885.899999999998</v>
      </c>
      <c r="J19" s="382">
        <v>243683.06273000003</v>
      </c>
      <c r="K19" s="470">
        <f>SUM(K14:K18)</f>
        <v>1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93</v>
      </c>
      <c r="E20" s="270">
        <v>6984.7840000000006</v>
      </c>
      <c r="F20" s="120">
        <v>74815.156939999972</v>
      </c>
      <c r="G20" s="122">
        <f>E20/$E$25</f>
        <v>0.62005947783784743</v>
      </c>
      <c r="H20" s="122">
        <f>(E20-I20)/I20</f>
        <v>-9.2321844947662851E-2</v>
      </c>
      <c r="I20" s="543">
        <v>7695.2209999999995</v>
      </c>
      <c r="J20" s="135">
        <v>82095.18842000002</v>
      </c>
      <c r="K20" s="468">
        <f>I20/$I$25</f>
        <v>0.68838861753707981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302</v>
      </c>
      <c r="E21" s="116">
        <v>1184.0309999999999</v>
      </c>
      <c r="F21" s="115">
        <v>12681.953959999973</v>
      </c>
      <c r="G21" s="118">
        <f>E21/$E$25</f>
        <v>0.10510985645423312</v>
      </c>
      <c r="H21" s="118">
        <f t="shared" ref="H21:H25" si="2">(E21-I21)/I21</f>
        <v>-0.10673821626931135</v>
      </c>
      <c r="I21" s="119">
        <v>1325.5139999999999</v>
      </c>
      <c r="J21" s="134">
        <v>14140.763320000004</v>
      </c>
      <c r="K21" s="469">
        <f>I21/$I$25</f>
        <v>0.11857602919864742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8905</v>
      </c>
      <c r="E22" s="116">
        <v>1104.3440000000001</v>
      </c>
      <c r="F22" s="115">
        <v>11828.885380000002</v>
      </c>
      <c r="G22" s="118">
        <f>E22/$E$25</f>
        <v>9.8035810984757693E-2</v>
      </c>
      <c r="H22" s="118">
        <f t="shared" si="2"/>
        <v>0.45826873965070558</v>
      </c>
      <c r="I22" s="119">
        <v>757.298</v>
      </c>
      <c r="J22" s="134">
        <v>8079.2787699999999</v>
      </c>
      <c r="K22" s="469">
        <f>I22/$I$25</f>
        <v>6.7745334836204901E-2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84100</v>
      </c>
      <c r="E23" s="116">
        <v>1661.6</v>
      </c>
      <c r="F23" s="115">
        <v>17797.5</v>
      </c>
      <c r="G23" s="118">
        <f>E23/$E$25</f>
        <v>0.14750503786163854</v>
      </c>
      <c r="H23" s="118">
        <f t="shared" si="2"/>
        <v>0.57303796269999052</v>
      </c>
      <c r="I23" s="119">
        <v>1056.3</v>
      </c>
      <c r="J23" s="134">
        <v>11268.5</v>
      </c>
      <c r="K23" s="469">
        <f>I23/$I$25</f>
        <v>9.4493049219043543E-2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8</v>
      </c>
      <c r="E24" s="116">
        <v>329.94099999999997</v>
      </c>
      <c r="F24" s="115">
        <v>3534.0644800000005</v>
      </c>
      <c r="G24" s="118">
        <f>E24/$E$25</f>
        <v>2.9289816861523162E-2</v>
      </c>
      <c r="H24" s="118">
        <f t="shared" si="2"/>
        <v>-4.1613050335931184E-2</v>
      </c>
      <c r="I24" s="119">
        <v>344.267</v>
      </c>
      <c r="J24" s="134">
        <v>3672.7546799999996</v>
      </c>
      <c r="K24" s="469">
        <f>I24/$I$25</f>
        <v>3.0796969209024389E-2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93408</v>
      </c>
      <c r="E25" s="367">
        <v>11264.7</v>
      </c>
      <c r="F25" s="366">
        <v>120657.56075999995</v>
      </c>
      <c r="G25" s="370">
        <f>SUM(G20:G24)</f>
        <v>1</v>
      </c>
      <c r="H25" s="370">
        <f t="shared" si="2"/>
        <v>7.7022167355484759E-3</v>
      </c>
      <c r="I25" s="371">
        <v>11178.599999999999</v>
      </c>
      <c r="J25" s="382">
        <v>119256.48519000002</v>
      </c>
      <c r="K25" s="470">
        <f>SUM(K20:K24)</f>
        <v>1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93</v>
      </c>
      <c r="E26" s="116">
        <f>E8+E14+E20</f>
        <v>24815.366999999998</v>
      </c>
      <c r="F26" s="115">
        <f>F8+F14+F20</f>
        <v>265274.65279999998</v>
      </c>
      <c r="G26" s="118">
        <f>E26/$E$31</f>
        <v>0.49835257898415097</v>
      </c>
      <c r="H26" s="118">
        <f>(E26-I26)/I26</f>
        <v>-0.18017094942134282</v>
      </c>
      <c r="I26" s="119">
        <f>I8+I14+I20</f>
        <v>30268.953000000001</v>
      </c>
      <c r="J26" s="134">
        <f>J8+J14+J20</f>
        <v>322758.01113000006</v>
      </c>
      <c r="K26" s="469">
        <f>I26/$I$31</f>
        <v>0.5242875107173478</v>
      </c>
    </row>
    <row r="27" spans="1:20" ht="11.1" customHeight="1">
      <c r="A27" s="656"/>
      <c r="B27" s="657"/>
      <c r="C27" s="403" t="s">
        <v>5</v>
      </c>
      <c r="D27" s="115">
        <f>D21</f>
        <v>302</v>
      </c>
      <c r="E27" s="116">
        <f t="shared" ref="E27:F30" si="3">E9+E15+E21</f>
        <v>5574.9459999999999</v>
      </c>
      <c r="F27" s="115">
        <f t="shared" si="3"/>
        <v>59582.569149999996</v>
      </c>
      <c r="G27" s="118">
        <f>E27/$E$31</f>
        <v>0.11195839726236476</v>
      </c>
      <c r="H27" s="118">
        <f t="shared" ref="H27:H30" si="4">(E27-I27)/I27</f>
        <v>-0.20186292009618401</v>
      </c>
      <c r="I27" s="119">
        <f t="shared" ref="I27:J27" si="5">I9+I15+I21</f>
        <v>6984.9480000000003</v>
      </c>
      <c r="J27" s="134">
        <f t="shared" si="5"/>
        <v>74451.66240000003</v>
      </c>
      <c r="K27" s="469">
        <f>I27/$I$31</f>
        <v>0.12098604796175531</v>
      </c>
    </row>
    <row r="28" spans="1:20" ht="11.1" customHeight="1">
      <c r="A28" s="656"/>
      <c r="B28" s="657"/>
      <c r="C28" s="403" t="s">
        <v>6</v>
      </c>
      <c r="D28" s="115">
        <f>D22</f>
        <v>8905</v>
      </c>
      <c r="E28" s="116">
        <f t="shared" si="3"/>
        <v>7689.884</v>
      </c>
      <c r="F28" s="115">
        <f t="shared" si="3"/>
        <v>82169.139800000004</v>
      </c>
      <c r="G28" s="118">
        <f>E28/$E$31</f>
        <v>0.15443146673949892</v>
      </c>
      <c r="H28" s="118">
        <f t="shared" si="4"/>
        <v>-0.10039055805288352</v>
      </c>
      <c r="I28" s="119">
        <f t="shared" ref="I28:J28" si="6">I10+I16+I22</f>
        <v>8548.0249999999996</v>
      </c>
      <c r="J28" s="134">
        <f t="shared" si="6"/>
        <v>91161.171490000008</v>
      </c>
      <c r="K28" s="469">
        <f>I28/$I$31</f>
        <v>0.14806005178968881</v>
      </c>
    </row>
    <row r="29" spans="1:20" ht="11.1" customHeight="1">
      <c r="A29" s="656"/>
      <c r="B29" s="657"/>
      <c r="C29" s="403" t="s">
        <v>7</v>
      </c>
      <c r="D29" s="115">
        <f>D23</f>
        <v>84100</v>
      </c>
      <c r="E29" s="116">
        <f t="shared" si="3"/>
        <v>10815.699999999999</v>
      </c>
      <c r="F29" s="115">
        <f t="shared" si="3"/>
        <v>115573.9</v>
      </c>
      <c r="G29" s="118">
        <f>E29/$E$31</f>
        <v>0.21720541100677179</v>
      </c>
      <c r="H29" s="118">
        <f t="shared" si="4"/>
        <v>-4.2717338267922083E-3</v>
      </c>
      <c r="I29" s="119">
        <f t="shared" ref="I29:J29" si="7">I11+I17+I23</f>
        <v>10862.099999999999</v>
      </c>
      <c r="J29" s="134">
        <f t="shared" si="7"/>
        <v>115840.20000000001</v>
      </c>
      <c r="K29" s="469">
        <f>I29/$I$31</f>
        <v>0.18814206656447294</v>
      </c>
    </row>
    <row r="30" spans="1:20" ht="11.1" customHeight="1">
      <c r="A30" s="656"/>
      <c r="B30" s="657"/>
      <c r="C30" s="403" t="s">
        <v>112</v>
      </c>
      <c r="D30" s="115">
        <f>D24</f>
        <v>8</v>
      </c>
      <c r="E30" s="116">
        <f>E12+E18+E24</f>
        <v>898.90300000000002</v>
      </c>
      <c r="F30" s="115">
        <f t="shared" si="3"/>
        <v>9611.5853200000001</v>
      </c>
      <c r="G30" s="118">
        <f>E30/$E$31</f>
        <v>1.8052146007213606E-2</v>
      </c>
      <c r="H30" s="118">
        <f t="shared" si="4"/>
        <v>-0.15949055330003339</v>
      </c>
      <c r="I30" s="119">
        <f>I12+I18+I24</f>
        <v>1069.4739999999999</v>
      </c>
      <c r="J30" s="134">
        <f t="shared" ref="J30" si="8">J12+J18+J24</f>
        <v>11480.80985</v>
      </c>
      <c r="K30" s="469">
        <f>I30/$I$31</f>
        <v>1.8524322966735084E-2</v>
      </c>
    </row>
    <row r="31" spans="1:20" ht="11.1" customHeight="1">
      <c r="A31" s="656"/>
      <c r="B31" s="657"/>
      <c r="C31" s="365" t="s">
        <v>0</v>
      </c>
      <c r="D31" s="366">
        <f>SUM(D26:D30)</f>
        <v>93408</v>
      </c>
      <c r="E31" s="367">
        <f>SUM(E26:E30)</f>
        <v>49794.799999999996</v>
      </c>
      <c r="F31" s="366">
        <f>SUM(F26:F30)</f>
        <v>532211.8470699999</v>
      </c>
      <c r="G31" s="370">
        <f>SUM(G26:G30)</f>
        <v>1</v>
      </c>
      <c r="H31" s="370">
        <f>(E31-I31)/I31</f>
        <v>-0.13750595408211877</v>
      </c>
      <c r="I31" s="371">
        <f>SUM(I26:I30)</f>
        <v>57733.5</v>
      </c>
      <c r="J31" s="382">
        <f>SUM(J26:J30)</f>
        <v>615691.85487000004</v>
      </c>
      <c r="K31" s="470">
        <f>SUM(K26:K30)</f>
        <v>1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44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176</v>
      </c>
      <c r="E38" s="116">
        <v>36471.463999999993</v>
      </c>
      <c r="F38" s="120">
        <v>389294.45639000001</v>
      </c>
      <c r="G38" s="122">
        <f>E38/$E$43</f>
        <v>0.57420268969548427</v>
      </c>
      <c r="H38" s="122">
        <f>(E38-I38)/I38</f>
        <v>-8.9696466516751214E-2</v>
      </c>
      <c r="I38" s="119">
        <v>40065.168000000005</v>
      </c>
      <c r="J38" s="135">
        <v>426574.83955000003</v>
      </c>
      <c r="K38" s="468">
        <f>I38/$I$43</f>
        <v>0.59263043295165818</v>
      </c>
    </row>
    <row r="39" spans="1:11" ht="11.1" customHeight="1">
      <c r="A39" s="652"/>
      <c r="B39" s="653"/>
      <c r="C39" s="403" t="s">
        <v>5</v>
      </c>
      <c r="D39" s="115">
        <v>472</v>
      </c>
      <c r="E39" s="116">
        <v>3679.0680000000002</v>
      </c>
      <c r="F39" s="115">
        <v>39281.584569999985</v>
      </c>
      <c r="G39" s="118">
        <f t="shared" ref="G39" si="9">E39/$E$43</f>
        <v>5.7922839104363529E-2</v>
      </c>
      <c r="H39" s="118">
        <f>(E39-I39)/I39</f>
        <v>-0.13141727699273362</v>
      </c>
      <c r="I39" s="119">
        <v>4235.7139999999999</v>
      </c>
      <c r="J39" s="134">
        <v>45342.928339999984</v>
      </c>
      <c r="K39" s="469">
        <f t="shared" ref="K39:K42" si="10">I39/$I$43</f>
        <v>6.2653250865674623E-2</v>
      </c>
    </row>
    <row r="40" spans="1:11" ht="11.1" customHeight="1">
      <c r="A40" s="652"/>
      <c r="B40" s="653"/>
      <c r="C40" s="403" t="s">
        <v>6</v>
      </c>
      <c r="D40" s="115">
        <v>18296</v>
      </c>
      <c r="E40" s="116">
        <v>6614.4439999999995</v>
      </c>
      <c r="F40" s="115">
        <v>70635.184310000011</v>
      </c>
      <c r="G40" s="118">
        <f>E40/$E$43</f>
        <v>0.10413707373085321</v>
      </c>
      <c r="H40" s="118">
        <f t="shared" ref="H40:H42" si="11">(E40-I40)/I40</f>
        <v>-6.3944939769027737E-2</v>
      </c>
      <c r="I40" s="119">
        <v>7066.2980000000007</v>
      </c>
      <c r="J40" s="134">
        <v>75459.783739999999</v>
      </c>
      <c r="K40" s="469">
        <f t="shared" si="10"/>
        <v>0.10452229335729819</v>
      </c>
    </row>
    <row r="41" spans="1:11" ht="11.1" customHeight="1">
      <c r="A41" s="652"/>
      <c r="B41" s="653"/>
      <c r="C41" s="403" t="s">
        <v>7</v>
      </c>
      <c r="D41" s="115">
        <v>360460</v>
      </c>
      <c r="E41" s="116">
        <v>15308.1</v>
      </c>
      <c r="F41" s="115">
        <v>163476.29999999999</v>
      </c>
      <c r="G41" s="118">
        <f>E41/$E$43</f>
        <v>0.24100903089953957</v>
      </c>
      <c r="H41" s="118">
        <f t="shared" si="11"/>
        <v>2.8908455437558836E-2</v>
      </c>
      <c r="I41" s="119">
        <v>14878</v>
      </c>
      <c r="J41" s="134">
        <v>158876.9</v>
      </c>
      <c r="K41" s="469">
        <f t="shared" si="10"/>
        <v>0.2200703509206493</v>
      </c>
    </row>
    <row r="42" spans="1:11" ht="11.1" customHeight="1">
      <c r="A42" s="652"/>
      <c r="B42" s="653"/>
      <c r="C42" s="403" t="s">
        <v>112</v>
      </c>
      <c r="D42" s="115">
        <v>28</v>
      </c>
      <c r="E42" s="116">
        <v>1443.6310000000001</v>
      </c>
      <c r="F42" s="115">
        <v>15411.233340000001</v>
      </c>
      <c r="G42" s="118">
        <f>E42/$E$43</f>
        <v>2.2728366569759358E-2</v>
      </c>
      <c r="H42" s="118">
        <f t="shared" si="11"/>
        <v>6.1123549586394266E-2</v>
      </c>
      <c r="I42" s="119">
        <v>1360.4739999999999</v>
      </c>
      <c r="J42" s="134">
        <v>15481.61247</v>
      </c>
      <c r="K42" s="469">
        <f t="shared" si="10"/>
        <v>2.012367190471968E-2</v>
      </c>
    </row>
    <row r="43" spans="1:11" ht="11.1" customHeight="1">
      <c r="A43" s="654"/>
      <c r="B43" s="655"/>
      <c r="C43" s="365" t="s">
        <v>0</v>
      </c>
      <c r="D43" s="366">
        <v>379432</v>
      </c>
      <c r="E43" s="367">
        <v>63516.706999999995</v>
      </c>
      <c r="F43" s="366">
        <v>678098.75861000014</v>
      </c>
      <c r="G43" s="370">
        <f>SUM(G38:G42)</f>
        <v>1</v>
      </c>
      <c r="H43" s="370">
        <f>(E43-I43)/I43</f>
        <v>-6.0482322972572888E-2</v>
      </c>
      <c r="I43" s="371">
        <v>67605.65400000001</v>
      </c>
      <c r="J43" s="382">
        <v>721736.06410000008</v>
      </c>
      <c r="K43" s="470">
        <f>SUM(K38:K42)</f>
        <v>1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176</v>
      </c>
      <c r="E44" s="116">
        <v>36607.383999999998</v>
      </c>
      <c r="F44" s="120">
        <v>390992.69774999999</v>
      </c>
      <c r="G44" s="122">
        <f>E44/$E$49</f>
        <v>0.65009462207597446</v>
      </c>
      <c r="H44" s="122">
        <f>(E44-I44)/I44</f>
        <v>-0.10682532300172848</v>
      </c>
      <c r="I44" s="119">
        <v>40985.694000000003</v>
      </c>
      <c r="J44" s="135">
        <v>436267.83575999993</v>
      </c>
      <c r="K44" s="468">
        <f>I44/$I$49</f>
        <v>0.62761481711244871</v>
      </c>
    </row>
    <row r="45" spans="1:11" ht="11.1" customHeight="1">
      <c r="A45" s="652"/>
      <c r="B45" s="653"/>
      <c r="C45" s="403" t="s">
        <v>5</v>
      </c>
      <c r="D45" s="115">
        <v>471</v>
      </c>
      <c r="E45" s="116">
        <v>3010.1120000000001</v>
      </c>
      <c r="F45" s="115">
        <v>32155.45155999999</v>
      </c>
      <c r="G45" s="118">
        <f t="shared" ref="G45:G48" si="12">E45/$E$49</f>
        <v>5.3455270746643788E-2</v>
      </c>
      <c r="H45" s="118">
        <f>(E45-I45)/I45</f>
        <v>-0.20300527320809947</v>
      </c>
      <c r="I45" s="119">
        <v>3776.828</v>
      </c>
      <c r="J45" s="134">
        <v>40211.260320000016</v>
      </c>
      <c r="K45" s="469">
        <f t="shared" ref="K45:K48" si="13">I45/$I$49</f>
        <v>5.7834648706574912E-2</v>
      </c>
    </row>
    <row r="46" spans="1:11" ht="11.1" customHeight="1">
      <c r="A46" s="652"/>
      <c r="B46" s="653"/>
      <c r="C46" s="403" t="s">
        <v>6</v>
      </c>
      <c r="D46" s="115">
        <v>18288</v>
      </c>
      <c r="E46" s="116">
        <v>4302.4319999999998</v>
      </c>
      <c r="F46" s="115">
        <v>45966.90683</v>
      </c>
      <c r="G46" s="118">
        <f t="shared" si="12"/>
        <v>7.6405019955743878E-2</v>
      </c>
      <c r="H46" s="118">
        <f t="shared" ref="H46:H48" si="14">(E46-I46)/I46</f>
        <v>-0.30401416679109144</v>
      </c>
      <c r="I46" s="119">
        <v>6181.7809999999999</v>
      </c>
      <c r="J46" s="134">
        <v>65823.513359999997</v>
      </c>
      <c r="K46" s="469">
        <f t="shared" si="13"/>
        <v>9.4661745919056781E-2</v>
      </c>
    </row>
    <row r="47" spans="1:11" ht="11.1" customHeight="1">
      <c r="A47" s="652"/>
      <c r="B47" s="653"/>
      <c r="C47" s="403" t="s">
        <v>7</v>
      </c>
      <c r="D47" s="115">
        <v>360311</v>
      </c>
      <c r="E47" s="116">
        <v>10770.9</v>
      </c>
      <c r="F47" s="115">
        <v>115077.7</v>
      </c>
      <c r="G47" s="118">
        <f t="shared" si="12"/>
        <v>0.19127573182825938</v>
      </c>
      <c r="H47" s="118">
        <f t="shared" si="14"/>
        <v>-0.16158248241455289</v>
      </c>
      <c r="I47" s="119">
        <v>12846.702000000001</v>
      </c>
      <c r="J47" s="134">
        <v>136789.07500000001</v>
      </c>
      <c r="K47" s="469">
        <f t="shared" si="13"/>
        <v>0.19672182508921598</v>
      </c>
    </row>
    <row r="48" spans="1:11" ht="11.1" customHeight="1">
      <c r="A48" s="652"/>
      <c r="B48" s="653"/>
      <c r="C48" s="403" t="s">
        <v>112</v>
      </c>
      <c r="D48" s="115">
        <v>28</v>
      </c>
      <c r="E48" s="116">
        <v>1620.027</v>
      </c>
      <c r="F48" s="115">
        <v>17303.615600000001</v>
      </c>
      <c r="G48" s="118">
        <f t="shared" si="12"/>
        <v>2.8769355393378417E-2</v>
      </c>
      <c r="H48" s="118">
        <f t="shared" si="14"/>
        <v>7.0813996759850173E-2</v>
      </c>
      <c r="I48" s="119">
        <v>1512.893</v>
      </c>
      <c r="J48" s="134">
        <v>16101.250860000002</v>
      </c>
      <c r="K48" s="469">
        <f t="shared" si="13"/>
        <v>2.3166963172703718E-2</v>
      </c>
    </row>
    <row r="49" spans="1:11" ht="11.1" customHeight="1">
      <c r="A49" s="654"/>
      <c r="B49" s="655"/>
      <c r="C49" s="365" t="s">
        <v>0</v>
      </c>
      <c r="D49" s="366">
        <v>379274</v>
      </c>
      <c r="E49" s="367">
        <v>56310.855000000003</v>
      </c>
      <c r="F49" s="366">
        <v>601496.37173999997</v>
      </c>
      <c r="G49" s="370">
        <f>SUM(G44:G48)</f>
        <v>1</v>
      </c>
      <c r="H49" s="370">
        <f t="shared" ref="H49" si="15">(E49-I49)/I49</f>
        <v>-0.13771066162084225</v>
      </c>
      <c r="I49" s="371">
        <v>65303.898000000001</v>
      </c>
      <c r="J49" s="382">
        <v>695192.93530000001</v>
      </c>
      <c r="K49" s="470">
        <f>SUM(K44:K48)</f>
        <v>1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172</v>
      </c>
      <c r="E50" s="270">
        <v>33721.83</v>
      </c>
      <c r="F50" s="120">
        <v>361008.44164999988</v>
      </c>
      <c r="G50" s="122">
        <f>E50/$E$55</f>
        <v>0.76202727665553094</v>
      </c>
      <c r="H50" s="122">
        <f>(E50-I50)/I50</f>
        <v>-4.4794632784965024E-2</v>
      </c>
      <c r="I50" s="543">
        <v>35303.224999999999</v>
      </c>
      <c r="J50" s="135">
        <v>376485.92813000007</v>
      </c>
      <c r="K50" s="468">
        <f>I50/$I$55</f>
        <v>0.8159956455238393</v>
      </c>
    </row>
    <row r="51" spans="1:11" ht="11.1" customHeight="1">
      <c r="A51" s="656"/>
      <c r="B51" s="657"/>
      <c r="C51" s="403" t="s">
        <v>5</v>
      </c>
      <c r="D51" s="115">
        <v>476</v>
      </c>
      <c r="E51" s="116">
        <v>2192.3989999999999</v>
      </c>
      <c r="F51" s="115">
        <v>23478.329900000001</v>
      </c>
      <c r="G51" s="118">
        <f t="shared" ref="G51:G54" si="16">E51/$E$55</f>
        <v>4.9542620887191156E-2</v>
      </c>
      <c r="H51" s="118">
        <f t="shared" ref="H51:H54" si="17">(E51-I51)/I51</f>
        <v>9.3276624943214273E-2</v>
      </c>
      <c r="I51" s="119">
        <v>2005.347</v>
      </c>
      <c r="J51" s="134">
        <v>21391.433359999985</v>
      </c>
      <c r="K51" s="469">
        <f t="shared" ref="K51:K54" si="18">I51/$I$55</f>
        <v>4.6351414630371436E-2</v>
      </c>
    </row>
    <row r="52" spans="1:11" ht="11.1" customHeight="1">
      <c r="A52" s="656"/>
      <c r="B52" s="657"/>
      <c r="C52" s="403" t="s">
        <v>6</v>
      </c>
      <c r="D52" s="115">
        <v>18289</v>
      </c>
      <c r="E52" s="116">
        <v>1832.4560000000001</v>
      </c>
      <c r="F52" s="115">
        <v>19626.833880000002</v>
      </c>
      <c r="G52" s="118">
        <f t="shared" si="16"/>
        <v>4.1408827909727546E-2</v>
      </c>
      <c r="H52" s="118">
        <f t="shared" si="17"/>
        <v>0.42212578179992283</v>
      </c>
      <c r="I52" s="119">
        <v>1288.5330000000001</v>
      </c>
      <c r="J52" s="134">
        <v>13742.43936</v>
      </c>
      <c r="K52" s="469">
        <f t="shared" si="18"/>
        <v>2.9783038719940442E-2</v>
      </c>
    </row>
    <row r="53" spans="1:11" ht="11.1" customHeight="1">
      <c r="A53" s="656"/>
      <c r="B53" s="657"/>
      <c r="C53" s="403" t="s">
        <v>7</v>
      </c>
      <c r="D53" s="115">
        <v>360226</v>
      </c>
      <c r="E53" s="116">
        <v>4733.7</v>
      </c>
      <c r="F53" s="115">
        <v>50703.199999999997</v>
      </c>
      <c r="G53" s="118">
        <f t="shared" si="16"/>
        <v>0.10696953633608516</v>
      </c>
      <c r="H53" s="118">
        <f t="shared" si="17"/>
        <v>0.58513880052238543</v>
      </c>
      <c r="I53" s="119">
        <v>2986.3</v>
      </c>
      <c r="J53" s="134">
        <v>31859.3</v>
      </c>
      <c r="K53" s="469">
        <f t="shared" si="18"/>
        <v>6.9025076214080772E-2</v>
      </c>
    </row>
    <row r="54" spans="1:11" ht="11.1" customHeight="1">
      <c r="A54" s="656"/>
      <c r="B54" s="657"/>
      <c r="C54" s="403" t="s">
        <v>112</v>
      </c>
      <c r="D54" s="115">
        <v>28</v>
      </c>
      <c r="E54" s="116">
        <v>1772.4010000000001</v>
      </c>
      <c r="F54" s="115">
        <v>18975.721569999998</v>
      </c>
      <c r="G54" s="118">
        <f t="shared" si="16"/>
        <v>4.0051738211465383E-2</v>
      </c>
      <c r="H54" s="118">
        <f t="shared" si="17"/>
        <v>5.46352394587113E-2</v>
      </c>
      <c r="I54" s="119">
        <v>1680.5820000000001</v>
      </c>
      <c r="J54" s="134">
        <v>17920.577420000001</v>
      </c>
      <c r="K54" s="469">
        <f t="shared" si="18"/>
        <v>3.8844824911767835E-2</v>
      </c>
    </row>
    <row r="55" spans="1:11" ht="11.1" customHeight="1">
      <c r="A55" s="656"/>
      <c r="B55" s="657"/>
      <c r="C55" s="365" t="s">
        <v>0</v>
      </c>
      <c r="D55" s="366">
        <v>379191</v>
      </c>
      <c r="E55" s="367">
        <v>44252.785999999993</v>
      </c>
      <c r="F55" s="366">
        <v>473792.52699999989</v>
      </c>
      <c r="G55" s="370">
        <f>SUM(G50:G54)</f>
        <v>1.0000000000000002</v>
      </c>
      <c r="H55" s="370">
        <f t="shared" ref="H55" si="19">(E55-I55)/I55</f>
        <v>2.2855013339385118E-2</v>
      </c>
      <c r="I55" s="371">
        <v>43263.987000000008</v>
      </c>
      <c r="J55" s="382">
        <v>461399.67827000003</v>
      </c>
      <c r="K55" s="470">
        <f>SUM(K50:K54)</f>
        <v>0.99999999999999978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172</v>
      </c>
      <c r="E56" s="116">
        <f>E38+E44+E50</f>
        <v>106800.678</v>
      </c>
      <c r="F56" s="115">
        <f>F38+F44+F50</f>
        <v>1141295.5957899999</v>
      </c>
      <c r="G56" s="118">
        <f>E56/$E$61</f>
        <v>0.65090475064082631</v>
      </c>
      <c r="H56" s="118">
        <f>(E56-I56)/I56</f>
        <v>-8.2106346638257749E-2</v>
      </c>
      <c r="I56" s="119">
        <f>I38+I44+I50</f>
        <v>116354.087</v>
      </c>
      <c r="J56" s="134">
        <f>J38+J44+J50</f>
        <v>1239328.60344</v>
      </c>
      <c r="K56" s="469">
        <f>I56/$I$61</f>
        <v>0.66045155055890659</v>
      </c>
    </row>
    <row r="57" spans="1:11" ht="11.1" customHeight="1">
      <c r="A57" s="656"/>
      <c r="B57" s="657"/>
      <c r="C57" s="403" t="s">
        <v>5</v>
      </c>
      <c r="D57" s="115">
        <f>D51</f>
        <v>476</v>
      </c>
      <c r="E57" s="116">
        <f t="shared" ref="E57:F58" si="20">E39+E45+E51</f>
        <v>8881.5789999999997</v>
      </c>
      <c r="F57" s="115">
        <f t="shared" si="20"/>
        <v>94915.366029999976</v>
      </c>
      <c r="G57" s="118">
        <f t="shared" ref="G57:G60" si="21">E57/$E$61</f>
        <v>5.4129450042365829E-2</v>
      </c>
      <c r="H57" s="118">
        <f t="shared" ref="H57:H60" si="22">(E57-I57)/I57</f>
        <v>-0.11342808849249573</v>
      </c>
      <c r="I57" s="119">
        <f t="shared" ref="I57:J57" si="23">I39+I45+I51</f>
        <v>10017.888999999999</v>
      </c>
      <c r="J57" s="134">
        <f t="shared" si="23"/>
        <v>106945.62201999998</v>
      </c>
      <c r="K57" s="469">
        <f t="shared" ref="K57:K60" si="24">I57/$I$61</f>
        <v>5.6863755231709341E-2</v>
      </c>
    </row>
    <row r="58" spans="1:11" ht="11.1" customHeight="1">
      <c r="A58" s="656"/>
      <c r="B58" s="657"/>
      <c r="C58" s="403" t="s">
        <v>6</v>
      </c>
      <c r="D58" s="115">
        <f>D52</f>
        <v>18289</v>
      </c>
      <c r="E58" s="116">
        <f>E40+E46+E52</f>
        <v>12749.332</v>
      </c>
      <c r="F58" s="115">
        <f t="shared" si="20"/>
        <v>136228.92502</v>
      </c>
      <c r="G58" s="118">
        <f t="shared" si="21"/>
        <v>7.7701761090852875E-2</v>
      </c>
      <c r="H58" s="118">
        <f t="shared" si="22"/>
        <v>-0.12295024452740436</v>
      </c>
      <c r="I58" s="119">
        <f>I40+I46+I52</f>
        <v>14536.612000000001</v>
      </c>
      <c r="J58" s="134">
        <f t="shared" ref="J58" si="25">J40+J46+J52</f>
        <v>155025.73645999999</v>
      </c>
      <c r="K58" s="469">
        <f t="shared" si="24"/>
        <v>8.251302711243147E-2</v>
      </c>
    </row>
    <row r="59" spans="1:11" ht="11.1" customHeight="1">
      <c r="A59" s="656"/>
      <c r="B59" s="657"/>
      <c r="C59" s="403" t="s">
        <v>7</v>
      </c>
      <c r="D59" s="115">
        <f>D53</f>
        <v>360226</v>
      </c>
      <c r="E59" s="116">
        <f t="shared" ref="E59:F60" si="26">E41+E47+E53</f>
        <v>30812.7</v>
      </c>
      <c r="F59" s="115">
        <f t="shared" si="26"/>
        <v>329257.2</v>
      </c>
      <c r="G59" s="118">
        <f t="shared" si="21"/>
        <v>0.18779031356028086</v>
      </c>
      <c r="H59" s="118">
        <f t="shared" si="22"/>
        <v>3.3114517071113577E-3</v>
      </c>
      <c r="I59" s="119">
        <f t="shared" ref="I59:J59" si="27">I41+I47+I53</f>
        <v>30711.002</v>
      </c>
      <c r="J59" s="134">
        <f t="shared" si="27"/>
        <v>327525.27499999997</v>
      </c>
      <c r="K59" s="469">
        <f t="shared" si="24"/>
        <v>0.17432244464363064</v>
      </c>
    </row>
    <row r="60" spans="1:11" ht="11.1" customHeight="1">
      <c r="A60" s="656"/>
      <c r="B60" s="657"/>
      <c r="C60" s="403" t="s">
        <v>112</v>
      </c>
      <c r="D60" s="115">
        <f>D54</f>
        <v>28</v>
      </c>
      <c r="E60" s="116">
        <f>E42+E48+E54</f>
        <v>4836.0590000000002</v>
      </c>
      <c r="F60" s="115">
        <f t="shared" si="26"/>
        <v>51690.570510000005</v>
      </c>
      <c r="G60" s="118">
        <f t="shared" si="21"/>
        <v>2.9473724665674161E-2</v>
      </c>
      <c r="H60" s="118">
        <f t="shared" si="22"/>
        <v>6.1948432009229712E-2</v>
      </c>
      <c r="I60" s="119">
        <f>I42+I48+I54</f>
        <v>4553.9490000000005</v>
      </c>
      <c r="J60" s="134">
        <f t="shared" ref="J60" si="28">J42+J48+J54</f>
        <v>49503.440750000002</v>
      </c>
      <c r="K60" s="469">
        <f t="shared" si="24"/>
        <v>2.584922245332201E-2</v>
      </c>
    </row>
    <row r="61" spans="1:11" ht="11.1" customHeight="1">
      <c r="A61" s="656"/>
      <c r="B61" s="657"/>
      <c r="C61" s="365" t="s">
        <v>0</v>
      </c>
      <c r="D61" s="366">
        <f>SUM(D56:D60)</f>
        <v>379191</v>
      </c>
      <c r="E61" s="367">
        <f>SUM(E56:E60)</f>
        <v>164080.348</v>
      </c>
      <c r="F61" s="366">
        <f>SUM(F56:F60)</f>
        <v>1753387.6573499998</v>
      </c>
      <c r="G61" s="370">
        <f>SUM(G56:G60)</f>
        <v>1</v>
      </c>
      <c r="H61" s="370">
        <f>(E61-I61)/I61</f>
        <v>-6.8643628712028046E-2</v>
      </c>
      <c r="I61" s="371">
        <f>SUM(I56:I60)</f>
        <v>176173.53899999999</v>
      </c>
      <c r="J61" s="382">
        <f>SUM(J56:J60)</f>
        <v>1878328.6776699999</v>
      </c>
      <c r="K61" s="470">
        <f>SUM(K56:K60)</f>
        <v>1.0000000000000002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270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45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117</v>
      </c>
      <c r="E8" s="116">
        <v>13557.931</v>
      </c>
      <c r="F8" s="120">
        <v>144786.02395999999</v>
      </c>
      <c r="G8" s="122">
        <f>E8/$E$13</f>
        <v>0.42766260598566669</v>
      </c>
      <c r="H8" s="122">
        <f>(E8-I8)/I8</f>
        <v>-2.2153901988568796E-2</v>
      </c>
      <c r="I8" s="119">
        <v>13865.097</v>
      </c>
      <c r="J8" s="135">
        <v>148024.03654999999</v>
      </c>
      <c r="K8" s="468">
        <f>I8/$I$13</f>
        <v>0.42642549369977273</v>
      </c>
    </row>
    <row r="9" spans="1:16" ht="11.1" customHeight="1">
      <c r="A9" s="652"/>
      <c r="B9" s="653"/>
      <c r="C9" s="403" t="s">
        <v>5</v>
      </c>
      <c r="D9" s="115">
        <v>372</v>
      </c>
      <c r="E9" s="116">
        <v>2936.194</v>
      </c>
      <c r="F9" s="115">
        <v>31355.928009999985</v>
      </c>
      <c r="G9" s="118">
        <f>E9/$E$13</f>
        <v>9.2617404360553143E-2</v>
      </c>
      <c r="H9" s="118">
        <f>(E9-I9)/I9</f>
        <v>-0.13943638566060459</v>
      </c>
      <c r="I9" s="119">
        <v>3411.9430000000002</v>
      </c>
      <c r="J9" s="134">
        <v>36307.489829999984</v>
      </c>
      <c r="K9" s="469">
        <f>I9/$I$13</f>
        <v>0.10493539845054699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13231</v>
      </c>
      <c r="E10" s="116">
        <v>4841.8589999999995</v>
      </c>
      <c r="F10" s="115">
        <v>51706.956630000001</v>
      </c>
      <c r="G10" s="118">
        <f>E10/$E$13</f>
        <v>0.15272846850711616</v>
      </c>
      <c r="H10" s="118">
        <f t="shared" ref="H10:H12" si="0">(E10-I10)/I10</f>
        <v>-4.6051707394536227E-2</v>
      </c>
      <c r="I10" s="119">
        <v>5075.5990000000002</v>
      </c>
      <c r="J10" s="134">
        <v>54200.65552</v>
      </c>
      <c r="K10" s="469">
        <f>I10/$I$13</f>
        <v>0.15610167093653024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173871</v>
      </c>
      <c r="E11" s="116">
        <v>10056.200000000001</v>
      </c>
      <c r="F11" s="115">
        <v>107391.1</v>
      </c>
      <c r="G11" s="118">
        <f>E11/$E$13</f>
        <v>0.31720626829514487</v>
      </c>
      <c r="H11" s="118">
        <f t="shared" si="0"/>
        <v>2.6289469924274934E-2</v>
      </c>
      <c r="I11" s="119">
        <v>9798.6</v>
      </c>
      <c r="J11" s="134">
        <v>104636.1</v>
      </c>
      <c r="K11" s="469">
        <f>I11/$I$13</f>
        <v>0.30135907758644553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15</v>
      </c>
      <c r="E12" s="116">
        <v>310.21600000000001</v>
      </c>
      <c r="F12" s="115">
        <v>3312.8215</v>
      </c>
      <c r="G12" s="118">
        <f>E12/$E$13</f>
        <v>9.7852528515191273E-3</v>
      </c>
      <c r="H12" s="118">
        <f t="shared" si="0"/>
        <v>-0.14649439692291608</v>
      </c>
      <c r="I12" s="119">
        <v>363.46100000000001</v>
      </c>
      <c r="J12" s="134">
        <v>4044.7968900000001</v>
      </c>
      <c r="K12" s="469">
        <f>I12/$I$13</f>
        <v>1.1178359326704537E-2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187606</v>
      </c>
      <c r="E13" s="367">
        <v>31702.400000000001</v>
      </c>
      <c r="F13" s="366">
        <v>338552.83009999996</v>
      </c>
      <c r="G13" s="370">
        <f>SUM(G8:G12)</f>
        <v>1</v>
      </c>
      <c r="H13" s="370">
        <f>(E13-I13)/I13</f>
        <v>-2.4982546355955898E-2</v>
      </c>
      <c r="I13" s="371">
        <v>32514.7</v>
      </c>
      <c r="J13" s="382">
        <v>347213.07878999994</v>
      </c>
      <c r="K13" s="470">
        <f>SUM(K8:K12)</f>
        <v>1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118</v>
      </c>
      <c r="E14" s="116">
        <v>13848.960000000001</v>
      </c>
      <c r="F14" s="120">
        <v>147964.08762999999</v>
      </c>
      <c r="G14" s="122">
        <f>E14/$E$19</f>
        <v>0.51822570143467628</v>
      </c>
      <c r="H14" s="122">
        <f>(E14-I14)/I14</f>
        <v>-2.1062451080372222E-2</v>
      </c>
      <c r="I14" s="119">
        <v>14146.929</v>
      </c>
      <c r="J14" s="135">
        <v>150634.06693</v>
      </c>
      <c r="K14" s="468">
        <f>I14/$I$19</f>
        <v>0.468405684335299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370</v>
      </c>
      <c r="E15" s="116">
        <v>2310.5079999999998</v>
      </c>
      <c r="F15" s="115">
        <v>24686.231630000013</v>
      </c>
      <c r="G15" s="118">
        <f>E15/$E$19</f>
        <v>8.6458811995300061E-2</v>
      </c>
      <c r="H15" s="118">
        <f>(E15-I15)/I15</f>
        <v>-0.16263642672958215</v>
      </c>
      <c r="I15" s="119">
        <v>2759.2650000000003</v>
      </c>
      <c r="J15" s="134">
        <v>29379.810839999987</v>
      </c>
      <c r="K15" s="469">
        <f>I15/$I$19</f>
        <v>9.1359432890872561E-2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13233</v>
      </c>
      <c r="E16" s="116">
        <v>3147.2919999999999</v>
      </c>
      <c r="F16" s="115">
        <v>33625.904770000001</v>
      </c>
      <c r="G16" s="118">
        <f>E16/$E$19</f>
        <v>0.11777112536390782</v>
      </c>
      <c r="H16" s="118">
        <f t="shared" ref="H16:H19" si="1">(E16-I16)/I16</f>
        <v>-0.29187356874758968</v>
      </c>
      <c r="I16" s="119">
        <v>4444.5339999999997</v>
      </c>
      <c r="J16" s="134">
        <v>47324.79954</v>
      </c>
      <c r="K16" s="469">
        <f>I16/$I$19</f>
        <v>0.14715879254228981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173790</v>
      </c>
      <c r="E17" s="116">
        <v>7075.6</v>
      </c>
      <c r="F17" s="115">
        <v>75597</v>
      </c>
      <c r="G17" s="118">
        <f>E17/$E$19</f>
        <v>0.26476773512748936</v>
      </c>
      <c r="H17" s="118">
        <f t="shared" si="1"/>
        <v>-0.16366043355949034</v>
      </c>
      <c r="I17" s="119">
        <v>8460.2000000000007</v>
      </c>
      <c r="J17" s="134">
        <v>90082.1</v>
      </c>
      <c r="K17" s="469">
        <f>I17/$I$19</f>
        <v>0.28011773937746465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15</v>
      </c>
      <c r="E18" s="116">
        <v>341.44</v>
      </c>
      <c r="F18" s="115">
        <v>3647.9972699999998</v>
      </c>
      <c r="G18" s="118">
        <f>E18/$E$19</f>
        <v>1.2776626078626542E-2</v>
      </c>
      <c r="H18" s="118">
        <f t="shared" si="1"/>
        <v>-0.12758194249971896</v>
      </c>
      <c r="I18" s="119">
        <v>391.37200000000001</v>
      </c>
      <c r="J18" s="134">
        <v>4167.2515699999994</v>
      </c>
      <c r="K18" s="469">
        <f>I18/$I$19</f>
        <v>1.2958350854074029E-2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187526</v>
      </c>
      <c r="E19" s="367">
        <v>26723.8</v>
      </c>
      <c r="F19" s="366">
        <v>285521.22130000003</v>
      </c>
      <c r="G19" s="370">
        <f>SUM(G14:G18)</f>
        <v>0.99999999999999989</v>
      </c>
      <c r="H19" s="370">
        <f t="shared" si="1"/>
        <v>-0.11517334772517325</v>
      </c>
      <c r="I19" s="371">
        <v>30202.3</v>
      </c>
      <c r="J19" s="382">
        <v>321588.02888000006</v>
      </c>
      <c r="K19" s="470">
        <f>SUM(K14:K18)</f>
        <v>1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118</v>
      </c>
      <c r="E20" s="270">
        <v>12251.919</v>
      </c>
      <c r="F20" s="120">
        <v>131232.10553999999</v>
      </c>
      <c r="G20" s="122">
        <f>E20/$E$25</f>
        <v>0.65223556655753412</v>
      </c>
      <c r="H20" s="122">
        <f>(E20-I20)/I20</f>
        <v>1.3489458506671491E-2</v>
      </c>
      <c r="I20" s="543">
        <v>12088.847</v>
      </c>
      <c r="J20" s="135">
        <v>128968.03498999999</v>
      </c>
      <c r="K20" s="468">
        <f>I20/$I$25</f>
        <v>0.71480460735213258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370</v>
      </c>
      <c r="E21" s="116">
        <v>1688.934</v>
      </c>
      <c r="F21" s="115">
        <v>18090.839200000006</v>
      </c>
      <c r="G21" s="118">
        <f>E21/$E$25</f>
        <v>8.9911043679629474E-2</v>
      </c>
      <c r="H21" s="118">
        <f t="shared" ref="H21:H25" si="2">(E21-I21)/I21</f>
        <v>9.6399268519257744E-2</v>
      </c>
      <c r="I21" s="119">
        <v>1540.4370000000001</v>
      </c>
      <c r="J21" s="134">
        <v>16434.054130000004</v>
      </c>
      <c r="K21" s="469">
        <f>I21/$I$25</f>
        <v>9.1084903707996059E-2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13233</v>
      </c>
      <c r="E22" s="116">
        <v>1339.5239999999999</v>
      </c>
      <c r="F22" s="115">
        <v>14348.23839</v>
      </c>
      <c r="G22" s="118">
        <f>E22/$E$25</f>
        <v>7.1310069472171195E-2</v>
      </c>
      <c r="H22" s="118">
        <f t="shared" si="2"/>
        <v>0.44640149960911663</v>
      </c>
      <c r="I22" s="119">
        <v>926.10800000000006</v>
      </c>
      <c r="J22" s="134">
        <v>9879.715470000001</v>
      </c>
      <c r="K22" s="469">
        <f>I22/$I$25</f>
        <v>5.4760083017484529E-2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173748</v>
      </c>
      <c r="E23" s="116">
        <v>3109.6</v>
      </c>
      <c r="F23" s="115">
        <v>33308</v>
      </c>
      <c r="G23" s="118">
        <f>E23/$E$25</f>
        <v>0.16554073837472383</v>
      </c>
      <c r="H23" s="118">
        <f t="shared" si="2"/>
        <v>0.58104535285743342</v>
      </c>
      <c r="I23" s="119">
        <v>1966.8</v>
      </c>
      <c r="J23" s="134">
        <v>20982.5</v>
      </c>
      <c r="K23" s="469">
        <f>I23/$I$25</f>
        <v>0.11629543344705862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15</v>
      </c>
      <c r="E24" s="116">
        <v>394.52300000000002</v>
      </c>
      <c r="F24" s="115">
        <v>4225.8128799999995</v>
      </c>
      <c r="G24" s="118">
        <f>E24/$E$25</f>
        <v>2.1002581915941336E-2</v>
      </c>
      <c r="H24" s="118">
        <f t="shared" si="2"/>
        <v>1.1836125444976786E-2</v>
      </c>
      <c r="I24" s="119">
        <v>389.90800000000002</v>
      </c>
      <c r="J24" s="134">
        <v>4159.6671999999999</v>
      </c>
      <c r="K24" s="469">
        <f>I24/$I$25</f>
        <v>2.3054972475328318E-2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187484</v>
      </c>
      <c r="E25" s="367">
        <v>18784.5</v>
      </c>
      <c r="F25" s="366">
        <v>201204.99601000003</v>
      </c>
      <c r="G25" s="370">
        <f>SUM(G20:G24)</f>
        <v>0.99999999999999989</v>
      </c>
      <c r="H25" s="370">
        <f t="shared" si="2"/>
        <v>0.11071363106887977</v>
      </c>
      <c r="I25" s="371">
        <v>16912.099999999999</v>
      </c>
      <c r="J25" s="382">
        <v>180423.97178999998</v>
      </c>
      <c r="K25" s="470">
        <f>SUM(K20:K24)</f>
        <v>1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118</v>
      </c>
      <c r="E26" s="116">
        <f>E8+E14+E20</f>
        <v>39658.810000000005</v>
      </c>
      <c r="F26" s="115">
        <f>F8+F14+F20</f>
        <v>423982.21713</v>
      </c>
      <c r="G26" s="118">
        <f>E26/$E$31</f>
        <v>0.51364396385475064</v>
      </c>
      <c r="H26" s="118">
        <f>(E26-I26)/I26</f>
        <v>-1.1023774968689452E-2</v>
      </c>
      <c r="I26" s="119">
        <f>I8+I14+I20</f>
        <v>40100.873</v>
      </c>
      <c r="J26" s="134">
        <f>J8+J14+J20</f>
        <v>427626.13847000001</v>
      </c>
      <c r="K26" s="469">
        <f>I26/$I$31</f>
        <v>0.50359570810168652</v>
      </c>
    </row>
    <row r="27" spans="1:20" ht="11.1" customHeight="1">
      <c r="A27" s="656"/>
      <c r="B27" s="657"/>
      <c r="C27" s="403" t="s">
        <v>5</v>
      </c>
      <c r="D27" s="115">
        <f>D21</f>
        <v>370</v>
      </c>
      <c r="E27" s="116">
        <f t="shared" ref="E27:F30" si="3">E9+E15+E21</f>
        <v>6935.6359999999995</v>
      </c>
      <c r="F27" s="115">
        <f t="shared" si="3"/>
        <v>74132.99884</v>
      </c>
      <c r="G27" s="118">
        <f>E27/$E$31</f>
        <v>8.9827394389637688E-2</v>
      </c>
      <c r="H27" s="118">
        <f t="shared" ref="H27:H30" si="4">(E27-I27)/I27</f>
        <v>-0.10062820578488778</v>
      </c>
      <c r="I27" s="119">
        <f t="shared" ref="I27:J27" si="5">I9+I15+I21</f>
        <v>7711.6450000000004</v>
      </c>
      <c r="J27" s="134">
        <f t="shared" si="5"/>
        <v>82121.354799999972</v>
      </c>
      <c r="K27" s="469">
        <f>I27/$I$31</f>
        <v>9.684455808240959E-2</v>
      </c>
    </row>
    <row r="28" spans="1:20" ht="11.1" customHeight="1">
      <c r="A28" s="656"/>
      <c r="B28" s="657"/>
      <c r="C28" s="403" t="s">
        <v>6</v>
      </c>
      <c r="D28" s="115">
        <f>D22</f>
        <v>13233</v>
      </c>
      <c r="E28" s="116">
        <f t="shared" si="3"/>
        <v>9328.6749999999993</v>
      </c>
      <c r="F28" s="115">
        <f t="shared" si="3"/>
        <v>99681.099789999993</v>
      </c>
      <c r="G28" s="118">
        <f>E28/$E$31</f>
        <v>0.12082101314973182</v>
      </c>
      <c r="H28" s="118">
        <f t="shared" si="4"/>
        <v>-0.10698259785505626</v>
      </c>
      <c r="I28" s="119">
        <f t="shared" ref="I28:J28" si="6">I10+I16+I22</f>
        <v>10446.241</v>
      </c>
      <c r="J28" s="134">
        <f t="shared" si="6"/>
        <v>111405.17053</v>
      </c>
      <c r="K28" s="469">
        <f>I28/$I$31</f>
        <v>0.13118622463395921</v>
      </c>
    </row>
    <row r="29" spans="1:20" ht="11.1" customHeight="1">
      <c r="A29" s="656"/>
      <c r="B29" s="657"/>
      <c r="C29" s="403" t="s">
        <v>7</v>
      </c>
      <c r="D29" s="115">
        <f>D23</f>
        <v>173748</v>
      </c>
      <c r="E29" s="116">
        <f t="shared" si="3"/>
        <v>20241.400000000001</v>
      </c>
      <c r="F29" s="115">
        <f t="shared" si="3"/>
        <v>216296.1</v>
      </c>
      <c r="G29" s="118">
        <f>E29/$E$31</f>
        <v>0.26215796515249828</v>
      </c>
      <c r="H29" s="118">
        <f t="shared" si="4"/>
        <v>7.8118819713626645E-4</v>
      </c>
      <c r="I29" s="119">
        <f t="shared" ref="I29:J29" si="7">I11+I17+I23</f>
        <v>20225.600000000002</v>
      </c>
      <c r="J29" s="134">
        <f t="shared" si="7"/>
        <v>215700.7</v>
      </c>
      <c r="K29" s="469">
        <f>I29/$I$31</f>
        <v>0.25399759635610603</v>
      </c>
    </row>
    <row r="30" spans="1:20" ht="11.1" customHeight="1">
      <c r="A30" s="656"/>
      <c r="B30" s="657"/>
      <c r="C30" s="403" t="s">
        <v>112</v>
      </c>
      <c r="D30" s="115">
        <f>D24</f>
        <v>15</v>
      </c>
      <c r="E30" s="116">
        <f>E12+E18+E24</f>
        <v>1046.1790000000001</v>
      </c>
      <c r="F30" s="115">
        <f t="shared" si="3"/>
        <v>11186.631649999999</v>
      </c>
      <c r="G30" s="118">
        <f>E30/$E$31</f>
        <v>1.3549663453381461E-2</v>
      </c>
      <c r="H30" s="118">
        <f t="shared" si="4"/>
        <v>-8.6099825200634819E-2</v>
      </c>
      <c r="I30" s="119">
        <f>I12+I18+I24</f>
        <v>1144.741</v>
      </c>
      <c r="J30" s="134">
        <f t="shared" ref="J30" si="8">J12+J18+J24</f>
        <v>12371.71566</v>
      </c>
      <c r="K30" s="469">
        <f>I30/$I$31</f>
        <v>1.4375912825838796E-2</v>
      </c>
    </row>
    <row r="31" spans="1:20" ht="11.1" customHeight="1">
      <c r="A31" s="656"/>
      <c r="B31" s="657"/>
      <c r="C31" s="365" t="s">
        <v>0</v>
      </c>
      <c r="D31" s="366">
        <f>SUM(D26:D30)</f>
        <v>187484</v>
      </c>
      <c r="E31" s="367">
        <f>SUM(E26:E30)</f>
        <v>77210.700000000012</v>
      </c>
      <c r="F31" s="366">
        <f>SUM(F26:F30)</f>
        <v>825279.04741</v>
      </c>
      <c r="G31" s="370">
        <f>SUM(G26:G30)</f>
        <v>0.99999999999999989</v>
      </c>
      <c r="H31" s="370">
        <f>(E31-I31)/I31</f>
        <v>-3.0370806652341667E-2</v>
      </c>
      <c r="I31" s="371">
        <f>SUM(I26:I30)</f>
        <v>79629.099999999991</v>
      </c>
      <c r="J31" s="382">
        <f>SUM(J26:J30)</f>
        <v>849225.07945999992</v>
      </c>
      <c r="K31" s="470">
        <f>SUM(K26:K30)</f>
        <v>1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46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74</v>
      </c>
      <c r="E38" s="116">
        <v>10656.831</v>
      </c>
      <c r="F38" s="120">
        <v>113804.83002000002</v>
      </c>
      <c r="G38" s="122">
        <f>E38/$E$43</f>
        <v>0.41249428103626457</v>
      </c>
      <c r="H38" s="122">
        <f>(E38-I38)/I38</f>
        <v>-0.18381939368391637</v>
      </c>
      <c r="I38" s="119">
        <v>13056.951999999999</v>
      </c>
      <c r="J38" s="135">
        <v>139396.65082000004</v>
      </c>
      <c r="K38" s="468">
        <f>I38/$I$43</f>
        <v>0.46103428551251718</v>
      </c>
    </row>
    <row r="39" spans="1:11" ht="11.1" customHeight="1">
      <c r="A39" s="652"/>
      <c r="B39" s="653"/>
      <c r="C39" s="403" t="s">
        <v>5</v>
      </c>
      <c r="D39" s="115">
        <v>290</v>
      </c>
      <c r="E39" s="116">
        <v>3058.4779999999996</v>
      </c>
      <c r="F39" s="115">
        <v>32661.721029999975</v>
      </c>
      <c r="G39" s="118">
        <f t="shared" ref="G39" si="9">E39/$E$43</f>
        <v>0.11838460079504237</v>
      </c>
      <c r="H39" s="118">
        <f>(E39-I39)/I39</f>
        <v>7.004510028158533E-3</v>
      </c>
      <c r="I39" s="119">
        <v>3037.2038750000002</v>
      </c>
      <c r="J39" s="134">
        <v>32341.548870000006</v>
      </c>
      <c r="K39" s="469">
        <f t="shared" ref="K39:K42" si="10">I39/$I$43</f>
        <v>0.1072421127431941</v>
      </c>
    </row>
    <row r="40" spans="1:11" ht="11.1" customHeight="1">
      <c r="A40" s="652"/>
      <c r="B40" s="653"/>
      <c r="C40" s="403" t="s">
        <v>6</v>
      </c>
      <c r="D40" s="115">
        <v>11248</v>
      </c>
      <c r="E40" s="116">
        <v>3976.1710000000003</v>
      </c>
      <c r="F40" s="115">
        <v>42462.052620000002</v>
      </c>
      <c r="G40" s="118">
        <f>E40/$E$43</f>
        <v>0.15390577160529667</v>
      </c>
      <c r="H40" s="118">
        <f t="shared" ref="H40:H42" si="11">(E40-I40)/I40</f>
        <v>-5.6589389886817013E-2</v>
      </c>
      <c r="I40" s="119">
        <v>4214.6770000000006</v>
      </c>
      <c r="J40" s="134">
        <v>45007.531179999998</v>
      </c>
      <c r="K40" s="469">
        <f t="shared" si="10"/>
        <v>0.14881808551957912</v>
      </c>
    </row>
    <row r="41" spans="1:11" ht="11.1" customHeight="1">
      <c r="A41" s="652"/>
      <c r="B41" s="653"/>
      <c r="C41" s="403" t="s">
        <v>7</v>
      </c>
      <c r="D41" s="115">
        <v>125352</v>
      </c>
      <c r="E41" s="116">
        <v>7960.1</v>
      </c>
      <c r="F41" s="115">
        <v>85006.1</v>
      </c>
      <c r="G41" s="118">
        <f>E41/$E$43</f>
        <v>0.30811183235211009</v>
      </c>
      <c r="H41" s="118">
        <f t="shared" si="11"/>
        <v>1.6576631802102112E-2</v>
      </c>
      <c r="I41" s="119">
        <v>7830.3</v>
      </c>
      <c r="J41" s="134">
        <v>83617</v>
      </c>
      <c r="K41" s="469">
        <f t="shared" si="10"/>
        <v>0.27648388121888351</v>
      </c>
    </row>
    <row r="42" spans="1:11" ht="11.1" customHeight="1">
      <c r="A42" s="652"/>
      <c r="B42" s="653"/>
      <c r="C42" s="403" t="s">
        <v>112</v>
      </c>
      <c r="D42" s="115">
        <v>13</v>
      </c>
      <c r="E42" s="116">
        <v>183.52</v>
      </c>
      <c r="F42" s="115">
        <v>1959.8236499999998</v>
      </c>
      <c r="G42" s="118">
        <f>E42/$E$43</f>
        <v>7.103514211286196E-3</v>
      </c>
      <c r="H42" s="118">
        <f t="shared" si="11"/>
        <v>9.0883660254706452E-3</v>
      </c>
      <c r="I42" s="119">
        <v>181.86712499999999</v>
      </c>
      <c r="J42" s="134">
        <v>2067.5458700000004</v>
      </c>
      <c r="K42" s="469">
        <f t="shared" si="10"/>
        <v>6.4216350058260646E-3</v>
      </c>
    </row>
    <row r="43" spans="1:11" ht="11.1" customHeight="1">
      <c r="A43" s="654"/>
      <c r="B43" s="655"/>
      <c r="C43" s="365" t="s">
        <v>0</v>
      </c>
      <c r="D43" s="366">
        <v>136977</v>
      </c>
      <c r="E43" s="367">
        <v>25835.100000000002</v>
      </c>
      <c r="F43" s="366">
        <v>275894.52731999999</v>
      </c>
      <c r="G43" s="370">
        <f>SUM(G38:G42)</f>
        <v>0.99999999999999989</v>
      </c>
      <c r="H43" s="370">
        <f>(E43-I43)/I43</f>
        <v>-8.7775855372338465E-2</v>
      </c>
      <c r="I43" s="371">
        <v>28321</v>
      </c>
      <c r="J43" s="382">
        <v>302430.27674</v>
      </c>
      <c r="K43" s="470">
        <f>SUM(K38:K42)</f>
        <v>0.99999999999999989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74</v>
      </c>
      <c r="E44" s="116">
        <v>10980.242</v>
      </c>
      <c r="F44" s="120">
        <v>117314.82323000005</v>
      </c>
      <c r="G44" s="122">
        <f>E44/$E$49</f>
        <v>0.50093030470307531</v>
      </c>
      <c r="H44" s="122">
        <f>(E44-I44)/I44</f>
        <v>-0.11398336633228741</v>
      </c>
      <c r="I44" s="119">
        <v>12392.816999999999</v>
      </c>
      <c r="J44" s="135">
        <v>131955.75088999997</v>
      </c>
      <c r="K44" s="468">
        <f>I44/$I$49</f>
        <v>0.48180209005590585</v>
      </c>
    </row>
    <row r="45" spans="1:11" ht="11.1" customHeight="1">
      <c r="A45" s="652"/>
      <c r="B45" s="653"/>
      <c r="C45" s="403" t="s">
        <v>5</v>
      </c>
      <c r="D45" s="115">
        <v>288</v>
      </c>
      <c r="E45" s="116">
        <v>2537.616</v>
      </c>
      <c r="F45" s="115">
        <v>27111.978319999987</v>
      </c>
      <c r="G45" s="118">
        <f t="shared" ref="G45:G48" si="12">E45/$E$49</f>
        <v>0.11576873771082632</v>
      </c>
      <c r="H45" s="118">
        <f>(E45-I45)/I45</f>
        <v>-5.330109543445246E-2</v>
      </c>
      <c r="I45" s="119">
        <v>2680.489</v>
      </c>
      <c r="J45" s="134">
        <v>28540.858140000011</v>
      </c>
      <c r="K45" s="469">
        <f t="shared" ref="K45:K48" si="13">I45/$I$49</f>
        <v>0.10421078618137145</v>
      </c>
    </row>
    <row r="46" spans="1:11" ht="11.1" customHeight="1">
      <c r="A46" s="652"/>
      <c r="B46" s="653"/>
      <c r="C46" s="403" t="s">
        <v>6</v>
      </c>
      <c r="D46" s="115">
        <v>11244</v>
      </c>
      <c r="E46" s="116">
        <v>2590.944</v>
      </c>
      <c r="F46" s="115">
        <v>27681.948270000001</v>
      </c>
      <c r="G46" s="118">
        <f t="shared" si="12"/>
        <v>0.11820161772287029</v>
      </c>
      <c r="H46" s="118">
        <f t="shared" ref="H46:H48" si="14">(E46-I46)/I46</f>
        <v>-0.2945341415008314</v>
      </c>
      <c r="I46" s="119">
        <v>3672.6709999999998</v>
      </c>
      <c r="J46" s="134">
        <v>39105.770129999997</v>
      </c>
      <c r="K46" s="469">
        <f t="shared" si="13"/>
        <v>0.14278436967863836</v>
      </c>
    </row>
    <row r="47" spans="1:11" ht="11.1" customHeight="1">
      <c r="A47" s="652"/>
      <c r="B47" s="653"/>
      <c r="C47" s="403" t="s">
        <v>7</v>
      </c>
      <c r="D47" s="115">
        <v>125301</v>
      </c>
      <c r="E47" s="116">
        <v>5600.8</v>
      </c>
      <c r="F47" s="115">
        <v>59839.3</v>
      </c>
      <c r="G47" s="118">
        <f t="shared" si="12"/>
        <v>0.25551444590938743</v>
      </c>
      <c r="H47" s="118">
        <f t="shared" si="14"/>
        <v>-0.1715650746224503</v>
      </c>
      <c r="I47" s="119">
        <v>6760.7</v>
      </c>
      <c r="J47" s="134">
        <v>71986.600000000006</v>
      </c>
      <c r="K47" s="469">
        <f t="shared" si="13"/>
        <v>0.26283930362571828</v>
      </c>
    </row>
    <row r="48" spans="1:11" ht="11.1" customHeight="1">
      <c r="A48" s="652"/>
      <c r="B48" s="653"/>
      <c r="C48" s="403" t="s">
        <v>112</v>
      </c>
      <c r="D48" s="115">
        <v>13</v>
      </c>
      <c r="E48" s="116">
        <v>210.09800000000001</v>
      </c>
      <c r="F48" s="115">
        <v>2244.7125699999997</v>
      </c>
      <c r="G48" s="118">
        <f t="shared" si="12"/>
        <v>9.5848939538406095E-3</v>
      </c>
      <c r="H48" s="118">
        <f t="shared" si="14"/>
        <v>-2.3358729656986828E-2</v>
      </c>
      <c r="I48" s="119">
        <v>215.12299999999999</v>
      </c>
      <c r="J48" s="134">
        <v>2290.57701</v>
      </c>
      <c r="K48" s="469">
        <f t="shared" si="13"/>
        <v>8.3634504583660549E-3</v>
      </c>
    </row>
    <row r="49" spans="1:11" ht="11.1" customHeight="1">
      <c r="A49" s="654"/>
      <c r="B49" s="655"/>
      <c r="C49" s="365" t="s">
        <v>0</v>
      </c>
      <c r="D49" s="366">
        <v>136920</v>
      </c>
      <c r="E49" s="367">
        <v>21919.7</v>
      </c>
      <c r="F49" s="366">
        <v>234192.76239000002</v>
      </c>
      <c r="G49" s="370">
        <f>SUM(G44:G48)</f>
        <v>1</v>
      </c>
      <c r="H49" s="370">
        <f t="shared" ref="H49" si="15">(E49-I49)/I49</f>
        <v>-0.14781624925160752</v>
      </c>
      <c r="I49" s="371">
        <v>25721.8</v>
      </c>
      <c r="J49" s="382">
        <v>273879.55617</v>
      </c>
      <c r="K49" s="470">
        <f>SUM(K44:K48)</f>
        <v>1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74</v>
      </c>
      <c r="E50" s="270">
        <v>10693.053</v>
      </c>
      <c r="F50" s="120">
        <v>114535.66593000005</v>
      </c>
      <c r="G50" s="122">
        <f>E50/$E$55</f>
        <v>0.66000796227486513</v>
      </c>
      <c r="H50" s="122">
        <f>(E50-I50)/I50</f>
        <v>2.6887454537911557E-2</v>
      </c>
      <c r="I50" s="543">
        <v>10413.072</v>
      </c>
      <c r="J50" s="135">
        <v>111090.26213000005</v>
      </c>
      <c r="K50" s="468">
        <f>I50/$I$55</f>
        <v>0.71437395808321602</v>
      </c>
    </row>
    <row r="51" spans="1:11" ht="11.1" customHeight="1">
      <c r="A51" s="656"/>
      <c r="B51" s="657"/>
      <c r="C51" s="403" t="s">
        <v>5</v>
      </c>
      <c r="D51" s="115">
        <v>288</v>
      </c>
      <c r="E51" s="116">
        <v>1721.152</v>
      </c>
      <c r="F51" s="115">
        <v>18435.221519999996</v>
      </c>
      <c r="G51" s="118">
        <f t="shared" ref="G51:G54" si="16">E51/$E$55</f>
        <v>0.10623476983470564</v>
      </c>
      <c r="H51" s="118">
        <f t="shared" ref="H51:H54" si="17">(E51-I51)/I51</f>
        <v>5.9257809567065875E-2</v>
      </c>
      <c r="I51" s="119">
        <v>1624.866</v>
      </c>
      <c r="J51" s="134">
        <v>17334.693999999989</v>
      </c>
      <c r="K51" s="469">
        <f t="shared" ref="K51:K54" si="18">I51/$I$55</f>
        <v>0.11147161527115561</v>
      </c>
    </row>
    <row r="52" spans="1:11" ht="11.1" customHeight="1">
      <c r="A52" s="656"/>
      <c r="B52" s="657"/>
      <c r="C52" s="403" t="s">
        <v>6</v>
      </c>
      <c r="D52" s="115">
        <v>11243</v>
      </c>
      <c r="E52" s="116">
        <v>1101.347</v>
      </c>
      <c r="F52" s="115">
        <v>11796.355320000001</v>
      </c>
      <c r="G52" s="118">
        <f t="shared" si="16"/>
        <v>6.7978508030170234E-2</v>
      </c>
      <c r="H52" s="118">
        <f t="shared" si="17"/>
        <v>0.43446022157446545</v>
      </c>
      <c r="I52" s="119">
        <v>767.77800000000002</v>
      </c>
      <c r="J52" s="134">
        <v>8190.6644900000001</v>
      </c>
      <c r="K52" s="469">
        <f t="shared" si="18"/>
        <v>5.267231502761293E-2</v>
      </c>
    </row>
    <row r="53" spans="1:11" ht="11.1" customHeight="1">
      <c r="A53" s="656"/>
      <c r="B53" s="657"/>
      <c r="C53" s="403" t="s">
        <v>7</v>
      </c>
      <c r="D53" s="115">
        <v>125271</v>
      </c>
      <c r="E53" s="116">
        <v>2461.5</v>
      </c>
      <c r="F53" s="115">
        <v>26365.200000000001</v>
      </c>
      <c r="G53" s="118">
        <f t="shared" si="16"/>
        <v>0.15193131457775255</v>
      </c>
      <c r="H53" s="118">
        <f t="shared" si="17"/>
        <v>0.56613857606413431</v>
      </c>
      <c r="I53" s="119">
        <v>1571.7</v>
      </c>
      <c r="J53" s="134">
        <v>16767.599999999999</v>
      </c>
      <c r="K53" s="469">
        <f t="shared" si="18"/>
        <v>0.10782423764278118</v>
      </c>
    </row>
    <row r="54" spans="1:11" ht="11.1" customHeight="1">
      <c r="A54" s="656"/>
      <c r="B54" s="657"/>
      <c r="C54" s="403" t="s">
        <v>112</v>
      </c>
      <c r="D54" s="115">
        <v>13</v>
      </c>
      <c r="E54" s="116">
        <v>224.34800000000001</v>
      </c>
      <c r="F54" s="115">
        <v>2403.0299300000001</v>
      </c>
      <c r="G54" s="118">
        <f t="shared" si="16"/>
        <v>1.384744528250645E-2</v>
      </c>
      <c r="H54" s="118">
        <f t="shared" si="17"/>
        <v>0.1269012075304897</v>
      </c>
      <c r="I54" s="119">
        <v>199.084</v>
      </c>
      <c r="J54" s="134">
        <v>2123.8957799999998</v>
      </c>
      <c r="K54" s="469">
        <f t="shared" si="18"/>
        <v>1.3657873975234108E-2</v>
      </c>
    </row>
    <row r="55" spans="1:11" ht="11.1" customHeight="1">
      <c r="A55" s="656"/>
      <c r="B55" s="657"/>
      <c r="C55" s="365" t="s">
        <v>0</v>
      </c>
      <c r="D55" s="366">
        <v>136889</v>
      </c>
      <c r="E55" s="367">
        <v>16201.4</v>
      </c>
      <c r="F55" s="366">
        <v>173535.47270000004</v>
      </c>
      <c r="G55" s="370">
        <f>SUM(G50:G54)</f>
        <v>1</v>
      </c>
      <c r="H55" s="370">
        <f t="shared" ref="H55" si="19">(E55-I55)/I55</f>
        <v>0.11147394779267983</v>
      </c>
      <c r="I55" s="371">
        <v>14576.500000000002</v>
      </c>
      <c r="J55" s="382">
        <v>155507.11640000003</v>
      </c>
      <c r="K55" s="470">
        <f>SUM(K50:K54)</f>
        <v>0.99999999999999978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74</v>
      </c>
      <c r="E56" s="116">
        <f>E38+E44+E50</f>
        <v>32330.126</v>
      </c>
      <c r="F56" s="115">
        <f>F38+F44+F50</f>
        <v>345655.31918000011</v>
      </c>
      <c r="G56" s="118">
        <f>E56/$E$61</f>
        <v>0.50550417316851215</v>
      </c>
      <c r="H56" s="118">
        <f>(E56-I56)/I56</f>
        <v>-9.8506278406666106E-2</v>
      </c>
      <c r="I56" s="119">
        <f>I38+I44+I50</f>
        <v>35862.841</v>
      </c>
      <c r="J56" s="134">
        <f>J38+J44+J50</f>
        <v>382442.66384000005</v>
      </c>
      <c r="K56" s="469">
        <f>I56/$I$61</f>
        <v>0.52263490009370539</v>
      </c>
    </row>
    <row r="57" spans="1:11" ht="11.1" customHeight="1">
      <c r="A57" s="656"/>
      <c r="B57" s="657"/>
      <c r="C57" s="403" t="s">
        <v>5</v>
      </c>
      <c r="D57" s="115">
        <f>D51</f>
        <v>288</v>
      </c>
      <c r="E57" s="116">
        <f t="shared" ref="E57:F58" si="20">E39+E45+E51</f>
        <v>7317.2459999999992</v>
      </c>
      <c r="F57" s="115">
        <f t="shared" si="20"/>
        <v>78208.920869999958</v>
      </c>
      <c r="G57" s="118">
        <f t="shared" ref="G57:G60" si="21">E57/$E$61</f>
        <v>0.11441026827735229</v>
      </c>
      <c r="H57" s="118">
        <f t="shared" ref="H57:H60" si="22">(E57-I57)/I57</f>
        <v>-3.4474187311166011E-3</v>
      </c>
      <c r="I57" s="119">
        <f t="shared" ref="I57:J57" si="23">I39+I45+I51</f>
        <v>7342.5588750000006</v>
      </c>
      <c r="J57" s="134">
        <f t="shared" si="23"/>
        <v>78217.101010000013</v>
      </c>
      <c r="K57" s="469">
        <f t="shared" ref="K57:K60" si="24">I57/$I$61</f>
        <v>0.10700428122991637</v>
      </c>
    </row>
    <row r="58" spans="1:11" ht="11.1" customHeight="1">
      <c r="A58" s="656"/>
      <c r="B58" s="657"/>
      <c r="C58" s="403" t="s">
        <v>6</v>
      </c>
      <c r="D58" s="115">
        <f>D52</f>
        <v>11243</v>
      </c>
      <c r="E58" s="116">
        <f>E40+E46+E52</f>
        <v>7668.4619999999995</v>
      </c>
      <c r="F58" s="115">
        <f t="shared" si="20"/>
        <v>81940.356209999998</v>
      </c>
      <c r="G58" s="118">
        <f t="shared" si="21"/>
        <v>0.11990177652831155</v>
      </c>
      <c r="H58" s="118">
        <f t="shared" si="22"/>
        <v>-0.11399764717463393</v>
      </c>
      <c r="I58" s="119">
        <f>I40+I46+I52</f>
        <v>8655.1260000000002</v>
      </c>
      <c r="J58" s="134">
        <f t="shared" ref="J58" si="25">J40+J46+J52</f>
        <v>92303.965799999991</v>
      </c>
      <c r="K58" s="469">
        <f t="shared" si="24"/>
        <v>0.1261325312266374</v>
      </c>
    </row>
    <row r="59" spans="1:11" ht="11.1" customHeight="1">
      <c r="A59" s="656"/>
      <c r="B59" s="657"/>
      <c r="C59" s="403" t="s">
        <v>7</v>
      </c>
      <c r="D59" s="115">
        <f>D53</f>
        <v>125271</v>
      </c>
      <c r="E59" s="116">
        <f t="shared" ref="E59:F60" si="26">E41+E47+E53</f>
        <v>16022.400000000001</v>
      </c>
      <c r="F59" s="115">
        <f t="shared" si="26"/>
        <v>171210.60000000003</v>
      </c>
      <c r="G59" s="118">
        <f t="shared" si="21"/>
        <v>0.25052145061776654</v>
      </c>
      <c r="H59" s="118">
        <f t="shared" si="22"/>
        <v>-8.6804803652854572E-3</v>
      </c>
      <c r="I59" s="119">
        <f t="shared" ref="I59:J59" si="27">I41+I47+I53</f>
        <v>16162.7</v>
      </c>
      <c r="J59" s="134">
        <f t="shared" si="27"/>
        <v>172371.20000000001</v>
      </c>
      <c r="K59" s="469">
        <f t="shared" si="24"/>
        <v>0.23554160418424555</v>
      </c>
    </row>
    <row r="60" spans="1:11" ht="11.1" customHeight="1">
      <c r="A60" s="656"/>
      <c r="B60" s="657"/>
      <c r="C60" s="403" t="s">
        <v>112</v>
      </c>
      <c r="D60" s="115">
        <f>D54</f>
        <v>13</v>
      </c>
      <c r="E60" s="116">
        <f>E42+E48+E54</f>
        <v>617.96600000000012</v>
      </c>
      <c r="F60" s="115">
        <f t="shared" si="26"/>
        <v>6607.5661500000006</v>
      </c>
      <c r="G60" s="118">
        <f t="shared" si="21"/>
        <v>9.6623314080573897E-3</v>
      </c>
      <c r="H60" s="118">
        <f t="shared" si="22"/>
        <v>3.6726766155132373E-2</v>
      </c>
      <c r="I60" s="119">
        <f>I42+I48+I54</f>
        <v>596.07412499999998</v>
      </c>
      <c r="J60" s="134">
        <f t="shared" ref="J60" si="28">J42+J48+J54</f>
        <v>6482.0186600000006</v>
      </c>
      <c r="K60" s="469">
        <f t="shared" si="24"/>
        <v>8.6866832654952757E-3</v>
      </c>
    </row>
    <row r="61" spans="1:11" ht="11.1" customHeight="1">
      <c r="A61" s="656"/>
      <c r="B61" s="657"/>
      <c r="C61" s="365" t="s">
        <v>0</v>
      </c>
      <c r="D61" s="366">
        <f>SUM(D56:D60)</f>
        <v>136889</v>
      </c>
      <c r="E61" s="367">
        <f>SUM(E56:E60)</f>
        <v>63956.200000000004</v>
      </c>
      <c r="F61" s="366">
        <f>SUM(F56:F60)</f>
        <v>683622.76241000008</v>
      </c>
      <c r="G61" s="370">
        <f>SUM(G56:G60)</f>
        <v>0.99999999999999989</v>
      </c>
      <c r="H61" s="370">
        <f>(E61-I61)/I61</f>
        <v>-6.7956099814483653E-2</v>
      </c>
      <c r="I61" s="371">
        <f>SUM(I56:I60)</f>
        <v>68619.3</v>
      </c>
      <c r="J61" s="382">
        <f>SUM(J56:J60)</f>
        <v>731816.94930999994</v>
      </c>
      <c r="K61" s="470">
        <f>SUM(K56:K60)</f>
        <v>0.99999999999999989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287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47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80</v>
      </c>
      <c r="E8" s="116">
        <v>11061.6</v>
      </c>
      <c r="F8" s="120">
        <v>118127.69749000001</v>
      </c>
      <c r="G8" s="122">
        <f>E8/$E$13</f>
        <v>0.43612449435012651</v>
      </c>
      <c r="H8" s="122">
        <f>(E8-I8)/I8</f>
        <v>-0.10155945419103311</v>
      </c>
      <c r="I8" s="119">
        <v>12312</v>
      </c>
      <c r="J8" s="135">
        <v>131476.00127000001</v>
      </c>
      <c r="K8" s="468">
        <f>I8/$I$13</f>
        <v>0.45193758327919037</v>
      </c>
    </row>
    <row r="9" spans="1:16" ht="11.1" customHeight="1">
      <c r="A9" s="652"/>
      <c r="B9" s="653"/>
      <c r="C9" s="403" t="s">
        <v>5</v>
      </c>
      <c r="D9" s="115">
        <v>333</v>
      </c>
      <c r="E9" s="116">
        <v>2518.7180000000003</v>
      </c>
      <c r="F9" s="115">
        <v>26898.054209999995</v>
      </c>
      <c r="G9" s="118">
        <f>E9/$E$13</f>
        <v>9.9305219331793051E-2</v>
      </c>
      <c r="H9" s="118">
        <f>(E9-I9)/I9</f>
        <v>-0.20502621915545652</v>
      </c>
      <c r="I9" s="119">
        <v>3168.3032329999996</v>
      </c>
      <c r="J9" s="134">
        <v>33634.975570000002</v>
      </c>
      <c r="K9" s="469">
        <f>I9/$I$13</f>
        <v>0.11629916392281234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11922</v>
      </c>
      <c r="E10" s="116">
        <v>4251.59</v>
      </c>
      <c r="F10" s="115">
        <v>45402.955450000001</v>
      </c>
      <c r="G10" s="118">
        <f>E10/$E$13</f>
        <v>0.1676269743015526</v>
      </c>
      <c r="H10" s="118">
        <f t="shared" ref="H10:H12" si="0">(E10-I10)/I10</f>
        <v>-5.5895195148983001E-2</v>
      </c>
      <c r="I10" s="119">
        <v>4503.3030000000008</v>
      </c>
      <c r="J10" s="134">
        <v>48088.812639999996</v>
      </c>
      <c r="K10" s="469">
        <f>I10/$I$13</f>
        <v>0.16530310872270373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147743</v>
      </c>
      <c r="E11" s="116">
        <v>7391.7</v>
      </c>
      <c r="F11" s="115">
        <v>78936.2</v>
      </c>
      <c r="G11" s="118">
        <f>E11/$E$13</f>
        <v>0.29143174810948053</v>
      </c>
      <c r="H11" s="118">
        <f t="shared" si="0"/>
        <v>3.9269444913109526E-2</v>
      </c>
      <c r="I11" s="119">
        <v>7112.4</v>
      </c>
      <c r="J11" s="134">
        <v>75950.7</v>
      </c>
      <c r="K11" s="469">
        <f>I11/$I$13</f>
        <v>0.26107544406391436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12</v>
      </c>
      <c r="E12" s="116">
        <v>139.792</v>
      </c>
      <c r="F12" s="115">
        <v>1492.8497600000001</v>
      </c>
      <c r="G12" s="118">
        <f>E12/$E$13</f>
        <v>5.511563907047161E-3</v>
      </c>
      <c r="H12" s="118">
        <f t="shared" si="0"/>
        <v>-4.7048808829075736E-2</v>
      </c>
      <c r="I12" s="119">
        <v>146.69376699999998</v>
      </c>
      <c r="J12" s="134">
        <v>1764.3160499999999</v>
      </c>
      <c r="K12" s="469">
        <f>I12/$I$13</f>
        <v>5.3847000113791945E-3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160090</v>
      </c>
      <c r="E13" s="367">
        <v>25363.400000000005</v>
      </c>
      <c r="F13" s="366">
        <v>270857.75691</v>
      </c>
      <c r="G13" s="370">
        <f>SUM(G8:G12)</f>
        <v>0.99999999999999989</v>
      </c>
      <c r="H13" s="370">
        <f>(E13-I13)/I13</f>
        <v>-6.898361762967678E-2</v>
      </c>
      <c r="I13" s="371">
        <v>27242.7</v>
      </c>
      <c r="J13" s="382">
        <v>290914.80553000001</v>
      </c>
      <c r="K13" s="470">
        <f>SUM(K8:K12)</f>
        <v>0.99999999999999989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80</v>
      </c>
      <c r="E14" s="116">
        <v>10137.299999999999</v>
      </c>
      <c r="F14" s="120">
        <v>108307.91746</v>
      </c>
      <c r="G14" s="122">
        <f>E14/$E$19</f>
        <v>0.50076814780052847</v>
      </c>
      <c r="H14" s="122">
        <f>(E14-I14)/I14</f>
        <v>-0.15733867548898189</v>
      </c>
      <c r="I14" s="119">
        <v>12030.1</v>
      </c>
      <c r="J14" s="135">
        <v>128093.58246999996</v>
      </c>
      <c r="K14" s="468">
        <f>I14/$I$19</f>
        <v>0.48461764670337859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335</v>
      </c>
      <c r="E15" s="116">
        <v>1991.0029999999999</v>
      </c>
      <c r="F15" s="115">
        <v>21271.856370000005</v>
      </c>
      <c r="G15" s="118">
        <f>E15/$E$19</f>
        <v>9.8352705806802179E-2</v>
      </c>
      <c r="H15" s="118">
        <f>(E15-I15)/I15</f>
        <v>-0.21843631757267346</v>
      </c>
      <c r="I15" s="119">
        <v>2547.4610000000002</v>
      </c>
      <c r="J15" s="134">
        <v>27125.194419999993</v>
      </c>
      <c r="K15" s="469">
        <f>I15/$I$19</f>
        <v>0.10262130446867737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11917</v>
      </c>
      <c r="E16" s="116">
        <v>2768.6390000000001</v>
      </c>
      <c r="F16" s="115">
        <v>29581.022799999999</v>
      </c>
      <c r="G16" s="118">
        <f>E16/$E$19</f>
        <v>0.13676681403907429</v>
      </c>
      <c r="H16" s="118">
        <f t="shared" ref="H16:H19" si="1">(E16-I16)/I16</f>
        <v>-0.29722429590791094</v>
      </c>
      <c r="I16" s="119">
        <v>3939.5770000000002</v>
      </c>
      <c r="J16" s="134">
        <v>41948.091100000005</v>
      </c>
      <c r="K16" s="469">
        <f>I16/$I$19</f>
        <v>0.15870096963007424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147682</v>
      </c>
      <c r="E17" s="116">
        <v>5200.8</v>
      </c>
      <c r="F17" s="115">
        <v>55566.400000000001</v>
      </c>
      <c r="G17" s="118">
        <f>E17/$E$19</f>
        <v>0.25691209524044756</v>
      </c>
      <c r="H17" s="118">
        <f t="shared" si="1"/>
        <v>-0.15308830953117614</v>
      </c>
      <c r="I17" s="119">
        <v>6140.9</v>
      </c>
      <c r="J17" s="134">
        <v>65386.6</v>
      </c>
      <c r="K17" s="469">
        <f>I17/$I$19</f>
        <v>0.24737853439628743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12</v>
      </c>
      <c r="E18" s="116">
        <v>145.75800000000001</v>
      </c>
      <c r="F18" s="115">
        <v>1557.3007699999998</v>
      </c>
      <c r="G18" s="118">
        <f>E18/$E$19</f>
        <v>7.2002371131474306E-3</v>
      </c>
      <c r="H18" s="118">
        <f t="shared" si="1"/>
        <v>-0.12120919800798245</v>
      </c>
      <c r="I18" s="119">
        <v>165.86199999999999</v>
      </c>
      <c r="J18" s="134">
        <v>1766.06638</v>
      </c>
      <c r="K18" s="469">
        <f>I18/$I$19</f>
        <v>6.6815448015823458E-3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160026</v>
      </c>
      <c r="E19" s="367">
        <v>20243.5</v>
      </c>
      <c r="F19" s="366">
        <v>216284.49739999999</v>
      </c>
      <c r="G19" s="370">
        <f>SUM(G14:G18)</f>
        <v>1</v>
      </c>
      <c r="H19" s="370">
        <f t="shared" si="1"/>
        <v>-0.18451572879362232</v>
      </c>
      <c r="I19" s="371">
        <v>24823.9</v>
      </c>
      <c r="J19" s="382">
        <v>264319.53436999989</v>
      </c>
      <c r="K19" s="470">
        <f>SUM(K14:K18)</f>
        <v>1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81</v>
      </c>
      <c r="E20" s="270">
        <v>9561.5</v>
      </c>
      <c r="F20" s="120">
        <v>102415.55272000001</v>
      </c>
      <c r="G20" s="122">
        <f>E20/$E$25</f>
        <v>0.65334891285036834</v>
      </c>
      <c r="H20" s="122">
        <f>(E20-I20)/I20</f>
        <v>-2.8954156764771633E-2</v>
      </c>
      <c r="I20" s="543">
        <v>9846.6</v>
      </c>
      <c r="J20" s="135">
        <v>105046.49105000001</v>
      </c>
      <c r="K20" s="468">
        <f>I20/$I$25</f>
        <v>0.72588813776732597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336</v>
      </c>
      <c r="E21" s="116">
        <v>1452.7040000000002</v>
      </c>
      <c r="F21" s="115">
        <v>15560.580180000006</v>
      </c>
      <c r="G21" s="118">
        <f>E21/$E$25</f>
        <v>9.9265029450753717E-2</v>
      </c>
      <c r="H21" s="118">
        <f t="shared" ref="H21:H25" si="2">(E21-I21)/I21</f>
        <v>0.10752247135331303</v>
      </c>
      <c r="I21" s="119">
        <v>1311.67</v>
      </c>
      <c r="J21" s="134">
        <v>13993.499930000011</v>
      </c>
      <c r="K21" s="469">
        <f>I21/$I$25</f>
        <v>9.669588423062464E-2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11916</v>
      </c>
      <c r="E22" s="116">
        <v>1181.0920000000001</v>
      </c>
      <c r="F22" s="115">
        <v>12651.058080000001</v>
      </c>
      <c r="G22" s="118">
        <f>E22/$E$25</f>
        <v>8.0705451464337954E-2</v>
      </c>
      <c r="H22" s="118">
        <f t="shared" si="2"/>
        <v>0.43963978898304268</v>
      </c>
      <c r="I22" s="119">
        <v>820.40800000000002</v>
      </c>
      <c r="J22" s="134">
        <v>8752.1213800000005</v>
      </c>
      <c r="K22" s="469">
        <f>I22/$I$25</f>
        <v>6.0480209953630328E-2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147647</v>
      </c>
      <c r="E23" s="116">
        <v>2285.6999999999998</v>
      </c>
      <c r="F23" s="115">
        <v>24482.5</v>
      </c>
      <c r="G23" s="118">
        <f>E23/$E$25</f>
        <v>0.15618465827559347</v>
      </c>
      <c r="H23" s="118">
        <f t="shared" si="2"/>
        <v>0.60107873353880636</v>
      </c>
      <c r="I23" s="119">
        <v>1427.6</v>
      </c>
      <c r="J23" s="134">
        <v>15230.3</v>
      </c>
      <c r="K23" s="469">
        <f>I23/$I$25</f>
        <v>0.10524220598751188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13</v>
      </c>
      <c r="E24" s="116">
        <v>153.60400000000001</v>
      </c>
      <c r="F24" s="115">
        <v>1645.2880500000003</v>
      </c>
      <c r="G24" s="118">
        <f>E24/$E$25</f>
        <v>1.0495947958946608E-2</v>
      </c>
      <c r="H24" s="118">
        <f t="shared" si="2"/>
        <v>-3.1634956059058646E-2</v>
      </c>
      <c r="I24" s="119">
        <v>158.62200000000001</v>
      </c>
      <c r="J24" s="134">
        <v>1692.2226699999999</v>
      </c>
      <c r="K24" s="469">
        <f>I24/$I$25</f>
        <v>1.1693562060907195E-2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159993</v>
      </c>
      <c r="E25" s="367">
        <v>14634.599999999999</v>
      </c>
      <c r="F25" s="366">
        <v>156754.97903000002</v>
      </c>
      <c r="G25" s="370">
        <f>SUM(G20:G24)</f>
        <v>1</v>
      </c>
      <c r="H25" s="370">
        <f t="shared" si="2"/>
        <v>7.8857934817064546E-2</v>
      </c>
      <c r="I25" s="371">
        <v>13564.9</v>
      </c>
      <c r="J25" s="382">
        <v>144714.63503</v>
      </c>
      <c r="K25" s="470">
        <f>SUM(K20:K24)</f>
        <v>1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81</v>
      </c>
      <c r="E26" s="116">
        <f>E8+E14+E20</f>
        <v>30760.400000000001</v>
      </c>
      <c r="F26" s="115">
        <f>F8+F14+F20</f>
        <v>328851.16767</v>
      </c>
      <c r="G26" s="118">
        <f>E26/$E$31</f>
        <v>0.51061809549894999</v>
      </c>
      <c r="H26" s="118">
        <f>(E26-I26)/I26</f>
        <v>-0.10027582212836393</v>
      </c>
      <c r="I26" s="119">
        <f>I8+I14+I20</f>
        <v>34188.699999999997</v>
      </c>
      <c r="J26" s="134">
        <f>J8+J14+J20</f>
        <v>364616.07478999998</v>
      </c>
      <c r="K26" s="469">
        <f>I26/$I$31</f>
        <v>0.52091907087298017</v>
      </c>
    </row>
    <row r="27" spans="1:20" ht="11.1" customHeight="1">
      <c r="A27" s="656"/>
      <c r="B27" s="657"/>
      <c r="C27" s="403" t="s">
        <v>5</v>
      </c>
      <c r="D27" s="115">
        <f>D21</f>
        <v>336</v>
      </c>
      <c r="E27" s="116">
        <f t="shared" ref="E27:F30" si="3">E9+E15+E21</f>
        <v>5962.4250000000011</v>
      </c>
      <c r="F27" s="115">
        <f t="shared" si="3"/>
        <v>63730.490760000001</v>
      </c>
      <c r="G27" s="118">
        <f>E27/$E$31</f>
        <v>9.8975374119170345E-2</v>
      </c>
      <c r="H27" s="118">
        <f t="shared" ref="H27:H30" si="4">(E27-I27)/I27</f>
        <v>-0.15155022412004107</v>
      </c>
      <c r="I27" s="119">
        <f t="shared" ref="I27:J27" si="5">I9+I15+I21</f>
        <v>7027.4342329999999</v>
      </c>
      <c r="J27" s="134">
        <f t="shared" si="5"/>
        <v>74753.66992</v>
      </c>
      <c r="K27" s="469">
        <f>I27/$I$31</f>
        <v>0.1070741066865758</v>
      </c>
    </row>
    <row r="28" spans="1:20" ht="11.1" customHeight="1">
      <c r="A28" s="656"/>
      <c r="B28" s="657"/>
      <c r="C28" s="403" t="s">
        <v>6</v>
      </c>
      <c r="D28" s="115">
        <f>D22</f>
        <v>11916</v>
      </c>
      <c r="E28" s="116">
        <f t="shared" si="3"/>
        <v>8201.3209999999999</v>
      </c>
      <c r="F28" s="115">
        <f t="shared" si="3"/>
        <v>87635.036330000003</v>
      </c>
      <c r="G28" s="118">
        <f>E28/$E$31</f>
        <v>0.13614071694761914</v>
      </c>
      <c r="H28" s="118">
        <f t="shared" si="4"/>
        <v>-0.11464255456593819</v>
      </c>
      <c r="I28" s="119">
        <f t="shared" ref="I28:J28" si="6">I10+I16+I22</f>
        <v>9263.2880000000005</v>
      </c>
      <c r="J28" s="134">
        <f t="shared" si="6"/>
        <v>98789.025120000006</v>
      </c>
      <c r="K28" s="469">
        <f>I28/$I$31</f>
        <v>0.14114088509328601</v>
      </c>
    </row>
    <row r="29" spans="1:20" ht="11.1" customHeight="1">
      <c r="A29" s="656"/>
      <c r="B29" s="657"/>
      <c r="C29" s="403" t="s">
        <v>7</v>
      </c>
      <c r="D29" s="115">
        <f>D23</f>
        <v>147647</v>
      </c>
      <c r="E29" s="116">
        <f t="shared" si="3"/>
        <v>14878.2</v>
      </c>
      <c r="F29" s="115">
        <f t="shared" si="3"/>
        <v>158985.1</v>
      </c>
      <c r="G29" s="118">
        <f>E29/$E$31</f>
        <v>0.24697592191429493</v>
      </c>
      <c r="H29" s="118">
        <f t="shared" si="4"/>
        <v>1.3439230564883699E-2</v>
      </c>
      <c r="I29" s="119">
        <f t="shared" ref="I29:J29" si="7">I11+I17+I23</f>
        <v>14680.9</v>
      </c>
      <c r="J29" s="134">
        <f t="shared" si="7"/>
        <v>156567.59999999998</v>
      </c>
      <c r="K29" s="469">
        <f>I29/$I$31</f>
        <v>0.22368679673632325</v>
      </c>
    </row>
    <row r="30" spans="1:20" ht="11.1" customHeight="1">
      <c r="A30" s="656"/>
      <c r="B30" s="657"/>
      <c r="C30" s="403" t="s">
        <v>112</v>
      </c>
      <c r="D30" s="115">
        <f>D24</f>
        <v>13</v>
      </c>
      <c r="E30" s="116">
        <f>E12+E18+E24</f>
        <v>439.154</v>
      </c>
      <c r="F30" s="115">
        <f t="shared" si="3"/>
        <v>4695.43858</v>
      </c>
      <c r="G30" s="118">
        <f>E30/$E$31</f>
        <v>7.2898915199654715E-3</v>
      </c>
      <c r="H30" s="118">
        <f t="shared" si="4"/>
        <v>-6.796536093775403E-2</v>
      </c>
      <c r="I30" s="119">
        <f>I12+I18+I24</f>
        <v>471.17776699999996</v>
      </c>
      <c r="J30" s="134">
        <f t="shared" ref="J30" si="8">J12+J18+J24</f>
        <v>5222.6050999999998</v>
      </c>
      <c r="K30" s="469">
        <f>I30/$I$31</f>
        <v>7.1791406108347357E-3</v>
      </c>
    </row>
    <row r="31" spans="1:20" ht="11.1" customHeight="1">
      <c r="A31" s="656"/>
      <c r="B31" s="657"/>
      <c r="C31" s="365" t="s">
        <v>0</v>
      </c>
      <c r="D31" s="366">
        <f>SUM(D26:D30)</f>
        <v>159993</v>
      </c>
      <c r="E31" s="367">
        <f>SUM(E26:E30)</f>
        <v>60241.500000000007</v>
      </c>
      <c r="F31" s="366">
        <f>SUM(F26:F30)</f>
        <v>643897.23333999992</v>
      </c>
      <c r="G31" s="370">
        <f>SUM(G26:G30)</f>
        <v>0.99999999999999989</v>
      </c>
      <c r="H31" s="370">
        <f>(E31-I31)/I31</f>
        <v>-8.2125199027905701E-2</v>
      </c>
      <c r="I31" s="371">
        <f>SUM(I26:I30)</f>
        <v>65631.5</v>
      </c>
      <c r="J31" s="382">
        <f>SUM(J26:J30)</f>
        <v>699948.97493000003</v>
      </c>
      <c r="K31" s="470">
        <f>SUM(K26:K30)</f>
        <v>0.99999999999999989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109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144</v>
      </c>
      <c r="E38" s="116">
        <v>12619.255842769888</v>
      </c>
      <c r="F38" s="120">
        <v>134603.42855000001</v>
      </c>
      <c r="G38" s="122">
        <f>E38/$E$43</f>
        <v>0.23162839251772913</v>
      </c>
      <c r="H38" s="122">
        <f>(E38-I38)/I38</f>
        <v>-0.16287636595622942</v>
      </c>
      <c r="I38" s="119">
        <v>15074.54255211013</v>
      </c>
      <c r="J38" s="135">
        <v>160627.95246999999</v>
      </c>
      <c r="K38" s="468">
        <f>I38/$I$43</f>
        <v>0.25340766180331192</v>
      </c>
    </row>
    <row r="39" spans="1:11" ht="11.1" customHeight="1">
      <c r="A39" s="652"/>
      <c r="B39" s="653"/>
      <c r="C39" s="403" t="s">
        <v>5</v>
      </c>
      <c r="D39" s="115">
        <v>1578</v>
      </c>
      <c r="E39" s="116">
        <v>10430.772170056684</v>
      </c>
      <c r="F39" s="115">
        <v>111259.90870999997</v>
      </c>
      <c r="G39" s="118">
        <f t="shared" ref="G39" si="9">E39/$E$43</f>
        <v>0.19145843626374853</v>
      </c>
      <c r="H39" s="118">
        <f>(E39-I39)/I39</f>
        <v>-9.7335056434880468E-2</v>
      </c>
      <c r="I39" s="119">
        <v>11555.530370837087</v>
      </c>
      <c r="J39" s="134">
        <v>123130.87805</v>
      </c>
      <c r="K39" s="469">
        <f t="shared" ref="K39:K42" si="10">I39/$I$43</f>
        <v>0.19425199285805772</v>
      </c>
    </row>
    <row r="40" spans="1:11" ht="11.1" customHeight="1">
      <c r="A40" s="652"/>
      <c r="B40" s="653"/>
      <c r="C40" s="403" t="s">
        <v>6</v>
      </c>
      <c r="D40" s="115">
        <v>39161</v>
      </c>
      <c r="E40" s="116">
        <v>12913.851140825729</v>
      </c>
      <c r="F40" s="115">
        <v>137745.68896705101</v>
      </c>
      <c r="G40" s="118">
        <f>E40/$E$43</f>
        <v>0.23703573477167444</v>
      </c>
      <c r="H40" s="118">
        <f t="shared" ref="H40:H42" si="11">(E40-I40)/I40</f>
        <v>-4.9257199909893822E-2</v>
      </c>
      <c r="I40" s="119">
        <v>13582.90711178862</v>
      </c>
      <c r="J40" s="134">
        <v>144733.753057928</v>
      </c>
      <c r="K40" s="469">
        <f t="shared" si="10"/>
        <v>0.22833281472996467</v>
      </c>
    </row>
    <row r="41" spans="1:11" ht="11.1" customHeight="1">
      <c r="A41" s="652"/>
      <c r="B41" s="653"/>
      <c r="C41" s="403" t="s">
        <v>7</v>
      </c>
      <c r="D41" s="115">
        <v>378222</v>
      </c>
      <c r="E41" s="116">
        <v>17610.193857954291</v>
      </c>
      <c r="F41" s="115">
        <v>187839.26338894901</v>
      </c>
      <c r="G41" s="118">
        <f>E41/$E$43</f>
        <v>0.32323783161751057</v>
      </c>
      <c r="H41" s="118">
        <f t="shared" si="11"/>
        <v>-4.2045780297490717E-2</v>
      </c>
      <c r="I41" s="119">
        <v>18383.126767188416</v>
      </c>
      <c r="J41" s="134">
        <v>195882.87750607127</v>
      </c>
      <c r="K41" s="469">
        <f t="shared" si="10"/>
        <v>0.30902597240372032</v>
      </c>
    </row>
    <row r="42" spans="1:11" ht="11.1" customHeight="1">
      <c r="A42" s="652"/>
      <c r="B42" s="653"/>
      <c r="C42" s="403" t="s">
        <v>112</v>
      </c>
      <c r="D42" s="115">
        <v>32</v>
      </c>
      <c r="E42" s="116">
        <v>906.5358015119964</v>
      </c>
      <c r="F42" s="115">
        <v>9669.5708500000019</v>
      </c>
      <c r="G42" s="118">
        <f>E42/$E$43</f>
        <v>1.6639604829337153E-2</v>
      </c>
      <c r="H42" s="118">
        <f t="shared" si="11"/>
        <v>1.7193494487980725E-2</v>
      </c>
      <c r="I42" s="119">
        <v>891.2127401761594</v>
      </c>
      <c r="J42" s="134">
        <v>9496.3886300000013</v>
      </c>
      <c r="K42" s="469">
        <f t="shared" si="10"/>
        <v>1.4981558204945334E-2</v>
      </c>
    </row>
    <row r="43" spans="1:11" ht="11.1" customHeight="1">
      <c r="A43" s="654"/>
      <c r="B43" s="655"/>
      <c r="C43" s="365" t="s">
        <v>0</v>
      </c>
      <c r="D43" s="366">
        <v>419137</v>
      </c>
      <c r="E43" s="367">
        <v>54480.608813118597</v>
      </c>
      <c r="F43" s="366">
        <v>581117.86046600004</v>
      </c>
      <c r="G43" s="370">
        <f>SUM(G38:G42)</f>
        <v>0.99999999999999978</v>
      </c>
      <c r="H43" s="370">
        <f>(E43-I43)/I43</f>
        <v>-8.4164335652045355E-2</v>
      </c>
      <c r="I43" s="371">
        <v>59487.319542100413</v>
      </c>
      <c r="J43" s="382">
        <v>633871.84971399931</v>
      </c>
      <c r="K43" s="470">
        <f>SUM(K38:K42)</f>
        <v>0.99999999999999989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144</v>
      </c>
      <c r="E44" s="116">
        <v>10555.069766988923</v>
      </c>
      <c r="F44" s="120">
        <v>112652.45935</v>
      </c>
      <c r="G44" s="122">
        <f>E44/$E$49</f>
        <v>0.25477003007936688</v>
      </c>
      <c r="H44" s="122">
        <f>(E44-I44)/I44</f>
        <v>-0.21802898093754464</v>
      </c>
      <c r="I44" s="119">
        <v>13498.031908706707</v>
      </c>
      <c r="J44" s="135">
        <v>143695.95554999998</v>
      </c>
      <c r="K44" s="468">
        <f>I44/$I$49</f>
        <v>0.25786893879233147</v>
      </c>
    </row>
    <row r="45" spans="1:11" ht="11.1" customHeight="1">
      <c r="A45" s="652"/>
      <c r="B45" s="653"/>
      <c r="C45" s="403" t="s">
        <v>5</v>
      </c>
      <c r="D45" s="115">
        <v>1573</v>
      </c>
      <c r="E45" s="116">
        <v>7751.9072714813783</v>
      </c>
      <c r="F45" s="115">
        <v>82734.820389999993</v>
      </c>
      <c r="G45" s="118">
        <f t="shared" ref="G45:G48" si="12">E45/$E$49</f>
        <v>0.1871094831513534</v>
      </c>
      <c r="H45" s="118">
        <f>(E45-I45)/I45</f>
        <v>-0.2091180224021065</v>
      </c>
      <c r="I45" s="119">
        <v>9801.5980779153178</v>
      </c>
      <c r="J45" s="134">
        <v>104344.78773</v>
      </c>
      <c r="K45" s="469">
        <f t="shared" ref="K45:K48" si="13">I45/$I$49</f>
        <v>0.18725157207478774</v>
      </c>
    </row>
    <row r="46" spans="1:11" ht="11.1" customHeight="1">
      <c r="A46" s="652"/>
      <c r="B46" s="653"/>
      <c r="C46" s="403" t="s">
        <v>6</v>
      </c>
      <c r="D46" s="115">
        <v>39025</v>
      </c>
      <c r="E46" s="116">
        <v>9247.7545431365743</v>
      </c>
      <c r="F46" s="115">
        <v>98699.750183028096</v>
      </c>
      <c r="G46" s="118">
        <f t="shared" si="12"/>
        <v>0.2232150762745384</v>
      </c>
      <c r="H46" s="118">
        <f t="shared" ref="H46:H48" si="14">(E46-I46)/I46</f>
        <v>-0.22720180689921049</v>
      </c>
      <c r="I46" s="119">
        <v>11966.58406514994</v>
      </c>
      <c r="J46" s="134">
        <v>127392.56029531501</v>
      </c>
      <c r="K46" s="469">
        <f t="shared" si="13"/>
        <v>0.22861187132466196</v>
      </c>
    </row>
    <row r="47" spans="1:11" ht="11.1" customHeight="1">
      <c r="A47" s="652"/>
      <c r="B47" s="653"/>
      <c r="C47" s="403" t="s">
        <v>7</v>
      </c>
      <c r="D47" s="115">
        <v>377680</v>
      </c>
      <c r="E47" s="116">
        <v>12880.423193196832</v>
      </c>
      <c r="F47" s="115">
        <v>137470.62008298302</v>
      </c>
      <c r="G47" s="118">
        <f t="shared" si="12"/>
        <v>0.31089759488173124</v>
      </c>
      <c r="H47" s="118">
        <f t="shared" si="14"/>
        <v>-0.20288614322607842</v>
      </c>
      <c r="I47" s="119">
        <v>16158.824845081062</v>
      </c>
      <c r="J47" s="134">
        <v>172021.86164165224</v>
      </c>
      <c r="K47" s="469">
        <f t="shared" si="13"/>
        <v>0.30870122719479143</v>
      </c>
    </row>
    <row r="48" spans="1:11" ht="11.1" customHeight="1">
      <c r="A48" s="652"/>
      <c r="B48" s="653"/>
      <c r="C48" s="403" t="s">
        <v>112</v>
      </c>
      <c r="D48" s="115">
        <v>32</v>
      </c>
      <c r="E48" s="116">
        <v>994.638846136604</v>
      </c>
      <c r="F48" s="115">
        <v>10615.61541</v>
      </c>
      <c r="G48" s="118">
        <f t="shared" si="12"/>
        <v>2.4007815613010273E-2</v>
      </c>
      <c r="H48" s="118">
        <f t="shared" si="14"/>
        <v>8.1711541988906622E-2</v>
      </c>
      <c r="I48" s="119">
        <v>919.50469929145345</v>
      </c>
      <c r="J48" s="134">
        <v>9788.763210000001</v>
      </c>
      <c r="K48" s="469">
        <f t="shared" si="13"/>
        <v>1.7566390613427393E-2</v>
      </c>
    </row>
    <row r="49" spans="1:11" ht="11.1" customHeight="1">
      <c r="A49" s="654"/>
      <c r="B49" s="655"/>
      <c r="C49" s="365" t="s">
        <v>0</v>
      </c>
      <c r="D49" s="366">
        <v>418454</v>
      </c>
      <c r="E49" s="367">
        <v>41429.793620940305</v>
      </c>
      <c r="F49" s="366">
        <v>442173.26541601116</v>
      </c>
      <c r="G49" s="370">
        <f>SUM(G44:G48)</f>
        <v>1.0000000000000002</v>
      </c>
      <c r="H49" s="370">
        <f t="shared" ref="H49" si="15">(E49-I49)/I49</f>
        <v>-0.20851743515838239</v>
      </c>
      <c r="I49" s="371">
        <v>52344.543596144482</v>
      </c>
      <c r="J49" s="382">
        <v>557243.92842696724</v>
      </c>
      <c r="K49" s="470">
        <f>SUM(K44:K48)</f>
        <v>1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145</v>
      </c>
      <c r="E50" s="270">
        <v>6954.7228033383735</v>
      </c>
      <c r="F50" s="120">
        <v>74497.591489999992</v>
      </c>
      <c r="G50" s="122">
        <f>E50/$E$55</f>
        <v>0.30849122872624146</v>
      </c>
      <c r="H50" s="122">
        <f>(E50-I50)/I50</f>
        <v>2.2463475889482165E-2</v>
      </c>
      <c r="I50" s="543">
        <v>6801.9278608345203</v>
      </c>
      <c r="J50" s="135">
        <v>72439.392690000008</v>
      </c>
      <c r="K50" s="468">
        <f>I50/$I$55</f>
        <v>0.35540789350106261</v>
      </c>
    </row>
    <row r="51" spans="1:11" ht="11.1" customHeight="1">
      <c r="A51" s="656"/>
      <c r="B51" s="657"/>
      <c r="C51" s="403" t="s">
        <v>5</v>
      </c>
      <c r="D51" s="115">
        <v>1568</v>
      </c>
      <c r="E51" s="116">
        <v>3941.7046705502344</v>
      </c>
      <c r="F51" s="115">
        <v>42222.752090000002</v>
      </c>
      <c r="G51" s="118">
        <f t="shared" ref="G51:G54" si="16">E51/$E$55</f>
        <v>0.17484252808901557</v>
      </c>
      <c r="H51" s="118">
        <f t="shared" ref="H51:H54" si="17">(E51-I51)/I51</f>
        <v>0.1319530436112982</v>
      </c>
      <c r="I51" s="119">
        <v>3482.2157092090279</v>
      </c>
      <c r="J51" s="134">
        <v>37085.015140000003</v>
      </c>
      <c r="K51" s="469">
        <f t="shared" ref="K51:K54" si="18">I51/$I$55</f>
        <v>0.18194943775461461</v>
      </c>
    </row>
    <row r="52" spans="1:11" ht="11.1" customHeight="1">
      <c r="A52" s="656"/>
      <c r="B52" s="657"/>
      <c r="C52" s="403" t="s">
        <v>6</v>
      </c>
      <c r="D52" s="115">
        <v>39188</v>
      </c>
      <c r="E52" s="116">
        <v>4428.2848438930896</v>
      </c>
      <c r="F52" s="115">
        <v>47434.901590813999</v>
      </c>
      <c r="G52" s="118">
        <f t="shared" si="16"/>
        <v>0.1964258060704632</v>
      </c>
      <c r="H52" s="118">
        <f t="shared" si="17"/>
        <v>0.48676118231098414</v>
      </c>
      <c r="I52" s="119">
        <v>2978.4775770173628</v>
      </c>
      <c r="J52" s="134">
        <v>31720.288248004399</v>
      </c>
      <c r="K52" s="469">
        <f t="shared" si="18"/>
        <v>0.15562858988598782</v>
      </c>
    </row>
    <row r="53" spans="1:11" ht="11.1" customHeight="1">
      <c r="A53" s="656"/>
      <c r="B53" s="657"/>
      <c r="C53" s="403" t="s">
        <v>7</v>
      </c>
      <c r="D53" s="115">
        <v>378023</v>
      </c>
      <c r="E53" s="116">
        <v>6172.1498481270455</v>
      </c>
      <c r="F53" s="115">
        <v>66114.834743167288</v>
      </c>
      <c r="G53" s="118">
        <f t="shared" si="16"/>
        <v>0.27377857383722348</v>
      </c>
      <c r="H53" s="118">
        <f t="shared" si="17"/>
        <v>0.24562643050974772</v>
      </c>
      <c r="I53" s="119">
        <v>4955.0569070706188</v>
      </c>
      <c r="J53" s="134">
        <v>52770.527664989342</v>
      </c>
      <c r="K53" s="469">
        <f t="shared" si="18"/>
        <v>0.25890694131880959</v>
      </c>
    </row>
    <row r="54" spans="1:11" ht="11.1" customHeight="1">
      <c r="A54" s="656"/>
      <c r="B54" s="657"/>
      <c r="C54" s="403" t="s">
        <v>112</v>
      </c>
      <c r="D54" s="115">
        <v>33</v>
      </c>
      <c r="E54" s="116">
        <v>1047.4507860490301</v>
      </c>
      <c r="F54" s="115">
        <v>11220.083329999999</v>
      </c>
      <c r="G54" s="118">
        <f t="shared" si="16"/>
        <v>4.6461863277056231E-2</v>
      </c>
      <c r="H54" s="118">
        <f t="shared" si="17"/>
        <v>0.13767747134202354</v>
      </c>
      <c r="I54" s="119">
        <v>920.69221060819586</v>
      </c>
      <c r="J54" s="134">
        <v>9805.2181200000014</v>
      </c>
      <c r="K54" s="469">
        <f t="shared" si="18"/>
        <v>4.8107137539525335E-2</v>
      </c>
    </row>
    <row r="55" spans="1:11" ht="11.1" customHeight="1">
      <c r="A55" s="656"/>
      <c r="B55" s="657"/>
      <c r="C55" s="365" t="s">
        <v>0</v>
      </c>
      <c r="D55" s="366">
        <v>418957</v>
      </c>
      <c r="E55" s="367">
        <v>22544.312951957774</v>
      </c>
      <c r="F55" s="366">
        <v>241490.16324398125</v>
      </c>
      <c r="G55" s="370">
        <f>SUM(G50:G54)</f>
        <v>1</v>
      </c>
      <c r="H55" s="370">
        <f t="shared" ref="H55" si="19">(E55-I55)/I55</f>
        <v>0.17796409203625405</v>
      </c>
      <c r="I55" s="371">
        <v>19138.370264739726</v>
      </c>
      <c r="J55" s="382">
        <v>203820.44186299376</v>
      </c>
      <c r="K55" s="470">
        <f>SUM(K50:K54)</f>
        <v>0.99999999999999989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145</v>
      </c>
      <c r="E56" s="116">
        <f>E38+E44+E50</f>
        <v>30129.048413097182</v>
      </c>
      <c r="F56" s="115">
        <f>F38+F44+F50</f>
        <v>321753.47938999999</v>
      </c>
      <c r="G56" s="118">
        <f>E56/$E$61</f>
        <v>0.25435077290856295</v>
      </c>
      <c r="H56" s="118">
        <f>(E56-I56)/I56</f>
        <v>-0.14828346872158363</v>
      </c>
      <c r="I56" s="119">
        <f>I38+I44+I50</f>
        <v>35374.502321651358</v>
      </c>
      <c r="J56" s="134">
        <f>J38+J44+J50</f>
        <v>376763.30070999998</v>
      </c>
      <c r="K56" s="469">
        <f>I56/$I$61</f>
        <v>0.27009574162402944</v>
      </c>
    </row>
    <row r="57" spans="1:11" ht="11.1" customHeight="1">
      <c r="A57" s="656"/>
      <c r="B57" s="657"/>
      <c r="C57" s="403" t="s">
        <v>5</v>
      </c>
      <c r="D57" s="115">
        <f>D51</f>
        <v>1568</v>
      </c>
      <c r="E57" s="116">
        <f t="shared" ref="E57:F58" si="20">E39+E45+E51</f>
        <v>22124.384112088293</v>
      </c>
      <c r="F57" s="115">
        <f t="shared" si="20"/>
        <v>236217.48118999996</v>
      </c>
      <c r="G57" s="118">
        <f t="shared" ref="G57:G60" si="21">E57/$E$61</f>
        <v>0.18677503922060018</v>
      </c>
      <c r="H57" s="118">
        <f t="shared" ref="H57:H60" si="22">(E57-I57)/I57</f>
        <v>-0.10930079428055052</v>
      </c>
      <c r="I57" s="119">
        <f t="shared" ref="I57:J57" si="23">I39+I45+I51</f>
        <v>24839.34415796143</v>
      </c>
      <c r="J57" s="134">
        <f t="shared" si="23"/>
        <v>264560.68091999996</v>
      </c>
      <c r="K57" s="469">
        <f t="shared" ref="K57:K60" si="24">I57/$I$61</f>
        <v>0.18965640903710401</v>
      </c>
    </row>
    <row r="58" spans="1:11" ht="11.1" customHeight="1">
      <c r="A58" s="656"/>
      <c r="B58" s="657"/>
      <c r="C58" s="403" t="s">
        <v>6</v>
      </c>
      <c r="D58" s="115">
        <f>D52</f>
        <v>39188</v>
      </c>
      <c r="E58" s="116">
        <f>E40+E46+E52</f>
        <v>26589.890527855394</v>
      </c>
      <c r="F58" s="115">
        <f t="shared" si="20"/>
        <v>283880.34074089309</v>
      </c>
      <c r="G58" s="118">
        <f t="shared" si="21"/>
        <v>0.22447304390715944</v>
      </c>
      <c r="H58" s="118">
        <f t="shared" si="22"/>
        <v>-6.7936075043260005E-2</v>
      </c>
      <c r="I58" s="119">
        <f>I40+I46+I52</f>
        <v>28527.96875395592</v>
      </c>
      <c r="J58" s="134">
        <f t="shared" ref="J58" si="25">J40+J46+J52</f>
        <v>303846.60160124738</v>
      </c>
      <c r="K58" s="469">
        <f t="shared" si="24"/>
        <v>0.21782024825578278</v>
      </c>
    </row>
    <row r="59" spans="1:11" ht="11.1" customHeight="1">
      <c r="A59" s="656"/>
      <c r="B59" s="657"/>
      <c r="C59" s="403" t="s">
        <v>7</v>
      </c>
      <c r="D59" s="115">
        <f>D53</f>
        <v>378023</v>
      </c>
      <c r="E59" s="116">
        <f t="shared" ref="E59:F60" si="26">E41+E47+E53</f>
        <v>36662.766899278169</v>
      </c>
      <c r="F59" s="115">
        <f t="shared" si="26"/>
        <v>391424.7182150993</v>
      </c>
      <c r="G59" s="118">
        <f t="shared" si="21"/>
        <v>0.30950871630397025</v>
      </c>
      <c r="H59" s="118">
        <f t="shared" si="22"/>
        <v>-7.1758386933889237E-2</v>
      </c>
      <c r="I59" s="119">
        <f t="shared" ref="I59:J59" si="27">I41+I47+I53</f>
        <v>39497.008519340096</v>
      </c>
      <c r="J59" s="134">
        <f t="shared" si="27"/>
        <v>420675.26681271289</v>
      </c>
      <c r="K59" s="469">
        <f t="shared" si="24"/>
        <v>0.30157240689807019</v>
      </c>
    </row>
    <row r="60" spans="1:11" ht="11.1" customHeight="1">
      <c r="A60" s="656"/>
      <c r="B60" s="657"/>
      <c r="C60" s="403" t="s">
        <v>112</v>
      </c>
      <c r="D60" s="115">
        <f>D54</f>
        <v>33</v>
      </c>
      <c r="E60" s="116">
        <f>E42+E48+E54</f>
        <v>2948.6254336976308</v>
      </c>
      <c r="F60" s="115">
        <f t="shared" si="26"/>
        <v>31505.269590000004</v>
      </c>
      <c r="G60" s="118">
        <f t="shared" si="21"/>
        <v>2.4892427659707249E-2</v>
      </c>
      <c r="H60" s="118">
        <f t="shared" si="22"/>
        <v>7.9525157867035207E-2</v>
      </c>
      <c r="I60" s="119">
        <f>I42+I48+I54</f>
        <v>2731.4096500758087</v>
      </c>
      <c r="J60" s="134">
        <f t="shared" ref="J60" si="28">J42+J48+J54</f>
        <v>29090.369960000004</v>
      </c>
      <c r="K60" s="469">
        <f t="shared" si="24"/>
        <v>2.0855194185013678E-2</v>
      </c>
    </row>
    <row r="61" spans="1:11" ht="11.1" customHeight="1">
      <c r="A61" s="656"/>
      <c r="B61" s="657"/>
      <c r="C61" s="365" t="s">
        <v>0</v>
      </c>
      <c r="D61" s="366">
        <f>SUM(D56:D60)</f>
        <v>418957</v>
      </c>
      <c r="E61" s="367">
        <f>SUM(E56:E60)</f>
        <v>118454.71538601666</v>
      </c>
      <c r="F61" s="366">
        <f>SUM(F56:F60)</f>
        <v>1264781.2891259922</v>
      </c>
      <c r="G61" s="370">
        <f>SUM(G56:G60)</f>
        <v>1.0000000000000002</v>
      </c>
      <c r="H61" s="370">
        <f>(E61-I61)/I61</f>
        <v>-9.5560019187403603E-2</v>
      </c>
      <c r="I61" s="371">
        <f>SUM(I56:I60)</f>
        <v>130970.2334029846</v>
      </c>
      <c r="J61" s="382">
        <f>SUM(J56:J60)</f>
        <v>1394936.2200039602</v>
      </c>
      <c r="K61" s="470">
        <f>SUM(K56:K60)</f>
        <v>1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271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48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190</v>
      </c>
      <c r="E8" s="116">
        <v>41905.423000000003</v>
      </c>
      <c r="F8" s="120">
        <v>447506.59892200003</v>
      </c>
      <c r="G8" s="122">
        <f>E8/$E$13</f>
        <v>0.55527485781635466</v>
      </c>
      <c r="H8" s="122">
        <f>(E8-I8)/I8</f>
        <v>3.6322380378185005E-2</v>
      </c>
      <c r="I8" s="119">
        <v>40436.667000000001</v>
      </c>
      <c r="J8" s="135">
        <v>431386.30505800003</v>
      </c>
      <c r="K8" s="468">
        <f>I8/$I$13</f>
        <v>0.55066248972989051</v>
      </c>
    </row>
    <row r="9" spans="1:16" ht="11.1" customHeight="1">
      <c r="A9" s="652"/>
      <c r="B9" s="653"/>
      <c r="C9" s="403" t="s">
        <v>5</v>
      </c>
      <c r="D9" s="115">
        <v>639</v>
      </c>
      <c r="E9" s="116">
        <v>7377.4960000000001</v>
      </c>
      <c r="F9" s="115">
        <v>78785.355729999996</v>
      </c>
      <c r="G9" s="118">
        <f>E9/$E$13</f>
        <v>9.7756751970758643E-2</v>
      </c>
      <c r="H9" s="118">
        <f>(E9-I9)/I9</f>
        <v>-1.5003165756174193E-2</v>
      </c>
      <c r="I9" s="119">
        <v>7489.8677270000007</v>
      </c>
      <c r="J9" s="134">
        <v>79655.630240000013</v>
      </c>
      <c r="K9" s="469">
        <f>I9/$I$13</f>
        <v>0.10199627012526467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18932</v>
      </c>
      <c r="E10" s="116">
        <v>7457.1950000000006</v>
      </c>
      <c r="F10" s="115">
        <v>79635.599040000001</v>
      </c>
      <c r="G10" s="118">
        <f>E10/$E$13</f>
        <v>9.8812816979173101E-2</v>
      </c>
      <c r="H10" s="118">
        <f t="shared" ref="H10:H12" si="0">(E10-I10)/I10</f>
        <v>-1.6569519674623095E-2</v>
      </c>
      <c r="I10" s="119">
        <v>7582.8389999999999</v>
      </c>
      <c r="J10" s="134">
        <v>80974.729479999995</v>
      </c>
      <c r="K10" s="469">
        <f>I10/$I$13</f>
        <v>0.10326234362888793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240172</v>
      </c>
      <c r="E11" s="116">
        <v>18049.400000000001</v>
      </c>
      <c r="F11" s="115">
        <v>192751.4</v>
      </c>
      <c r="G11" s="118">
        <f>E11/$E$13</f>
        <v>0.23916661141138013</v>
      </c>
      <c r="H11" s="118">
        <f t="shared" si="0"/>
        <v>4.6948955916473405E-2</v>
      </c>
      <c r="I11" s="119">
        <v>17240</v>
      </c>
      <c r="J11" s="134">
        <v>184100.1</v>
      </c>
      <c r="K11" s="469">
        <f>I11/$I$13</f>
        <v>0.23477259693394886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31</v>
      </c>
      <c r="E12" s="116">
        <v>678.37800000000004</v>
      </c>
      <c r="F12" s="115">
        <v>7244.4571699999997</v>
      </c>
      <c r="G12" s="118">
        <f>E12/$E$13</f>
        <v>8.9889618223336631E-3</v>
      </c>
      <c r="H12" s="118">
        <f t="shared" si="0"/>
        <v>-7.3300648079233505E-3</v>
      </c>
      <c r="I12" s="119">
        <v>683.38727300000005</v>
      </c>
      <c r="J12" s="134">
        <v>8031.1804700000002</v>
      </c>
      <c r="K12" s="469">
        <f>I12/$I$13</f>
        <v>9.3062995820080915E-3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259964</v>
      </c>
      <c r="E13" s="367">
        <v>75467.891999999993</v>
      </c>
      <c r="F13" s="366">
        <v>805923.41086199996</v>
      </c>
      <c r="G13" s="370">
        <f>SUM(G8:G12)</f>
        <v>1</v>
      </c>
      <c r="H13" s="370">
        <f>(E13-I13)/I13</f>
        <v>2.7714210555149818E-2</v>
      </c>
      <c r="I13" s="371">
        <v>73432.760999999999</v>
      </c>
      <c r="J13" s="382">
        <v>784147.94524800009</v>
      </c>
      <c r="K13" s="470">
        <f>SUM(K8:K12)</f>
        <v>1.0000000000000002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191</v>
      </c>
      <c r="E14" s="116">
        <v>36331.990999999995</v>
      </c>
      <c r="F14" s="120">
        <v>388165.16905500001</v>
      </c>
      <c r="G14" s="122">
        <f>E14/$E$19</f>
        <v>0.59184790397791542</v>
      </c>
      <c r="H14" s="122">
        <f>(E14-I14)/I14</f>
        <v>-0.20822993451223976</v>
      </c>
      <c r="I14" s="119">
        <v>45887.047999999995</v>
      </c>
      <c r="J14" s="135">
        <v>488598.82231400051</v>
      </c>
      <c r="K14" s="468">
        <f>I14/$I$19</f>
        <v>0.61212154124911411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641</v>
      </c>
      <c r="E15" s="116">
        <v>6707.509</v>
      </c>
      <c r="F15" s="115">
        <v>71663.893269999942</v>
      </c>
      <c r="G15" s="118">
        <f>E15/$E$19</f>
        <v>0.10926527925659246</v>
      </c>
      <c r="H15" s="118">
        <f>(E15-I15)/I15</f>
        <v>-9.5853405537898416E-3</v>
      </c>
      <c r="I15" s="119">
        <v>6772.4250000000002</v>
      </c>
      <c r="J15" s="134">
        <v>72111.416460000051</v>
      </c>
      <c r="K15" s="469">
        <f>I15/$I$19</f>
        <v>9.0342425797232201E-2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18919</v>
      </c>
      <c r="E16" s="116">
        <v>4850.125</v>
      </c>
      <c r="F16" s="115">
        <v>51819.749969999997</v>
      </c>
      <c r="G16" s="118">
        <f>E16/$E$19</f>
        <v>7.9008505624723058E-2</v>
      </c>
      <c r="H16" s="118">
        <f t="shared" ref="H16:H19" si="1">(E16-I16)/I16</f>
        <v>-0.26887504929313344</v>
      </c>
      <c r="I16" s="119">
        <v>6633.7839999999997</v>
      </c>
      <c r="J16" s="134">
        <v>70635.616290000005</v>
      </c>
      <c r="K16" s="469">
        <f>I16/$I$19</f>
        <v>8.8492990143835659E-2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240070</v>
      </c>
      <c r="E17" s="116">
        <v>12699.7</v>
      </c>
      <c r="F17" s="115">
        <v>135685.6</v>
      </c>
      <c r="G17" s="118">
        <f>E17/$E$19</f>
        <v>0.20687803280993694</v>
      </c>
      <c r="H17" s="118">
        <f t="shared" si="1"/>
        <v>-0.14681795889849578</v>
      </c>
      <c r="I17" s="119">
        <v>14885.1</v>
      </c>
      <c r="J17" s="134">
        <v>158493.29999999999</v>
      </c>
      <c r="K17" s="469">
        <f>I17/$I$19</f>
        <v>0.19856344547697186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31</v>
      </c>
      <c r="E18" s="116">
        <v>798.053</v>
      </c>
      <c r="F18" s="115">
        <v>8526.5169100000021</v>
      </c>
      <c r="G18" s="118">
        <f>E18/$E$19</f>
        <v>1.3000278330832114E-2</v>
      </c>
      <c r="H18" s="118">
        <f t="shared" si="1"/>
        <v>1.5861923237507528E-2</v>
      </c>
      <c r="I18" s="119">
        <v>785.59199999999998</v>
      </c>
      <c r="J18" s="134">
        <v>8364.8201399999998</v>
      </c>
      <c r="K18" s="469">
        <f>I18/$I$19</f>
        <v>1.0479597332845951E-2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259852</v>
      </c>
      <c r="E19" s="367">
        <v>61387.377999999997</v>
      </c>
      <c r="F19" s="366">
        <v>655860.92920499993</v>
      </c>
      <c r="G19" s="370">
        <f>SUM(G14:G18)</f>
        <v>1</v>
      </c>
      <c r="H19" s="370">
        <f t="shared" si="1"/>
        <v>-0.18110800166090515</v>
      </c>
      <c r="I19" s="371">
        <v>74963.949000000008</v>
      </c>
      <c r="J19" s="382">
        <v>798203.97520400048</v>
      </c>
      <c r="K19" s="470">
        <f>SUM(K14:K18)</f>
        <v>0.99999999999999978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191</v>
      </c>
      <c r="E20" s="270">
        <v>33914.130000000005</v>
      </c>
      <c r="F20" s="120">
        <v>363261.39523800003</v>
      </c>
      <c r="G20" s="122">
        <f>E20/$E$25</f>
        <v>0.71844239472621163</v>
      </c>
      <c r="H20" s="122">
        <f>(E20-I20)/I20</f>
        <v>-0.15456058520915433</v>
      </c>
      <c r="I20" s="543">
        <v>40114.204999999987</v>
      </c>
      <c r="J20" s="135">
        <v>427925.43302900001</v>
      </c>
      <c r="K20" s="468">
        <f>I20/$I$25</f>
        <v>0.78761621299904871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642</v>
      </c>
      <c r="E21" s="116">
        <v>4717.2330000000002</v>
      </c>
      <c r="F21" s="115">
        <v>50527.533049999947</v>
      </c>
      <c r="G21" s="118">
        <f>E21/$E$25</f>
        <v>9.993062399069387E-2</v>
      </c>
      <c r="H21" s="118">
        <f t="shared" ref="H21:H25" si="2">(E21-I21)/I21</f>
        <v>-9.4150676184943966E-2</v>
      </c>
      <c r="I21" s="119">
        <v>5207.5250000000005</v>
      </c>
      <c r="J21" s="134">
        <v>55555.149770000011</v>
      </c>
      <c r="K21" s="469">
        <f>I21/$I$25</f>
        <v>0.102246351874551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18927</v>
      </c>
      <c r="E22" s="116">
        <v>2064.3429999999998</v>
      </c>
      <c r="F22" s="115">
        <v>22112.074850000001</v>
      </c>
      <c r="G22" s="118">
        <f>E22/$E$25</f>
        <v>4.3731374753127723E-2</v>
      </c>
      <c r="H22" s="118">
        <f t="shared" si="2"/>
        <v>0.51162933743201888</v>
      </c>
      <c r="I22" s="119">
        <v>1365.6410000000001</v>
      </c>
      <c r="J22" s="134">
        <v>14569.037539999999</v>
      </c>
      <c r="K22" s="469">
        <f>I22/$I$25</f>
        <v>2.6813469012691001E-2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240013</v>
      </c>
      <c r="E23" s="116">
        <v>5581.4</v>
      </c>
      <c r="F23" s="115">
        <v>59783</v>
      </c>
      <c r="G23" s="118">
        <f>E23/$E$25</f>
        <v>0.11823727696759069</v>
      </c>
      <c r="H23" s="118">
        <f t="shared" si="2"/>
        <v>0.61288831093772567</v>
      </c>
      <c r="I23" s="119">
        <v>3460.5</v>
      </c>
      <c r="J23" s="134">
        <v>36917.199999999997</v>
      </c>
      <c r="K23" s="469">
        <f>I23/$I$25</f>
        <v>6.7944657137869471E-2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31</v>
      </c>
      <c r="E24" s="116">
        <v>927.97299999999996</v>
      </c>
      <c r="F24" s="115">
        <v>9939.6919500000004</v>
      </c>
      <c r="G24" s="118">
        <f>E24/$E$25</f>
        <v>1.9658329562376113E-2</v>
      </c>
      <c r="H24" s="118">
        <f t="shared" si="2"/>
        <v>0.18471797019224143</v>
      </c>
      <c r="I24" s="119">
        <v>783.28599999999994</v>
      </c>
      <c r="J24" s="134">
        <v>8356.3515700000007</v>
      </c>
      <c r="K24" s="469">
        <f>I24/$I$25</f>
        <v>1.5379308975839683E-2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259804</v>
      </c>
      <c r="E25" s="367">
        <v>47205.079000000005</v>
      </c>
      <c r="F25" s="366">
        <v>505623.69508799998</v>
      </c>
      <c r="G25" s="370">
        <f>SUM(G20:G24)</f>
        <v>1</v>
      </c>
      <c r="H25" s="370">
        <f t="shared" si="2"/>
        <v>-7.3159107695118478E-2</v>
      </c>
      <c r="I25" s="371">
        <v>50931.156999999992</v>
      </c>
      <c r="J25" s="382">
        <v>543323.17190900003</v>
      </c>
      <c r="K25" s="470">
        <f>SUM(K20:K24)</f>
        <v>0.99999999999999989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191</v>
      </c>
      <c r="E26" s="116">
        <f>E8+E14+E20</f>
        <v>112151.54399999999</v>
      </c>
      <c r="F26" s="115">
        <f>F8+F14+F20</f>
        <v>1198933.1632149999</v>
      </c>
      <c r="G26" s="118">
        <f>E26/$E$31</f>
        <v>0.60931941403631684</v>
      </c>
      <c r="H26" s="118">
        <f>(E26-I26)/I26</f>
        <v>-0.11299122921351436</v>
      </c>
      <c r="I26" s="119">
        <f>I8+I14+I20</f>
        <v>126437.91999999998</v>
      </c>
      <c r="J26" s="134">
        <f>J8+J14+J20</f>
        <v>1347910.5604010005</v>
      </c>
      <c r="K26" s="469">
        <f>I26/$I$31</f>
        <v>0.63432134153123709</v>
      </c>
    </row>
    <row r="27" spans="1:20" ht="11.1" customHeight="1">
      <c r="A27" s="656"/>
      <c r="B27" s="657"/>
      <c r="C27" s="403" t="s">
        <v>5</v>
      </c>
      <c r="D27" s="115">
        <f>D21</f>
        <v>642</v>
      </c>
      <c r="E27" s="116">
        <f t="shared" ref="E27:F30" si="3">E9+E15+E21</f>
        <v>18802.238000000001</v>
      </c>
      <c r="F27" s="115">
        <f t="shared" si="3"/>
        <v>200976.78204999989</v>
      </c>
      <c r="G27" s="118">
        <f>E27/$E$31</f>
        <v>0.10215257170896704</v>
      </c>
      <c r="H27" s="118">
        <f t="shared" ref="H27:H30" si="4">(E27-I27)/I27</f>
        <v>-3.4287928955504608E-2</v>
      </c>
      <c r="I27" s="119">
        <f t="shared" ref="I27:J27" si="5">I9+I15+I21</f>
        <v>19469.817727000001</v>
      </c>
      <c r="J27" s="134">
        <f t="shared" si="5"/>
        <v>207322.19647000008</v>
      </c>
      <c r="K27" s="469">
        <f>I27/$I$31</f>
        <v>9.7677349484706036E-2</v>
      </c>
    </row>
    <row r="28" spans="1:20" ht="11.1" customHeight="1">
      <c r="A28" s="656"/>
      <c r="B28" s="657"/>
      <c r="C28" s="403" t="s">
        <v>6</v>
      </c>
      <c r="D28" s="115">
        <f>D22</f>
        <v>18927</v>
      </c>
      <c r="E28" s="116">
        <f t="shared" si="3"/>
        <v>14371.663</v>
      </c>
      <c r="F28" s="115">
        <f t="shared" si="3"/>
        <v>153567.42386000001</v>
      </c>
      <c r="G28" s="118">
        <f>E28/$E$31</f>
        <v>7.8081254751940082E-2</v>
      </c>
      <c r="H28" s="118">
        <f t="shared" si="4"/>
        <v>-7.7690956846835538E-2</v>
      </c>
      <c r="I28" s="119">
        <f t="shared" ref="I28:J28" si="6">I10+I16+I22</f>
        <v>15582.263999999999</v>
      </c>
      <c r="J28" s="134">
        <f t="shared" si="6"/>
        <v>166179.38331</v>
      </c>
      <c r="K28" s="469">
        <f>I28/$I$31</f>
        <v>7.8174036749211792E-2</v>
      </c>
    </row>
    <row r="29" spans="1:20" ht="11.1" customHeight="1">
      <c r="A29" s="656"/>
      <c r="B29" s="657"/>
      <c r="C29" s="403" t="s">
        <v>7</v>
      </c>
      <c r="D29" s="115">
        <f>D23</f>
        <v>240013</v>
      </c>
      <c r="E29" s="116">
        <f t="shared" si="3"/>
        <v>36330.5</v>
      </c>
      <c r="F29" s="115">
        <f t="shared" si="3"/>
        <v>388220</v>
      </c>
      <c r="G29" s="118">
        <f>E29/$E$31</f>
        <v>0.19738363095247632</v>
      </c>
      <c r="H29" s="118">
        <f t="shared" si="4"/>
        <v>2.0932624432354701E-2</v>
      </c>
      <c r="I29" s="119">
        <f t="shared" ref="I29:J29" si="7">I11+I17+I23</f>
        <v>35585.599999999999</v>
      </c>
      <c r="J29" s="134">
        <f t="shared" si="7"/>
        <v>379510.60000000003</v>
      </c>
      <c r="K29" s="469">
        <f>I29/$I$31</f>
        <v>0.17852797270940549</v>
      </c>
    </row>
    <row r="30" spans="1:20" ht="11.1" customHeight="1">
      <c r="A30" s="656"/>
      <c r="B30" s="657"/>
      <c r="C30" s="403" t="s">
        <v>112</v>
      </c>
      <c r="D30" s="115">
        <f>D24</f>
        <v>31</v>
      </c>
      <c r="E30" s="116">
        <f>E12+E18+E24</f>
        <v>2404.404</v>
      </c>
      <c r="F30" s="115">
        <f t="shared" si="3"/>
        <v>25710.66603</v>
      </c>
      <c r="G30" s="118">
        <f>E30/$E$31</f>
        <v>1.3063128550299553E-2</v>
      </c>
      <c r="H30" s="118">
        <f t="shared" si="4"/>
        <v>6.7549204271729682E-2</v>
      </c>
      <c r="I30" s="119">
        <f>I12+I18+I24</f>
        <v>2252.265273</v>
      </c>
      <c r="J30" s="134">
        <f t="shared" ref="J30" si="8">J12+J18+J24</f>
        <v>24752.352180000002</v>
      </c>
      <c r="K30" s="469">
        <f>I30/$I$31</f>
        <v>1.1299299525439663E-2</v>
      </c>
    </row>
    <row r="31" spans="1:20" ht="11.1" customHeight="1">
      <c r="A31" s="656"/>
      <c r="B31" s="657"/>
      <c r="C31" s="365" t="s">
        <v>0</v>
      </c>
      <c r="D31" s="366">
        <f>SUM(D26:D30)</f>
        <v>259804</v>
      </c>
      <c r="E31" s="367">
        <f>SUM(E26:E30)</f>
        <v>184060.34900000002</v>
      </c>
      <c r="F31" s="366">
        <f>SUM(F26:F30)</f>
        <v>1967408.0351549997</v>
      </c>
      <c r="G31" s="370">
        <f>SUM(G26:G30)</f>
        <v>0.99999999999999989</v>
      </c>
      <c r="H31" s="370">
        <f>(E31-I31)/I31</f>
        <v>-7.6595000136132269E-2</v>
      </c>
      <c r="I31" s="371">
        <f>SUM(I26:I30)</f>
        <v>199327.86699999997</v>
      </c>
      <c r="J31" s="382">
        <f>SUM(J26:J30)</f>
        <v>2125675.0923610004</v>
      </c>
      <c r="K31" s="470">
        <f>SUM(K26:K30)</f>
        <v>1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49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135</v>
      </c>
      <c r="E38" s="116">
        <v>74913.399999999994</v>
      </c>
      <c r="F38" s="120">
        <v>799786.40431999997</v>
      </c>
      <c r="G38" s="122">
        <f>E38/$E$43</f>
        <v>0.81643310321521634</v>
      </c>
      <c r="H38" s="122">
        <f>(E38-I38)/I38</f>
        <v>1.8921926430456721E-2</v>
      </c>
      <c r="I38" s="119">
        <v>73522.217999999993</v>
      </c>
      <c r="J38" s="135">
        <v>784636.99628999969</v>
      </c>
      <c r="K38" s="468">
        <f>I38/$I$43</f>
        <v>0.81564043642680084</v>
      </c>
    </row>
    <row r="39" spans="1:11" ht="11.1" customHeight="1">
      <c r="A39" s="652"/>
      <c r="B39" s="653"/>
      <c r="C39" s="403" t="s">
        <v>5</v>
      </c>
      <c r="D39" s="115">
        <v>319</v>
      </c>
      <c r="E39" s="116">
        <v>2859.9949999999999</v>
      </c>
      <c r="F39" s="115">
        <v>30542.56462999999</v>
      </c>
      <c r="G39" s="118">
        <f t="shared" ref="G39" si="9">E39/$E$43</f>
        <v>3.1169251335942606E-2</v>
      </c>
      <c r="H39" s="118">
        <f>(E39-I39)/I39</f>
        <v>-2.4207542547696213E-2</v>
      </c>
      <c r="I39" s="119">
        <v>2930.9459999999999</v>
      </c>
      <c r="J39" s="134">
        <v>31122.575330000003</v>
      </c>
      <c r="K39" s="469">
        <f t="shared" ref="K39:K42" si="10">I39/$I$43</f>
        <v>3.2515314956675902E-2</v>
      </c>
    </row>
    <row r="40" spans="1:11" ht="11.1" customHeight="1">
      <c r="A40" s="652"/>
      <c r="B40" s="653"/>
      <c r="C40" s="403" t="s">
        <v>6</v>
      </c>
      <c r="D40" s="115">
        <v>12753</v>
      </c>
      <c r="E40" s="116">
        <v>4376.9269999999988</v>
      </c>
      <c r="F40" s="115">
        <v>46727.633090000003</v>
      </c>
      <c r="G40" s="118">
        <f>E40/$E$43</f>
        <v>4.7701320366669603E-2</v>
      </c>
      <c r="H40" s="118">
        <f t="shared" ref="H40:H42" si="11">(E40-I40)/I40</f>
        <v>-2.3923091795799781E-2</v>
      </c>
      <c r="I40" s="119">
        <v>4484.2029999999995</v>
      </c>
      <c r="J40" s="134">
        <v>47887.697400000005</v>
      </c>
      <c r="K40" s="469">
        <f t="shared" si="10"/>
        <v>4.974683016154885E-2</v>
      </c>
    </row>
    <row r="41" spans="1:11" ht="11.1" customHeight="1">
      <c r="A41" s="652"/>
      <c r="B41" s="653"/>
      <c r="C41" s="403" t="s">
        <v>7</v>
      </c>
      <c r="D41" s="115">
        <v>209680</v>
      </c>
      <c r="E41" s="116">
        <v>9272.7999999999993</v>
      </c>
      <c r="F41" s="115">
        <v>99025.4</v>
      </c>
      <c r="G41" s="118">
        <f>E41/$E$43</f>
        <v>0.10105830037742325</v>
      </c>
      <c r="H41" s="118">
        <f t="shared" si="11"/>
        <v>4.5564738913256568E-2</v>
      </c>
      <c r="I41" s="119">
        <v>8868.7000000000007</v>
      </c>
      <c r="J41" s="134">
        <v>94705.4</v>
      </c>
      <c r="K41" s="469">
        <f t="shared" si="10"/>
        <v>9.8387542369007014E-2</v>
      </c>
    </row>
    <row r="42" spans="1:11" ht="11.1" customHeight="1">
      <c r="A42" s="652"/>
      <c r="B42" s="653"/>
      <c r="C42" s="403" t="s">
        <v>112</v>
      </c>
      <c r="D42" s="115">
        <v>17</v>
      </c>
      <c r="E42" s="116">
        <v>333.81400000000002</v>
      </c>
      <c r="F42" s="115">
        <v>3564.8325200000004</v>
      </c>
      <c r="G42" s="118">
        <f>E42/$E$43</f>
        <v>3.6380247047482065E-3</v>
      </c>
      <c r="H42" s="118">
        <f t="shared" si="11"/>
        <v>-1.7822433539666984E-3</v>
      </c>
      <c r="I42" s="119">
        <v>334.41</v>
      </c>
      <c r="J42" s="134">
        <v>3770.0454400000003</v>
      </c>
      <c r="K42" s="469">
        <f t="shared" si="10"/>
        <v>3.7098760859674627E-3</v>
      </c>
    </row>
    <row r="43" spans="1:11" ht="11.1" customHeight="1">
      <c r="A43" s="654"/>
      <c r="B43" s="655"/>
      <c r="C43" s="365" t="s">
        <v>0</v>
      </c>
      <c r="D43" s="366">
        <v>222904</v>
      </c>
      <c r="E43" s="367">
        <v>91756.935999999987</v>
      </c>
      <c r="F43" s="366">
        <v>979646.8345600001</v>
      </c>
      <c r="G43" s="370">
        <f>SUM(G38:G42)</f>
        <v>1</v>
      </c>
      <c r="H43" s="370">
        <f>(E43-I43)/I43</f>
        <v>1.793266525536583E-2</v>
      </c>
      <c r="I43" s="371">
        <v>90140.476999999984</v>
      </c>
      <c r="J43" s="382">
        <v>962122.71445999981</v>
      </c>
      <c r="K43" s="470">
        <f>SUM(K38:K42)</f>
        <v>1.0000000000000002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134</v>
      </c>
      <c r="E44" s="116">
        <v>82244.062999999995</v>
      </c>
      <c r="F44" s="120">
        <v>878108.40872999979</v>
      </c>
      <c r="G44" s="122">
        <f>E44/$E$49</f>
        <v>0.87283466456330694</v>
      </c>
      <c r="H44" s="122">
        <f>(E44-I44)/I44</f>
        <v>0.23766525622836968</v>
      </c>
      <c r="I44" s="119">
        <v>66450.975000000006</v>
      </c>
      <c r="J44" s="135">
        <v>707232.04023000004</v>
      </c>
      <c r="K44" s="468">
        <f>I44/$I$49</f>
        <v>0.82144431179422572</v>
      </c>
    </row>
    <row r="45" spans="1:11" ht="11.1" customHeight="1">
      <c r="A45" s="652"/>
      <c r="B45" s="653"/>
      <c r="C45" s="403" t="s">
        <v>5</v>
      </c>
      <c r="D45" s="115">
        <v>319</v>
      </c>
      <c r="E45" s="116">
        <v>2208.027</v>
      </c>
      <c r="F45" s="115">
        <v>23590.400339999986</v>
      </c>
      <c r="G45" s="118">
        <f t="shared" ref="G45:G48" si="12">E45/$E$49</f>
        <v>2.3433211293217907E-2</v>
      </c>
      <c r="H45" s="118">
        <f>(E45-I45)/I45</f>
        <v>-0.10509457591809782</v>
      </c>
      <c r="I45" s="119">
        <v>2467.3300000000004</v>
      </c>
      <c r="J45" s="134">
        <v>26271.751450000011</v>
      </c>
      <c r="K45" s="469">
        <f t="shared" ref="K45:K48" si="13">I45/$I$49</f>
        <v>3.0500292792080885E-2</v>
      </c>
    </row>
    <row r="46" spans="1:11" ht="11.1" customHeight="1">
      <c r="A46" s="652"/>
      <c r="B46" s="653"/>
      <c r="C46" s="403" t="s">
        <v>6</v>
      </c>
      <c r="D46" s="115">
        <v>12746</v>
      </c>
      <c r="E46" s="116">
        <v>2868.7019999999998</v>
      </c>
      <c r="F46" s="115">
        <v>30636.650079999999</v>
      </c>
      <c r="G46" s="118">
        <f t="shared" si="12"/>
        <v>3.0444781745547853E-2</v>
      </c>
      <c r="H46" s="118">
        <f t="shared" ref="H46:H48" si="14">(E46-I46)/I46</f>
        <v>-0.2727672344690904</v>
      </c>
      <c r="I46" s="119">
        <v>3944.6820000000002</v>
      </c>
      <c r="J46" s="134">
        <v>42000.51599</v>
      </c>
      <c r="K46" s="469">
        <f t="shared" si="13"/>
        <v>4.8762814853161598E-2</v>
      </c>
    </row>
    <row r="47" spans="1:11" ht="11.1" customHeight="1">
      <c r="A47" s="652"/>
      <c r="B47" s="653"/>
      <c r="C47" s="403" t="s">
        <v>7</v>
      </c>
      <c r="D47" s="115">
        <v>209594</v>
      </c>
      <c r="E47" s="116">
        <v>6524.4</v>
      </c>
      <c r="F47" s="115">
        <v>69708</v>
      </c>
      <c r="G47" s="118">
        <f t="shared" si="12"/>
        <v>6.9241745577146879E-2</v>
      </c>
      <c r="H47" s="118">
        <f t="shared" si="14"/>
        <v>-0.14793919448362328</v>
      </c>
      <c r="I47" s="119">
        <v>7657.2</v>
      </c>
      <c r="J47" s="134">
        <v>81532.7</v>
      </c>
      <c r="K47" s="469">
        <f t="shared" si="13"/>
        <v>9.4655697441169903E-2</v>
      </c>
    </row>
    <row r="48" spans="1:11" ht="11.1" customHeight="1">
      <c r="A48" s="652"/>
      <c r="B48" s="653"/>
      <c r="C48" s="403" t="s">
        <v>112</v>
      </c>
      <c r="D48" s="115">
        <v>17</v>
      </c>
      <c r="E48" s="116">
        <v>381.202</v>
      </c>
      <c r="F48" s="115">
        <v>4072.8198600000005</v>
      </c>
      <c r="G48" s="118">
        <f t="shared" si="12"/>
        <v>4.0455968207803858E-3</v>
      </c>
      <c r="H48" s="118">
        <f t="shared" si="14"/>
        <v>1.6262243336479205E-2</v>
      </c>
      <c r="I48" s="119">
        <v>375.10199999999998</v>
      </c>
      <c r="J48" s="134">
        <v>3994.0058399999998</v>
      </c>
      <c r="K48" s="469">
        <f t="shared" si="13"/>
        <v>4.6368831193618698E-3</v>
      </c>
    </row>
    <row r="49" spans="1:11" ht="11.1" customHeight="1">
      <c r="A49" s="654"/>
      <c r="B49" s="655"/>
      <c r="C49" s="365" t="s">
        <v>0</v>
      </c>
      <c r="D49" s="366">
        <v>222810</v>
      </c>
      <c r="E49" s="367">
        <v>94226.394</v>
      </c>
      <c r="F49" s="366">
        <v>1006116.2790099998</v>
      </c>
      <c r="G49" s="370">
        <f>SUM(G44:G48)</f>
        <v>1</v>
      </c>
      <c r="H49" s="370">
        <f t="shared" ref="H49" si="15">(E49-I49)/I49</f>
        <v>0.16479457784000245</v>
      </c>
      <c r="I49" s="371">
        <v>80895.289000000004</v>
      </c>
      <c r="J49" s="382">
        <v>861031.01350999996</v>
      </c>
      <c r="K49" s="470">
        <f>SUM(K44:K48)</f>
        <v>0.99999999999999989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135</v>
      </c>
      <c r="E50" s="270">
        <v>114124.80100000001</v>
      </c>
      <c r="F50" s="120">
        <v>1222379.83687</v>
      </c>
      <c r="G50" s="122">
        <f>E50/$E$55</f>
        <v>0.94961658055990306</v>
      </c>
      <c r="H50" s="122">
        <f>(E50-I50)/I50</f>
        <v>5.7973105956926063E-2</v>
      </c>
      <c r="I50" s="543">
        <v>107871.174</v>
      </c>
      <c r="J50" s="135">
        <v>1150095.77559</v>
      </c>
      <c r="K50" s="468">
        <f>I50/$I$55</f>
        <v>0.96041775714489352</v>
      </c>
    </row>
    <row r="51" spans="1:11" ht="11.1" customHeight="1">
      <c r="A51" s="656"/>
      <c r="B51" s="657"/>
      <c r="C51" s="403" t="s">
        <v>5</v>
      </c>
      <c r="D51" s="115">
        <v>318</v>
      </c>
      <c r="E51" s="116">
        <v>1548.624</v>
      </c>
      <c r="F51" s="115">
        <v>16587.806110000012</v>
      </c>
      <c r="G51" s="118">
        <f t="shared" ref="G51:G54" si="16">E51/$E$55</f>
        <v>1.2885884703124252E-2</v>
      </c>
      <c r="H51" s="118">
        <f t="shared" ref="H51:H54" si="17">(E51-I51)/I51</f>
        <v>6.0146608213236287E-2</v>
      </c>
      <c r="I51" s="119">
        <v>1460.7640000000001</v>
      </c>
      <c r="J51" s="134">
        <v>15584.355780000007</v>
      </c>
      <c r="K51" s="469">
        <f t="shared" ref="K51:K54" si="18">I51/$I$55</f>
        <v>1.3005732973648765E-2</v>
      </c>
    </row>
    <row r="52" spans="1:11" ht="11.1" customHeight="1">
      <c r="A52" s="656"/>
      <c r="B52" s="657"/>
      <c r="C52" s="403" t="s">
        <v>6</v>
      </c>
      <c r="D52" s="115">
        <v>12748</v>
      </c>
      <c r="E52" s="116">
        <v>1231.623</v>
      </c>
      <c r="F52" s="115">
        <v>13183.072829999999</v>
      </c>
      <c r="G52" s="118">
        <f t="shared" si="16"/>
        <v>1.0248163515298742E-2</v>
      </c>
      <c r="H52" s="118">
        <f t="shared" si="17"/>
        <v>0.48774769159406839</v>
      </c>
      <c r="I52" s="119">
        <v>827.84400000000005</v>
      </c>
      <c r="J52" s="134">
        <v>8828.6057299999993</v>
      </c>
      <c r="K52" s="469">
        <f t="shared" si="18"/>
        <v>7.3706074409263158E-3</v>
      </c>
    </row>
    <row r="53" spans="1:11" ht="11.1" customHeight="1">
      <c r="A53" s="656"/>
      <c r="B53" s="657"/>
      <c r="C53" s="403" t="s">
        <v>7</v>
      </c>
      <c r="D53" s="115">
        <v>209544</v>
      </c>
      <c r="E53" s="116">
        <v>2867.4</v>
      </c>
      <c r="F53" s="115">
        <v>30713.3</v>
      </c>
      <c r="G53" s="118">
        <f t="shared" si="16"/>
        <v>2.3859236197901156E-2</v>
      </c>
      <c r="H53" s="118">
        <f t="shared" si="17"/>
        <v>0.61080838155159833</v>
      </c>
      <c r="I53" s="119">
        <v>1780.1</v>
      </c>
      <c r="J53" s="134">
        <v>18991.099999999999</v>
      </c>
      <c r="K53" s="469">
        <f t="shared" si="18"/>
        <v>1.5848901852997584E-2</v>
      </c>
    </row>
    <row r="54" spans="1:11" ht="11.1" customHeight="1">
      <c r="A54" s="656"/>
      <c r="B54" s="657"/>
      <c r="C54" s="403" t="s">
        <v>112</v>
      </c>
      <c r="D54" s="115">
        <v>17</v>
      </c>
      <c r="E54" s="116">
        <v>407.42599999999999</v>
      </c>
      <c r="F54" s="115">
        <v>4364.0201099999995</v>
      </c>
      <c r="G54" s="118">
        <f t="shared" si="16"/>
        <v>3.3901350237727822E-3</v>
      </c>
      <c r="H54" s="118">
        <f t="shared" si="17"/>
        <v>8.0567991343277218E-2</v>
      </c>
      <c r="I54" s="119">
        <v>377.048</v>
      </c>
      <c r="J54" s="134">
        <v>4022.4687200000008</v>
      </c>
      <c r="K54" s="469">
        <f t="shared" si="18"/>
        <v>3.3570005875338655E-3</v>
      </c>
    </row>
    <row r="55" spans="1:11" ht="11.1" customHeight="1">
      <c r="A55" s="656"/>
      <c r="B55" s="657"/>
      <c r="C55" s="365" t="s">
        <v>0</v>
      </c>
      <c r="D55" s="366">
        <v>222762</v>
      </c>
      <c r="E55" s="367">
        <v>120179.87400000001</v>
      </c>
      <c r="F55" s="366">
        <v>1287228.0359199999</v>
      </c>
      <c r="G55" s="370">
        <f>SUM(G50:G54)</f>
        <v>1</v>
      </c>
      <c r="H55" s="370">
        <f t="shared" ref="H55" si="19">(E55-I55)/I55</f>
        <v>7.000675677299957E-2</v>
      </c>
      <c r="I55" s="371">
        <v>112316.93</v>
      </c>
      <c r="J55" s="382">
        <v>1197522.3058200001</v>
      </c>
      <c r="K55" s="470">
        <f>SUM(K50:K54)</f>
        <v>1.0000000000000002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135</v>
      </c>
      <c r="E56" s="116">
        <f>E38+E44+E50</f>
        <v>271282.26399999997</v>
      </c>
      <c r="F56" s="115">
        <f>F38+F44+F50</f>
        <v>2900274.6499199998</v>
      </c>
      <c r="G56" s="118">
        <f>E56/$E$61</f>
        <v>0.88607076374860527</v>
      </c>
      <c r="H56" s="118">
        <f>(E56-I56)/I56</f>
        <v>9.4566994940013985E-2</v>
      </c>
      <c r="I56" s="119">
        <f>I38+I44+I50</f>
        <v>247844.367</v>
      </c>
      <c r="J56" s="134">
        <f>J38+J44+J50</f>
        <v>2641964.8121099994</v>
      </c>
      <c r="K56" s="469">
        <f>I56/$I$61</f>
        <v>0.87468504975862305</v>
      </c>
    </row>
    <row r="57" spans="1:11" ht="11.1" customHeight="1">
      <c r="A57" s="656"/>
      <c r="B57" s="657"/>
      <c r="C57" s="403" t="s">
        <v>5</v>
      </c>
      <c r="D57" s="115">
        <f>D51</f>
        <v>318</v>
      </c>
      <c r="E57" s="116">
        <f t="shared" ref="E57:F58" si="20">E39+E45+E51</f>
        <v>6616.6459999999997</v>
      </c>
      <c r="F57" s="115">
        <f t="shared" si="20"/>
        <v>70720.771079999977</v>
      </c>
      <c r="G57" s="118">
        <f t="shared" ref="G57:G60" si="21">E57/$E$61</f>
        <v>2.1611499728099271E-2</v>
      </c>
      <c r="H57" s="118">
        <f t="shared" ref="H57:H60" si="22">(E57-I57)/I57</f>
        <v>-3.5339347780447443E-2</v>
      </c>
      <c r="I57" s="119">
        <f t="shared" ref="I57:J57" si="23">I39+I45+I51</f>
        <v>6859.04</v>
      </c>
      <c r="J57" s="134">
        <f t="shared" si="23"/>
        <v>72978.68256000003</v>
      </c>
      <c r="K57" s="469">
        <f t="shared" ref="K57:K60" si="24">I57/$I$61</f>
        <v>2.4206722211670785E-2</v>
      </c>
    </row>
    <row r="58" spans="1:11" ht="11.1" customHeight="1">
      <c r="A58" s="656"/>
      <c r="B58" s="657"/>
      <c r="C58" s="403" t="s">
        <v>6</v>
      </c>
      <c r="D58" s="115">
        <f>D52</f>
        <v>12748</v>
      </c>
      <c r="E58" s="116">
        <f>E40+E46+E52</f>
        <v>8477.2519999999986</v>
      </c>
      <c r="F58" s="115">
        <f t="shared" si="20"/>
        <v>90547.356000000014</v>
      </c>
      <c r="G58" s="118">
        <f t="shared" si="21"/>
        <v>2.7688670255750267E-2</v>
      </c>
      <c r="H58" s="118">
        <f t="shared" si="22"/>
        <v>-8.4206526949206439E-2</v>
      </c>
      <c r="I58" s="119">
        <f>I40+I46+I52</f>
        <v>9256.7289999999994</v>
      </c>
      <c r="J58" s="134">
        <f t="shared" ref="J58" si="25">J40+J46+J52</f>
        <v>98716.81912</v>
      </c>
      <c r="K58" s="469">
        <f t="shared" si="24"/>
        <v>3.2668575703264174E-2</v>
      </c>
    </row>
    <row r="59" spans="1:11" ht="11.1" customHeight="1">
      <c r="A59" s="656"/>
      <c r="B59" s="657"/>
      <c r="C59" s="403" t="s">
        <v>7</v>
      </c>
      <c r="D59" s="115">
        <f>D53</f>
        <v>209544</v>
      </c>
      <c r="E59" s="116">
        <f t="shared" ref="E59:F60" si="26">E41+E47+E53</f>
        <v>18664.599999999999</v>
      </c>
      <c r="F59" s="115">
        <f t="shared" si="26"/>
        <v>199446.69999999998</v>
      </c>
      <c r="G59" s="118">
        <f t="shared" si="21"/>
        <v>6.0962910487440562E-2</v>
      </c>
      <c r="H59" s="118">
        <f t="shared" si="22"/>
        <v>1.9589205724898862E-2</v>
      </c>
      <c r="I59" s="119">
        <f t="shared" ref="I59:J59" si="27">I41+I47+I53</f>
        <v>18306</v>
      </c>
      <c r="J59" s="134">
        <f t="shared" si="27"/>
        <v>195229.19999999998</v>
      </c>
      <c r="K59" s="469">
        <f t="shared" si="24"/>
        <v>6.4604996735234871E-2</v>
      </c>
    </row>
    <row r="60" spans="1:11" ht="11.1" customHeight="1">
      <c r="A60" s="656"/>
      <c r="B60" s="657"/>
      <c r="C60" s="403" t="s">
        <v>112</v>
      </c>
      <c r="D60" s="115">
        <f>D54</f>
        <v>17</v>
      </c>
      <c r="E60" s="116">
        <f>E42+E48+E54</f>
        <v>1122.442</v>
      </c>
      <c r="F60" s="115">
        <f t="shared" si="26"/>
        <v>12001.672490000001</v>
      </c>
      <c r="G60" s="118">
        <f t="shared" si="21"/>
        <v>3.6661557801047845E-3</v>
      </c>
      <c r="H60" s="118">
        <f t="shared" si="22"/>
        <v>3.3023486968046002E-2</v>
      </c>
      <c r="I60" s="119">
        <f>I42+I48+I54</f>
        <v>1086.56</v>
      </c>
      <c r="J60" s="134">
        <f t="shared" ref="J60" si="28">J42+J48+J54</f>
        <v>11786.52</v>
      </c>
      <c r="K60" s="469">
        <f t="shared" si="24"/>
        <v>3.83465559120708E-3</v>
      </c>
    </row>
    <row r="61" spans="1:11" ht="11.1" customHeight="1">
      <c r="A61" s="656"/>
      <c r="B61" s="657"/>
      <c r="C61" s="365" t="s">
        <v>0</v>
      </c>
      <c r="D61" s="366">
        <f>SUM(D56:D60)</f>
        <v>222762</v>
      </c>
      <c r="E61" s="367">
        <f>SUM(E56:E60)</f>
        <v>306163.20399999991</v>
      </c>
      <c r="F61" s="366">
        <f>SUM(F56:F60)</f>
        <v>3272991.1494899997</v>
      </c>
      <c r="G61" s="370">
        <f>SUM(G56:G60)</f>
        <v>1.0000000000000002</v>
      </c>
      <c r="H61" s="370">
        <f>(E61-I61)/I61</f>
        <v>8.0502173870263496E-2</v>
      </c>
      <c r="I61" s="371">
        <f>SUM(I56:I60)</f>
        <v>283352.696</v>
      </c>
      <c r="J61" s="382">
        <f>SUM(J56:J60)</f>
        <v>3020676.0337899998</v>
      </c>
      <c r="K61" s="470">
        <f>SUM(K56:K60)</f>
        <v>1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T119"/>
  <sheetViews>
    <sheetView showGridLines="0" zoomScaleNormal="100" zoomScaleSheetLayoutView="100" workbookViewId="0">
      <selection activeCell="A2" sqref="A2:C2"/>
    </sheetView>
  </sheetViews>
  <sheetFormatPr defaultColWidth="9.140625" defaultRowHeight="12.75"/>
  <cols>
    <col min="1" max="1" width="9.42578125" style="232" customWidth="1"/>
    <col min="2" max="2" width="3.85546875" style="232" customWidth="1"/>
    <col min="3" max="11" width="9.5703125" style="232" customWidth="1"/>
    <col min="12" max="13" width="9.140625" style="232"/>
    <col min="14" max="14" width="11.140625" style="232" customWidth="1"/>
    <col min="15" max="16384" width="9.140625" style="232"/>
  </cols>
  <sheetData>
    <row r="1" spans="1:16" s="244" customFormat="1" ht="15.75">
      <c r="A1" s="682" t="s">
        <v>268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6" ht="6" customHeight="1">
      <c r="A2" s="660"/>
      <c r="B2" s="660"/>
      <c r="C2" s="660"/>
      <c r="D2" s="234"/>
      <c r="E2" s="234"/>
      <c r="F2" s="235"/>
      <c r="G2" s="236"/>
      <c r="H2" s="236"/>
      <c r="I2" s="236"/>
      <c r="J2" s="96"/>
      <c r="K2" s="96"/>
    </row>
    <row r="3" spans="1:16" ht="12.95" customHeight="1">
      <c r="A3" s="687" t="s">
        <v>50</v>
      </c>
      <c r="B3" s="687"/>
      <c r="C3" s="687"/>
      <c r="D3" s="688"/>
      <c r="E3" s="464"/>
      <c r="F3" s="465"/>
      <c r="G3" s="321"/>
      <c r="H3" s="322"/>
      <c r="I3" s="465"/>
      <c r="J3" s="466"/>
      <c r="K3" s="466"/>
    </row>
    <row r="4" spans="1:16" ht="24.95" customHeight="1">
      <c r="A4" s="323"/>
      <c r="B4" s="323"/>
      <c r="C4" s="323"/>
      <c r="D4" s="311"/>
      <c r="E4" s="668">
        <f>'3.1'!D4</f>
        <v>2020</v>
      </c>
      <c r="F4" s="669"/>
      <c r="G4" s="670"/>
      <c r="H4" s="324"/>
      <c r="I4" s="671">
        <f>E4-1</f>
        <v>2019</v>
      </c>
      <c r="J4" s="672"/>
      <c r="K4" s="672"/>
    </row>
    <row r="5" spans="1:16" ht="24.95" customHeight="1">
      <c r="A5" s="467"/>
      <c r="B5" s="325"/>
      <c r="C5" s="326"/>
      <c r="D5" s="327"/>
      <c r="E5" s="663" t="s">
        <v>67</v>
      </c>
      <c r="F5" s="664"/>
      <c r="G5" s="712" t="s">
        <v>37</v>
      </c>
      <c r="H5" s="705" t="s">
        <v>299</v>
      </c>
      <c r="I5" s="661" t="s">
        <v>67</v>
      </c>
      <c r="J5" s="707"/>
      <c r="K5" s="676" t="s">
        <v>37</v>
      </c>
    </row>
    <row r="6" spans="1:16" ht="24.95" customHeight="1">
      <c r="A6" s="467"/>
      <c r="B6" s="328"/>
      <c r="C6" s="328"/>
      <c r="D6" s="689" t="s">
        <v>226</v>
      </c>
      <c r="E6" s="663"/>
      <c r="F6" s="665"/>
      <c r="G6" s="646"/>
      <c r="H6" s="705"/>
      <c r="I6" s="661"/>
      <c r="J6" s="708"/>
      <c r="K6" s="677"/>
    </row>
    <row r="7" spans="1:16" ht="15" customHeight="1">
      <c r="A7" s="704" t="s">
        <v>225</v>
      </c>
      <c r="B7" s="704"/>
      <c r="C7" s="407" t="s">
        <v>252</v>
      </c>
      <c r="D7" s="690"/>
      <c r="E7" s="406" t="s">
        <v>294</v>
      </c>
      <c r="F7" s="404" t="s">
        <v>289</v>
      </c>
      <c r="G7" s="405" t="s">
        <v>295</v>
      </c>
      <c r="H7" s="706"/>
      <c r="I7" s="329" t="s">
        <v>296</v>
      </c>
      <c r="J7" s="330" t="s">
        <v>289</v>
      </c>
      <c r="K7" s="329" t="s">
        <v>295</v>
      </c>
    </row>
    <row r="8" spans="1:16" ht="11.1" customHeight="1">
      <c r="A8" s="650" t="str">
        <f>'3.1'!D6</f>
        <v>Duben</v>
      </c>
      <c r="B8" s="651"/>
      <c r="C8" s="403" t="s">
        <v>4</v>
      </c>
      <c r="D8" s="120">
        <v>96</v>
      </c>
      <c r="E8" s="116">
        <v>8513.632999999998</v>
      </c>
      <c r="F8" s="120">
        <v>90918.902020000023</v>
      </c>
      <c r="G8" s="122">
        <f>E8/$E$13</f>
        <v>0.38491662541131866</v>
      </c>
      <c r="H8" s="122">
        <f>(E8-I8)/I8</f>
        <v>-0.12777323285309566</v>
      </c>
      <c r="I8" s="119">
        <v>9760.8022600000004</v>
      </c>
      <c r="J8" s="135">
        <v>104184.98932000002</v>
      </c>
      <c r="K8" s="468">
        <f>I8/$I$13</f>
        <v>0.40918434147182986</v>
      </c>
    </row>
    <row r="9" spans="1:16" ht="11.1" customHeight="1">
      <c r="A9" s="652"/>
      <c r="B9" s="653"/>
      <c r="C9" s="403" t="s">
        <v>5</v>
      </c>
      <c r="D9" s="115">
        <v>327</v>
      </c>
      <c r="E9" s="116">
        <v>2620.8214199999998</v>
      </c>
      <c r="F9" s="115">
        <v>27988.102669999986</v>
      </c>
      <c r="G9" s="118">
        <f>E9/$E$13</f>
        <v>0.11849203939048117</v>
      </c>
      <c r="H9" s="118">
        <f>(E9-I9)/I9</f>
        <v>-0.11323729184313898</v>
      </c>
      <c r="I9" s="119">
        <v>2955.4935</v>
      </c>
      <c r="J9" s="134">
        <v>31548.085469999998</v>
      </c>
      <c r="K9" s="469">
        <f>I9/$I$13</f>
        <v>0.12389777287853525</v>
      </c>
      <c r="L9" s="238"/>
      <c r="N9" s="238"/>
      <c r="O9" s="238"/>
      <c r="P9" s="238"/>
    </row>
    <row r="10" spans="1:16" ht="11.1" customHeight="1">
      <c r="A10" s="652"/>
      <c r="B10" s="653"/>
      <c r="C10" s="403" t="s">
        <v>6</v>
      </c>
      <c r="D10" s="115">
        <v>10889</v>
      </c>
      <c r="E10" s="116">
        <v>3996.0589399999999</v>
      </c>
      <c r="F10" s="115">
        <v>42674.584410000003</v>
      </c>
      <c r="G10" s="118">
        <f>E10/$E$13</f>
        <v>0.18066899549575738</v>
      </c>
      <c r="H10" s="118">
        <f t="shared" ref="H10:H12" si="0">(E10-I10)/I10</f>
        <v>-3.7484326171672119E-2</v>
      </c>
      <c r="I10" s="119">
        <v>4151.6819400000004</v>
      </c>
      <c r="J10" s="134">
        <v>44357.464209999998</v>
      </c>
      <c r="K10" s="469">
        <f>I10/$I$13</f>
        <v>0.17404340292612269</v>
      </c>
      <c r="L10" s="238"/>
      <c r="N10" s="238"/>
      <c r="O10" s="238"/>
      <c r="P10" s="238"/>
    </row>
    <row r="11" spans="1:16" ht="11.1" customHeight="1">
      <c r="A11" s="652"/>
      <c r="B11" s="653"/>
      <c r="C11" s="403" t="s">
        <v>7</v>
      </c>
      <c r="D11" s="115">
        <v>108790</v>
      </c>
      <c r="E11" s="116">
        <v>6836.8259500000004</v>
      </c>
      <c r="F11" s="115">
        <v>73011.930200000003</v>
      </c>
      <c r="G11" s="118">
        <f>E11/$E$13</f>
        <v>0.30910516969647783</v>
      </c>
      <c r="H11" s="118">
        <f t="shared" si="0"/>
        <v>4.0826508272348927E-3</v>
      </c>
      <c r="I11" s="119">
        <v>6809.0270700000001</v>
      </c>
      <c r="J11" s="134">
        <v>72736.681030000007</v>
      </c>
      <c r="K11" s="469">
        <f>I11/$I$13</f>
        <v>0.28544244453342843</v>
      </c>
      <c r="L11" s="238"/>
      <c r="N11" s="238"/>
      <c r="O11" s="238"/>
      <c r="P11" s="238"/>
    </row>
    <row r="12" spans="1:16" ht="11.1" customHeight="1">
      <c r="A12" s="652"/>
      <c r="B12" s="653"/>
      <c r="C12" s="403" t="s">
        <v>112</v>
      </c>
      <c r="D12" s="115">
        <v>14</v>
      </c>
      <c r="E12" s="116">
        <v>150.78299999999999</v>
      </c>
      <c r="F12" s="115">
        <v>1610.2465400000001</v>
      </c>
      <c r="G12" s="118">
        <f>E12/$E$13</f>
        <v>6.8171700059651234E-3</v>
      </c>
      <c r="H12" s="118">
        <f t="shared" si="0"/>
        <v>-0.14949290976162818</v>
      </c>
      <c r="I12" s="119">
        <v>177.286</v>
      </c>
      <c r="J12" s="134">
        <v>2019.5593599999997</v>
      </c>
      <c r="K12" s="469">
        <f>I12/$I$13</f>
        <v>7.4320381900836521E-3</v>
      </c>
      <c r="L12" s="238"/>
      <c r="N12" s="238"/>
      <c r="O12" s="238"/>
      <c r="P12" s="238"/>
    </row>
    <row r="13" spans="1:16" ht="11.1" customHeight="1">
      <c r="A13" s="654"/>
      <c r="B13" s="655"/>
      <c r="C13" s="365" t="s">
        <v>0</v>
      </c>
      <c r="D13" s="366">
        <v>120116</v>
      </c>
      <c r="E13" s="367">
        <v>22118.122309999995</v>
      </c>
      <c r="F13" s="366">
        <v>236203.76584000001</v>
      </c>
      <c r="G13" s="370">
        <f>SUM(G8:G12)</f>
        <v>1</v>
      </c>
      <c r="H13" s="370">
        <f>(E13-I13)/I13</f>
        <v>-7.2782229274385921E-2</v>
      </c>
      <c r="I13" s="371">
        <v>23854.290770000003</v>
      </c>
      <c r="J13" s="382">
        <v>254846.77939000004</v>
      </c>
      <c r="K13" s="470">
        <f>SUM(K8:K12)</f>
        <v>1</v>
      </c>
      <c r="L13" s="238"/>
    </row>
    <row r="14" spans="1:16" ht="11.1" customHeight="1">
      <c r="A14" s="656" t="str">
        <f>'3.1'!E6</f>
        <v>Květen</v>
      </c>
      <c r="B14" s="657"/>
      <c r="C14" s="403" t="s">
        <v>4</v>
      </c>
      <c r="D14" s="120">
        <v>96</v>
      </c>
      <c r="E14" s="116">
        <v>7754.4474200000004</v>
      </c>
      <c r="F14" s="120">
        <v>82847.178449999992</v>
      </c>
      <c r="G14" s="122">
        <f>E14/$E$19</f>
        <v>0.44721237011794468</v>
      </c>
      <c r="H14" s="122">
        <f>(E14-I14)/I14</f>
        <v>-0.16141201732552588</v>
      </c>
      <c r="I14" s="119">
        <v>9247.0290300000015</v>
      </c>
      <c r="J14" s="135">
        <v>98498.097730000023</v>
      </c>
      <c r="K14" s="468">
        <f>I14/$I$19</f>
        <v>0.42783161030781186</v>
      </c>
      <c r="L14" s="238"/>
      <c r="M14" s="238"/>
    </row>
    <row r="15" spans="1:16" ht="11.1" customHeight="1">
      <c r="A15" s="656"/>
      <c r="B15" s="657"/>
      <c r="C15" s="403" t="s">
        <v>5</v>
      </c>
      <c r="D15" s="115">
        <v>327</v>
      </c>
      <c r="E15" s="116">
        <v>1966.00395</v>
      </c>
      <c r="F15" s="115">
        <v>21004.323560000008</v>
      </c>
      <c r="G15" s="118">
        <f>E15/$E$19</f>
        <v>0.11338284193830295</v>
      </c>
      <c r="H15" s="118">
        <f>(E15-I15)/I15</f>
        <v>-0.2540363033696823</v>
      </c>
      <c r="I15" s="119">
        <v>2635.5222899999999</v>
      </c>
      <c r="J15" s="134">
        <v>28076.798590000013</v>
      </c>
      <c r="K15" s="469">
        <f>I15/$I$19</f>
        <v>0.12193751546304291</v>
      </c>
      <c r="L15" s="239"/>
      <c r="M15" s="238"/>
    </row>
    <row r="16" spans="1:16" ht="11.1" customHeight="1">
      <c r="A16" s="656"/>
      <c r="B16" s="657"/>
      <c r="C16" s="403" t="s">
        <v>6</v>
      </c>
      <c r="D16" s="115">
        <v>10890</v>
      </c>
      <c r="E16" s="116">
        <v>2630.1308599999998</v>
      </c>
      <c r="F16" s="115">
        <v>28099.624390000001</v>
      </c>
      <c r="G16" s="118">
        <f>E16/$E$19</f>
        <v>0.15168418739770731</v>
      </c>
      <c r="H16" s="118">
        <f t="shared" ref="H16:H19" si="1">(E16-I16)/I16</f>
        <v>-0.27739251374789886</v>
      </c>
      <c r="I16" s="119">
        <v>3639.7780400000001</v>
      </c>
      <c r="J16" s="134">
        <v>38773.57804</v>
      </c>
      <c r="K16" s="469">
        <f>I16/$I$19</f>
        <v>0.16840134220019973</v>
      </c>
      <c r="L16" s="238"/>
      <c r="M16" s="238"/>
      <c r="N16" s="238"/>
      <c r="O16" s="238"/>
    </row>
    <row r="17" spans="1:20" ht="11.1" customHeight="1">
      <c r="A17" s="656"/>
      <c r="B17" s="657"/>
      <c r="C17" s="403" t="s">
        <v>7</v>
      </c>
      <c r="D17" s="115">
        <v>108744</v>
      </c>
      <c r="E17" s="116">
        <v>4817.2058400000005</v>
      </c>
      <c r="F17" s="115">
        <v>51466.399839999998</v>
      </c>
      <c r="G17" s="118">
        <f>E17/$E$19</f>
        <v>0.27781657729680043</v>
      </c>
      <c r="H17" s="118">
        <f t="shared" si="1"/>
        <v>-0.18278717218718196</v>
      </c>
      <c r="I17" s="119">
        <v>5894.6772199999996</v>
      </c>
      <c r="J17" s="134">
        <v>62785.05042</v>
      </c>
      <c r="K17" s="469">
        <f>I17/$I$19</f>
        <v>0.27272859629785062</v>
      </c>
      <c r="L17" s="238"/>
      <c r="M17" s="238"/>
      <c r="N17" s="238"/>
      <c r="O17" s="238"/>
    </row>
    <row r="18" spans="1:20" ht="11.1" customHeight="1">
      <c r="A18" s="656"/>
      <c r="B18" s="657"/>
      <c r="C18" s="403" t="s">
        <v>112</v>
      </c>
      <c r="D18" s="115">
        <v>15</v>
      </c>
      <c r="E18" s="116">
        <v>171.73099999999999</v>
      </c>
      <c r="F18" s="115">
        <v>1834.6714400000001</v>
      </c>
      <c r="G18" s="118">
        <f>E18/$E$19</f>
        <v>9.9040232492445916E-3</v>
      </c>
      <c r="H18" s="118">
        <f t="shared" si="1"/>
        <v>-0.12696169390711975</v>
      </c>
      <c r="I18" s="119">
        <v>196.70499999999998</v>
      </c>
      <c r="J18" s="134">
        <v>2096.3216899999998</v>
      </c>
      <c r="K18" s="469">
        <f>I18/$I$19</f>
        <v>9.1009357310948245E-3</v>
      </c>
      <c r="L18" s="238"/>
      <c r="M18" s="238"/>
      <c r="N18" s="238"/>
      <c r="O18" s="238"/>
    </row>
    <row r="19" spans="1:20" ht="11.1" customHeight="1">
      <c r="A19" s="656"/>
      <c r="B19" s="657"/>
      <c r="C19" s="365" t="s">
        <v>0</v>
      </c>
      <c r="D19" s="366">
        <v>120072</v>
      </c>
      <c r="E19" s="367">
        <v>17339.519070000002</v>
      </c>
      <c r="F19" s="366">
        <v>185252.19768000001</v>
      </c>
      <c r="G19" s="370">
        <f>SUM(G14:G18)</f>
        <v>0.99999999999999989</v>
      </c>
      <c r="H19" s="370">
        <f t="shared" si="1"/>
        <v>-0.1977537497055839</v>
      </c>
      <c r="I19" s="371">
        <v>21613.711580000003</v>
      </c>
      <c r="J19" s="382">
        <v>230229.84647000005</v>
      </c>
      <c r="K19" s="470">
        <f>SUM(K14:K18)</f>
        <v>1</v>
      </c>
      <c r="L19" s="238"/>
      <c r="M19" s="238"/>
      <c r="N19" s="238"/>
      <c r="O19" s="238"/>
    </row>
    <row r="20" spans="1:20" ht="11.1" customHeight="1">
      <c r="A20" s="656" t="str">
        <f>'3.1'!F6</f>
        <v>Červen</v>
      </c>
      <c r="B20" s="657"/>
      <c r="C20" s="402" t="s">
        <v>4</v>
      </c>
      <c r="D20" s="120">
        <v>96</v>
      </c>
      <c r="E20" s="270">
        <v>7373.5739800000001</v>
      </c>
      <c r="F20" s="120">
        <v>78955.040229999999</v>
      </c>
      <c r="G20" s="122">
        <f>E20/$E$25</f>
        <v>0.6040884025806067</v>
      </c>
      <c r="H20" s="122">
        <f>(E20-I20)/I20</f>
        <v>3.7279694522359137E-2</v>
      </c>
      <c r="I20" s="543">
        <v>7108.5687099999996</v>
      </c>
      <c r="J20" s="135">
        <v>75849.759629999986</v>
      </c>
      <c r="K20" s="468">
        <f>I20/$I$25</f>
        <v>0.66215326492202264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1.1" customHeight="1">
      <c r="A21" s="656"/>
      <c r="B21" s="657"/>
      <c r="C21" s="403" t="s">
        <v>5</v>
      </c>
      <c r="D21" s="115">
        <v>328</v>
      </c>
      <c r="E21" s="116">
        <v>1378.9346499999999</v>
      </c>
      <c r="F21" s="115">
        <v>14762.712140000003</v>
      </c>
      <c r="G21" s="118">
        <f>E21/$E$25</f>
        <v>0.11297078353603877</v>
      </c>
      <c r="H21" s="118">
        <f t="shared" ref="H21:H25" si="2">(E21-I21)/I21</f>
        <v>0.10594350980258872</v>
      </c>
      <c r="I21" s="119">
        <v>1246.8400399999998</v>
      </c>
      <c r="J21" s="134">
        <v>13304.355210000005</v>
      </c>
      <c r="K21" s="469">
        <f>I21/$I$25</f>
        <v>0.11614141144336006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1.1" customHeight="1">
      <c r="A22" s="656"/>
      <c r="B22" s="657"/>
      <c r="C22" s="403" t="s">
        <v>6</v>
      </c>
      <c r="D22" s="115">
        <v>10883</v>
      </c>
      <c r="E22" s="116">
        <v>1133.69902</v>
      </c>
      <c r="F22" s="115">
        <v>12138.525589999999</v>
      </c>
      <c r="G22" s="118">
        <f>E22/$E$25</f>
        <v>9.2879576695994476E-2</v>
      </c>
      <c r="H22" s="118">
        <f t="shared" si="2"/>
        <v>0.43056942882980365</v>
      </c>
      <c r="I22" s="119">
        <v>792.48094999999989</v>
      </c>
      <c r="J22" s="134">
        <v>8456.2447499999998</v>
      </c>
      <c r="K22" s="469">
        <f>I22/$I$25</f>
        <v>7.3818495654803362E-2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11.1" customHeight="1">
      <c r="A23" s="656"/>
      <c r="B23" s="657"/>
      <c r="C23" s="403" t="s">
        <v>7</v>
      </c>
      <c r="D23" s="115">
        <v>108726</v>
      </c>
      <c r="E23" s="116">
        <v>2128.25578</v>
      </c>
      <c r="F23" s="115">
        <v>22790.651890000001</v>
      </c>
      <c r="G23" s="118">
        <f>E23/$E$25</f>
        <v>0.17435976609312367</v>
      </c>
      <c r="H23" s="118">
        <f t="shared" si="2"/>
        <v>0.52641480086378112</v>
      </c>
      <c r="I23" s="119">
        <v>1394.2840299999998</v>
      </c>
      <c r="J23" s="134">
        <v>14877.235850000001</v>
      </c>
      <c r="K23" s="469">
        <f>I23/$I$25</f>
        <v>0.12987561355275068</v>
      </c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1.1" customHeight="1">
      <c r="A24" s="656"/>
      <c r="B24" s="657"/>
      <c r="C24" s="403" t="s">
        <v>112</v>
      </c>
      <c r="D24" s="115">
        <v>14</v>
      </c>
      <c r="E24" s="116">
        <v>191.654</v>
      </c>
      <c r="F24" s="115">
        <v>2051.3431499999997</v>
      </c>
      <c r="G24" s="118">
        <f>E24/$E$25</f>
        <v>1.5701471094236391E-2</v>
      </c>
      <c r="H24" s="118">
        <f t="shared" si="2"/>
        <v>-8.8229209764169887E-3</v>
      </c>
      <c r="I24" s="119">
        <v>193.35999999999999</v>
      </c>
      <c r="J24" s="134">
        <v>2063.56889</v>
      </c>
      <c r="K24" s="469">
        <f>I24/$I$25</f>
        <v>1.8011214427063237E-2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pans="1:20" ht="11.1" customHeight="1">
      <c r="A25" s="656"/>
      <c r="B25" s="657"/>
      <c r="C25" s="365" t="s">
        <v>0</v>
      </c>
      <c r="D25" s="366">
        <v>120047</v>
      </c>
      <c r="E25" s="367">
        <v>12206.11743</v>
      </c>
      <c r="F25" s="366">
        <v>130698.27300000002</v>
      </c>
      <c r="G25" s="370">
        <f>SUM(G20:G24)</f>
        <v>0.99999999999999989</v>
      </c>
      <c r="H25" s="370">
        <f t="shared" si="2"/>
        <v>0.13698282144002924</v>
      </c>
      <c r="I25" s="371">
        <v>10735.533729999999</v>
      </c>
      <c r="J25" s="382">
        <v>114551.16432999999</v>
      </c>
      <c r="K25" s="470">
        <f>SUM(K20:K24)</f>
        <v>1</v>
      </c>
    </row>
    <row r="26" spans="1:20" ht="11.1" customHeight="1">
      <c r="A26" s="658" t="str">
        <f>'3.1'!G6</f>
        <v>II. čtvrtletí</v>
      </c>
      <c r="B26" s="659"/>
      <c r="C26" s="403" t="s">
        <v>4</v>
      </c>
      <c r="D26" s="115">
        <f>D20</f>
        <v>96</v>
      </c>
      <c r="E26" s="116">
        <f>E8+E14+E20</f>
        <v>23641.654399999999</v>
      </c>
      <c r="F26" s="115">
        <f>F8+F14+F20</f>
        <v>252721.12070000003</v>
      </c>
      <c r="G26" s="118">
        <f>E26/$E$31</f>
        <v>0.45760616231864137</v>
      </c>
      <c r="H26" s="118">
        <f>(E26-I26)/I26</f>
        <v>-9.4758297468257563E-2</v>
      </c>
      <c r="I26" s="119">
        <f>I8+I14+I20</f>
        <v>26116.400000000001</v>
      </c>
      <c r="J26" s="134">
        <f>J8+J14+J20</f>
        <v>278532.84668000002</v>
      </c>
      <c r="K26" s="469">
        <f>I26/$I$31</f>
        <v>0.46467538915747159</v>
      </c>
    </row>
    <row r="27" spans="1:20" ht="11.1" customHeight="1">
      <c r="A27" s="656"/>
      <c r="B27" s="657"/>
      <c r="C27" s="403" t="s">
        <v>5</v>
      </c>
      <c r="D27" s="115">
        <f>D21</f>
        <v>328</v>
      </c>
      <c r="E27" s="116">
        <f t="shared" ref="E27:F30" si="3">E9+E15+E21</f>
        <v>5965.7600199999997</v>
      </c>
      <c r="F27" s="115">
        <f t="shared" si="3"/>
        <v>63755.138370000001</v>
      </c>
      <c r="G27" s="118">
        <f>E27/$E$31</f>
        <v>0.11547282190480634</v>
      </c>
      <c r="H27" s="118">
        <f t="shared" ref="H27:H30" si="4">(E27-I27)/I27</f>
        <v>-0.12753936784888309</v>
      </c>
      <c r="I27" s="119">
        <f t="shared" ref="I27:J27" si="5">I9+I15+I21</f>
        <v>6837.8558299999995</v>
      </c>
      <c r="J27" s="134">
        <f t="shared" si="5"/>
        <v>72929.23927000002</v>
      </c>
      <c r="K27" s="469">
        <f>I27/$I$31</f>
        <v>0.12166237761743331</v>
      </c>
    </row>
    <row r="28" spans="1:20" ht="11.1" customHeight="1">
      <c r="A28" s="656"/>
      <c r="B28" s="657"/>
      <c r="C28" s="403" t="s">
        <v>6</v>
      </c>
      <c r="D28" s="115">
        <f>D22</f>
        <v>10883</v>
      </c>
      <c r="E28" s="116">
        <f t="shared" si="3"/>
        <v>7759.8888200000001</v>
      </c>
      <c r="F28" s="115">
        <f t="shared" si="3"/>
        <v>82912.734390000012</v>
      </c>
      <c r="G28" s="118">
        <f>E28/$E$31</f>
        <v>0.15019984992841834</v>
      </c>
      <c r="H28" s="118">
        <f t="shared" si="4"/>
        <v>-9.5999275474977025E-2</v>
      </c>
      <c r="I28" s="119">
        <f t="shared" ref="I28:J28" si="6">I10+I16+I22</f>
        <v>8583.9409300000007</v>
      </c>
      <c r="J28" s="134">
        <f t="shared" si="6"/>
        <v>91587.286999999997</v>
      </c>
      <c r="K28" s="469">
        <f>I28/$I$31</f>
        <v>0.15272955277727784</v>
      </c>
    </row>
    <row r="29" spans="1:20" ht="11.1" customHeight="1">
      <c r="A29" s="656"/>
      <c r="B29" s="657"/>
      <c r="C29" s="403" t="s">
        <v>7</v>
      </c>
      <c r="D29" s="115">
        <f>D23</f>
        <v>108726</v>
      </c>
      <c r="E29" s="116">
        <f t="shared" si="3"/>
        <v>13782.28757</v>
      </c>
      <c r="F29" s="115">
        <f t="shared" si="3"/>
        <v>147268.98193000001</v>
      </c>
      <c r="G29" s="118">
        <f>E29/$E$31</f>
        <v>0.26676896701779101</v>
      </c>
      <c r="H29" s="118">
        <f t="shared" si="4"/>
        <v>-2.2393319020709755E-2</v>
      </c>
      <c r="I29" s="119">
        <f t="shared" ref="I29:J29" si="7">I11+I17+I23</f>
        <v>14097.98832</v>
      </c>
      <c r="J29" s="134">
        <f t="shared" si="7"/>
        <v>150398.96730000002</v>
      </c>
      <c r="K29" s="469">
        <f>I29/$I$31</f>
        <v>0.25083810207124602</v>
      </c>
    </row>
    <row r="30" spans="1:20" ht="11.1" customHeight="1">
      <c r="A30" s="656"/>
      <c r="B30" s="657"/>
      <c r="C30" s="403" t="s">
        <v>112</v>
      </c>
      <c r="D30" s="115">
        <f>D24</f>
        <v>14</v>
      </c>
      <c r="E30" s="116">
        <f>E12+E18+E24</f>
        <v>514.16800000000001</v>
      </c>
      <c r="F30" s="115">
        <f t="shared" si="3"/>
        <v>5496.2611299999999</v>
      </c>
      <c r="G30" s="118">
        <f>E30/$E$31</f>
        <v>9.9521988303429062E-3</v>
      </c>
      <c r="H30" s="118">
        <f t="shared" si="4"/>
        <v>-9.3739149133428859E-2</v>
      </c>
      <c r="I30" s="119">
        <f>I12+I18+I24</f>
        <v>567.351</v>
      </c>
      <c r="J30" s="134">
        <f t="shared" ref="J30" si="8">J12+J18+J24</f>
        <v>6179.4499400000004</v>
      </c>
      <c r="K30" s="469">
        <f>I30/$I$31</f>
        <v>1.0094578376571068E-2</v>
      </c>
    </row>
    <row r="31" spans="1:20" ht="11.1" customHeight="1">
      <c r="A31" s="656"/>
      <c r="B31" s="657"/>
      <c r="C31" s="365" t="s">
        <v>0</v>
      </c>
      <c r="D31" s="366">
        <f>SUM(D26:D30)</f>
        <v>120047</v>
      </c>
      <c r="E31" s="367">
        <f>SUM(E26:E30)</f>
        <v>51663.758809999999</v>
      </c>
      <c r="F31" s="366">
        <f>SUM(F26:F30)</f>
        <v>552154.23652000003</v>
      </c>
      <c r="G31" s="370">
        <f>SUM(G26:G30)</f>
        <v>1</v>
      </c>
      <c r="H31" s="370">
        <f>(E31-I31)/I31</f>
        <v>-8.0773872724628965E-2</v>
      </c>
      <c r="I31" s="371">
        <f>SUM(I26:I30)</f>
        <v>56203.536080000013</v>
      </c>
      <c r="J31" s="382">
        <f>SUM(J26:J30)</f>
        <v>599627.79019000009</v>
      </c>
      <c r="K31" s="470">
        <f>SUM(K26:K30)</f>
        <v>0.99999999999999978</v>
      </c>
    </row>
    <row r="32" spans="1:20" ht="9.9499999999999993" customHeight="1">
      <c r="A32" s="136"/>
      <c r="B32" s="137"/>
      <c r="C32" s="138"/>
      <c r="D32" s="105"/>
      <c r="E32" s="105"/>
      <c r="F32" s="105"/>
      <c r="G32" s="139"/>
      <c r="H32" s="140"/>
      <c r="I32" s="141"/>
      <c r="J32" s="141"/>
      <c r="K32" s="142"/>
    </row>
    <row r="33" spans="1:11" ht="12.95" customHeight="1">
      <c r="A33" s="709" t="s">
        <v>51</v>
      </c>
      <c r="B33" s="710"/>
      <c r="C33" s="710"/>
      <c r="D33" s="711"/>
      <c r="E33" s="331"/>
      <c r="F33" s="331"/>
      <c r="G33" s="332"/>
      <c r="H33" s="322"/>
      <c r="I33" s="333"/>
      <c r="J33" s="333"/>
      <c r="K33" s="471"/>
    </row>
    <row r="34" spans="1:11" ht="24.95" customHeight="1">
      <c r="A34" s="467"/>
      <c r="B34" s="325"/>
      <c r="C34" s="334"/>
      <c r="D34" s="335"/>
      <c r="E34" s="668">
        <f>'3.1'!D4</f>
        <v>2020</v>
      </c>
      <c r="F34" s="678"/>
      <c r="G34" s="679"/>
      <c r="H34" s="336"/>
      <c r="I34" s="671">
        <f>E34-1</f>
        <v>2019</v>
      </c>
      <c r="J34" s="680"/>
      <c r="K34" s="680"/>
    </row>
    <row r="35" spans="1:11" ht="24.95" customHeight="1">
      <c r="A35" s="467"/>
      <c r="B35" s="325"/>
      <c r="C35" s="326"/>
      <c r="D35" s="327"/>
      <c r="E35" s="663" t="s">
        <v>67</v>
      </c>
      <c r="F35" s="664"/>
      <c r="G35" s="712" t="s">
        <v>37</v>
      </c>
      <c r="H35" s="705" t="s">
        <v>299</v>
      </c>
      <c r="I35" s="661" t="s">
        <v>67</v>
      </c>
      <c r="J35" s="707"/>
      <c r="K35" s="676" t="s">
        <v>37</v>
      </c>
    </row>
    <row r="36" spans="1:11" ht="24.95" customHeight="1">
      <c r="A36" s="467"/>
      <c r="B36" s="328"/>
      <c r="C36" s="328"/>
      <c r="D36" s="689" t="s">
        <v>226</v>
      </c>
      <c r="E36" s="663"/>
      <c r="F36" s="665"/>
      <c r="G36" s="646"/>
      <c r="H36" s="705"/>
      <c r="I36" s="661"/>
      <c r="J36" s="708"/>
      <c r="K36" s="677"/>
    </row>
    <row r="37" spans="1:11" ht="15" customHeight="1">
      <c r="A37" s="704" t="s">
        <v>225</v>
      </c>
      <c r="B37" s="704"/>
      <c r="C37" s="407" t="s">
        <v>252</v>
      </c>
      <c r="D37" s="690"/>
      <c r="E37" s="406" t="s">
        <v>294</v>
      </c>
      <c r="F37" s="404" t="s">
        <v>289</v>
      </c>
      <c r="G37" s="405" t="s">
        <v>295</v>
      </c>
      <c r="H37" s="706"/>
      <c r="I37" s="329" t="s">
        <v>296</v>
      </c>
      <c r="J37" s="330" t="s">
        <v>289</v>
      </c>
      <c r="K37" s="329" t="s">
        <v>295</v>
      </c>
    </row>
    <row r="38" spans="1:11" ht="11.1" customHeight="1">
      <c r="A38" s="650" t="str">
        <f>'3.1'!D6</f>
        <v>Duben</v>
      </c>
      <c r="B38" s="651"/>
      <c r="C38" s="403" t="s">
        <v>4</v>
      </c>
      <c r="D38" s="120">
        <v>73</v>
      </c>
      <c r="E38" s="116">
        <v>10568.064999999999</v>
      </c>
      <c r="F38" s="120">
        <v>112857.28844999999</v>
      </c>
      <c r="G38" s="122">
        <f>E38/$E$43</f>
        <v>0.38538074712643677</v>
      </c>
      <c r="H38" s="122">
        <f>(E38-I38)/I38</f>
        <v>-0.11628683875051699</v>
      </c>
      <c r="I38" s="119">
        <v>11958.705</v>
      </c>
      <c r="J38" s="135">
        <v>127673.64611</v>
      </c>
      <c r="K38" s="468">
        <f>I38/$I$43</f>
        <v>0.4105936742499674</v>
      </c>
    </row>
    <row r="39" spans="1:11" ht="11.1" customHeight="1">
      <c r="A39" s="652"/>
      <c r="B39" s="653"/>
      <c r="C39" s="403" t="s">
        <v>5</v>
      </c>
      <c r="D39" s="115">
        <v>321</v>
      </c>
      <c r="E39" s="116">
        <v>2300.0739999999996</v>
      </c>
      <c r="F39" s="115">
        <v>24563.055710000001</v>
      </c>
      <c r="G39" s="118">
        <f t="shared" ref="G39" si="9">E39/$E$43</f>
        <v>8.3875736624073743E-2</v>
      </c>
      <c r="H39" s="118">
        <f>(E39-I39)/I39</f>
        <v>-7.8504854119992723E-2</v>
      </c>
      <c r="I39" s="119">
        <v>2496.0240000000003</v>
      </c>
      <c r="J39" s="134">
        <v>26644.211179999998</v>
      </c>
      <c r="K39" s="469">
        <f t="shared" ref="K39:K42" si="10">I39/$I$43</f>
        <v>8.5699217864819044E-2</v>
      </c>
    </row>
    <row r="40" spans="1:11" ht="11.1" customHeight="1">
      <c r="A40" s="652"/>
      <c r="B40" s="653"/>
      <c r="C40" s="403" t="s">
        <v>6</v>
      </c>
      <c r="D40" s="115">
        <v>10811</v>
      </c>
      <c r="E40" s="116">
        <v>4572.1940000000004</v>
      </c>
      <c r="F40" s="115">
        <v>48826.828880000001</v>
      </c>
      <c r="G40" s="118">
        <f>E40/$E$43</f>
        <v>0.16673208763638489</v>
      </c>
      <c r="H40" s="118">
        <f t="shared" ref="H40:H42" si="11">(E40-I40)/I40</f>
        <v>-3.5311542961311553E-2</v>
      </c>
      <c r="I40" s="119">
        <v>4739.5549999999994</v>
      </c>
      <c r="J40" s="134">
        <v>50612.074230000006</v>
      </c>
      <c r="K40" s="469">
        <f t="shared" si="10"/>
        <v>0.16272926723753151</v>
      </c>
    </row>
    <row r="41" spans="1:11" ht="11.1" customHeight="1">
      <c r="A41" s="652"/>
      <c r="B41" s="653"/>
      <c r="C41" s="403" t="s">
        <v>7</v>
      </c>
      <c r="D41" s="115">
        <v>146207</v>
      </c>
      <c r="E41" s="116">
        <v>9836.7999999999993</v>
      </c>
      <c r="F41" s="115">
        <v>105048.4</v>
      </c>
      <c r="G41" s="118">
        <f>E41/$E$43</f>
        <v>0.35871404399323181</v>
      </c>
      <c r="H41" s="118">
        <f t="shared" si="11"/>
        <v>5.951772237334476E-3</v>
      </c>
      <c r="I41" s="119">
        <v>9778.6</v>
      </c>
      <c r="J41" s="134">
        <v>104422.3</v>
      </c>
      <c r="K41" s="469">
        <f t="shared" si="10"/>
        <v>0.33574131170730709</v>
      </c>
    </row>
    <row r="42" spans="1:11" ht="11.1" customHeight="1">
      <c r="A42" s="652"/>
      <c r="B42" s="653"/>
      <c r="C42" s="403" t="s">
        <v>112</v>
      </c>
      <c r="D42" s="115">
        <v>11</v>
      </c>
      <c r="E42" s="116">
        <v>145.267</v>
      </c>
      <c r="F42" s="115">
        <v>1551.3138800000002</v>
      </c>
      <c r="G42" s="118">
        <f>E42/$E$43</f>
        <v>5.2973846198728046E-3</v>
      </c>
      <c r="H42" s="118">
        <f t="shared" si="11"/>
        <v>-4.7529439534212778E-2</v>
      </c>
      <c r="I42" s="119">
        <v>152.51599999999999</v>
      </c>
      <c r="J42" s="134">
        <v>1667.6717800000004</v>
      </c>
      <c r="K42" s="469">
        <f t="shared" si="10"/>
        <v>5.2365289403750676E-3</v>
      </c>
    </row>
    <row r="43" spans="1:11" ht="11.1" customHeight="1">
      <c r="A43" s="654"/>
      <c r="B43" s="655"/>
      <c r="C43" s="365" t="s">
        <v>0</v>
      </c>
      <c r="D43" s="366">
        <v>157423</v>
      </c>
      <c r="E43" s="367">
        <v>27422.399999999998</v>
      </c>
      <c r="F43" s="366">
        <v>292846.8869199999</v>
      </c>
      <c r="G43" s="370">
        <f>SUM(G38:G42)</f>
        <v>1</v>
      </c>
      <c r="H43" s="370">
        <f>(E43-I43)/I43</f>
        <v>-5.8471299964979025E-2</v>
      </c>
      <c r="I43" s="371">
        <v>29125.399999999998</v>
      </c>
      <c r="J43" s="382">
        <v>311019.90330000001</v>
      </c>
      <c r="K43" s="470">
        <f>SUM(K38:K42)</f>
        <v>1.0000000000000002</v>
      </c>
    </row>
    <row r="44" spans="1:11" ht="11.1" customHeight="1">
      <c r="A44" s="650" t="str">
        <f>'3.1'!E6</f>
        <v>Květen</v>
      </c>
      <c r="B44" s="651"/>
      <c r="C44" s="403" t="s">
        <v>4</v>
      </c>
      <c r="D44" s="120">
        <v>73</v>
      </c>
      <c r="E44" s="116">
        <v>13481.655000000001</v>
      </c>
      <c r="F44" s="120">
        <v>144040.34664</v>
      </c>
      <c r="G44" s="122">
        <f>E44/$E$49</f>
        <v>0.52862394278387503</v>
      </c>
      <c r="H44" s="122">
        <f>(E44-I44)/I44</f>
        <v>0.15209249175731163</v>
      </c>
      <c r="I44" s="119">
        <v>11701.886</v>
      </c>
      <c r="J44" s="135">
        <v>124599.2497</v>
      </c>
      <c r="K44" s="468">
        <f>I44/$I$49</f>
        <v>0.43851759970920101</v>
      </c>
    </row>
    <row r="45" spans="1:11" ht="11.1" customHeight="1">
      <c r="A45" s="652"/>
      <c r="B45" s="653"/>
      <c r="C45" s="403" t="s">
        <v>5</v>
      </c>
      <c r="D45" s="115">
        <v>322</v>
      </c>
      <c r="E45" s="116">
        <v>1956.0129999999999</v>
      </c>
      <c r="F45" s="115">
        <v>20897.961739999988</v>
      </c>
      <c r="G45" s="118">
        <f t="shared" ref="G45:G48" si="12">E45/$E$49</f>
        <v>7.6696466731756271E-2</v>
      </c>
      <c r="H45" s="118">
        <f>(E45-I45)/I45</f>
        <v>-0.1205879073548216</v>
      </c>
      <c r="I45" s="119">
        <v>2224.2280000000001</v>
      </c>
      <c r="J45" s="134">
        <v>23683.013249999993</v>
      </c>
      <c r="K45" s="469">
        <f t="shared" ref="K45:K48" si="13">I45/$I$49</f>
        <v>8.3350933667102611E-2</v>
      </c>
    </row>
    <row r="46" spans="1:11" ht="11.1" customHeight="1">
      <c r="A46" s="652"/>
      <c r="B46" s="653"/>
      <c r="C46" s="403" t="s">
        <v>6</v>
      </c>
      <c r="D46" s="115">
        <v>10807</v>
      </c>
      <c r="E46" s="116">
        <v>2973.77</v>
      </c>
      <c r="F46" s="115">
        <v>31771.697270000001</v>
      </c>
      <c r="G46" s="118">
        <f t="shared" si="12"/>
        <v>0.11660334152835122</v>
      </c>
      <c r="H46" s="118">
        <f t="shared" ref="H46:H48" si="14">(E46-I46)/I46</f>
        <v>-0.28280469652140611</v>
      </c>
      <c r="I46" s="119">
        <v>4146.3879999999999</v>
      </c>
      <c r="J46" s="134">
        <v>44149.726369999997</v>
      </c>
      <c r="K46" s="469">
        <f t="shared" si="13"/>
        <v>0.15538214209427731</v>
      </c>
    </row>
    <row r="47" spans="1:11" ht="11.1" customHeight="1">
      <c r="A47" s="652"/>
      <c r="B47" s="653"/>
      <c r="C47" s="403" t="s">
        <v>7</v>
      </c>
      <c r="D47" s="115">
        <v>146147</v>
      </c>
      <c r="E47" s="116">
        <v>6921.3</v>
      </c>
      <c r="F47" s="115">
        <v>73947.899999999994</v>
      </c>
      <c r="G47" s="118">
        <f t="shared" si="12"/>
        <v>0.27138840855889235</v>
      </c>
      <c r="H47" s="118">
        <f t="shared" si="14"/>
        <v>-0.18022243541910948</v>
      </c>
      <c r="I47" s="119">
        <v>8442.9</v>
      </c>
      <c r="J47" s="134">
        <v>89898</v>
      </c>
      <c r="K47" s="469">
        <f t="shared" si="13"/>
        <v>0.31639004538113025</v>
      </c>
    </row>
    <row r="48" spans="1:11" ht="11.1" customHeight="1">
      <c r="A48" s="652"/>
      <c r="B48" s="653"/>
      <c r="C48" s="403" t="s">
        <v>112</v>
      </c>
      <c r="D48" s="115">
        <v>11</v>
      </c>
      <c r="E48" s="116">
        <v>170.56200000000001</v>
      </c>
      <c r="F48" s="115">
        <v>1822.3154999999997</v>
      </c>
      <c r="G48" s="118">
        <f t="shared" si="12"/>
        <v>6.6878403971250781E-3</v>
      </c>
      <c r="H48" s="118">
        <f t="shared" si="14"/>
        <v>5.0913976593713788E-3</v>
      </c>
      <c r="I48" s="119">
        <v>169.69800000000001</v>
      </c>
      <c r="J48" s="134">
        <v>1806.90598</v>
      </c>
      <c r="K48" s="469">
        <f t="shared" si="13"/>
        <v>6.3592791482887448E-3</v>
      </c>
    </row>
    <row r="49" spans="1:11" ht="11.1" customHeight="1">
      <c r="A49" s="654"/>
      <c r="B49" s="655"/>
      <c r="C49" s="365" t="s">
        <v>0</v>
      </c>
      <c r="D49" s="366">
        <v>157360</v>
      </c>
      <c r="E49" s="367">
        <v>25503.300000000003</v>
      </c>
      <c r="F49" s="366">
        <v>272480.22115</v>
      </c>
      <c r="G49" s="370">
        <f>SUM(G44:G48)</f>
        <v>0.99999999999999989</v>
      </c>
      <c r="H49" s="370">
        <f t="shared" ref="H49" si="15">(E49-I49)/I49</f>
        <v>-4.4286886689575797E-2</v>
      </c>
      <c r="I49" s="371">
        <v>26685.100000000002</v>
      </c>
      <c r="J49" s="382">
        <v>284136.89529999997</v>
      </c>
      <c r="K49" s="470">
        <f>SUM(K44:K48)</f>
        <v>0.99999999999999989</v>
      </c>
    </row>
    <row r="50" spans="1:11" ht="11.1" customHeight="1">
      <c r="A50" s="656" t="str">
        <f>'3.1'!F6</f>
        <v>Červen</v>
      </c>
      <c r="B50" s="657"/>
      <c r="C50" s="402" t="s">
        <v>4</v>
      </c>
      <c r="D50" s="120">
        <v>73</v>
      </c>
      <c r="E50" s="270">
        <v>13506.561000000002</v>
      </c>
      <c r="F50" s="120">
        <v>144671.69803999996</v>
      </c>
      <c r="G50" s="122">
        <f>E50/$E$55</f>
        <v>0.69993786534554958</v>
      </c>
      <c r="H50" s="122">
        <f>(E50-I50)/I50</f>
        <v>0.38073951446726151</v>
      </c>
      <c r="I50" s="543">
        <v>9782.1209999999992</v>
      </c>
      <c r="J50" s="135">
        <v>104358.4748</v>
      </c>
      <c r="K50" s="468">
        <f>I50/$I$55</f>
        <v>0.70109664148617468</v>
      </c>
    </row>
    <row r="51" spans="1:11" ht="11.1" customHeight="1">
      <c r="A51" s="656"/>
      <c r="B51" s="657"/>
      <c r="C51" s="403" t="s">
        <v>5</v>
      </c>
      <c r="D51" s="115">
        <v>322</v>
      </c>
      <c r="E51" s="116">
        <v>1288.346</v>
      </c>
      <c r="F51" s="115">
        <v>13799.351809999998</v>
      </c>
      <c r="G51" s="118">
        <f t="shared" ref="G51:G54" si="16">E51/$E$55</f>
        <v>6.6764748559346623E-2</v>
      </c>
      <c r="H51" s="118">
        <f t="shared" ref="H51:H54" si="17">(E51-I51)/I51</f>
        <v>9.3451407949836904E-2</v>
      </c>
      <c r="I51" s="119">
        <v>1178.2380000000001</v>
      </c>
      <c r="J51" s="134">
        <v>12569.496039999996</v>
      </c>
      <c r="K51" s="469">
        <f t="shared" ref="K51:K54" si="18">I51/$I$55</f>
        <v>8.4445766380459586E-2</v>
      </c>
    </row>
    <row r="52" spans="1:11" ht="11.1" customHeight="1">
      <c r="A52" s="656"/>
      <c r="B52" s="657"/>
      <c r="C52" s="403" t="s">
        <v>6</v>
      </c>
      <c r="D52" s="115">
        <v>10806</v>
      </c>
      <c r="E52" s="116">
        <v>1265.576</v>
      </c>
      <c r="F52" s="115">
        <v>13555.963400000001</v>
      </c>
      <c r="G52" s="118">
        <f t="shared" si="16"/>
        <v>6.5584760167488917E-2</v>
      </c>
      <c r="H52" s="118">
        <f t="shared" si="17"/>
        <v>0.46508039225446762</v>
      </c>
      <c r="I52" s="119">
        <v>863.827</v>
      </c>
      <c r="J52" s="134">
        <v>9215.3186999999998</v>
      </c>
      <c r="K52" s="469">
        <f t="shared" si="18"/>
        <v>6.1911543368261129E-2</v>
      </c>
    </row>
    <row r="53" spans="1:11" ht="10.5" customHeight="1">
      <c r="A53" s="656"/>
      <c r="B53" s="657"/>
      <c r="C53" s="403" t="s">
        <v>7</v>
      </c>
      <c r="D53" s="115">
        <v>146112</v>
      </c>
      <c r="E53" s="116">
        <v>3041.8</v>
      </c>
      <c r="F53" s="115">
        <v>32581.4</v>
      </c>
      <c r="G53" s="118">
        <f t="shared" si="16"/>
        <v>0.15763235355084781</v>
      </c>
      <c r="H53" s="118">
        <f t="shared" si="17"/>
        <v>0.54972488282046073</v>
      </c>
      <c r="I53" s="119">
        <v>1962.8</v>
      </c>
      <c r="J53" s="134">
        <v>20939.599999999999</v>
      </c>
      <c r="K53" s="469">
        <f t="shared" si="18"/>
        <v>0.1406762897237791</v>
      </c>
    </row>
    <row r="54" spans="1:11" ht="11.1" customHeight="1">
      <c r="A54" s="656"/>
      <c r="B54" s="657"/>
      <c r="C54" s="403" t="s">
        <v>112</v>
      </c>
      <c r="D54" s="115">
        <v>11</v>
      </c>
      <c r="E54" s="116">
        <v>194.517</v>
      </c>
      <c r="F54" s="115">
        <v>2083.5067200000003</v>
      </c>
      <c r="G54" s="118">
        <f t="shared" si="16"/>
        <v>1.0080272376767133E-2</v>
      </c>
      <c r="H54" s="118">
        <f t="shared" si="17"/>
        <v>0.17452027002548087</v>
      </c>
      <c r="I54" s="119">
        <v>165.614</v>
      </c>
      <c r="J54" s="134">
        <v>1766.82348</v>
      </c>
      <c r="K54" s="469">
        <f t="shared" si="18"/>
        <v>1.1869759041325634E-2</v>
      </c>
    </row>
    <row r="55" spans="1:11" ht="11.1" customHeight="1">
      <c r="A55" s="656"/>
      <c r="B55" s="657"/>
      <c r="C55" s="365" t="s">
        <v>0</v>
      </c>
      <c r="D55" s="366">
        <v>157324</v>
      </c>
      <c r="E55" s="367">
        <v>19296.8</v>
      </c>
      <c r="F55" s="366">
        <v>206691.91996999996</v>
      </c>
      <c r="G55" s="370">
        <f>SUM(G50:G54)</f>
        <v>1.0000000000000002</v>
      </c>
      <c r="H55" s="370">
        <f>(E55-I55)/I55</f>
        <v>0.38302538594957242</v>
      </c>
      <c r="I55" s="371">
        <v>13952.599999999997</v>
      </c>
      <c r="J55" s="382">
        <v>148849.71302</v>
      </c>
      <c r="K55" s="470">
        <f>SUM(K50:K54)</f>
        <v>1</v>
      </c>
    </row>
    <row r="56" spans="1:11" ht="11.1" customHeight="1">
      <c r="A56" s="658" t="str">
        <f>'3.1'!G6</f>
        <v>II. čtvrtletí</v>
      </c>
      <c r="B56" s="659"/>
      <c r="C56" s="403" t="s">
        <v>4</v>
      </c>
      <c r="D56" s="115">
        <f>D50</f>
        <v>73</v>
      </c>
      <c r="E56" s="116">
        <f>E38+E44+E50</f>
        <v>37556.281000000003</v>
      </c>
      <c r="F56" s="115">
        <f>F38+F44+F50</f>
        <v>401569.33312999993</v>
      </c>
      <c r="G56" s="118">
        <f>E56/$E$61</f>
        <v>0.52000804458444394</v>
      </c>
      <c r="H56" s="118">
        <f>(E56-I56)/I56</f>
        <v>0.12300345139473148</v>
      </c>
      <c r="I56" s="119">
        <f>I38+I44+I50</f>
        <v>33442.712</v>
      </c>
      <c r="J56" s="134">
        <f>J38+J44+J50</f>
        <v>356631.37060999998</v>
      </c>
      <c r="K56" s="469">
        <f>I56/$I$61</f>
        <v>0.47937537179397138</v>
      </c>
    </row>
    <row r="57" spans="1:11" ht="11.1" customHeight="1">
      <c r="A57" s="656"/>
      <c r="B57" s="657"/>
      <c r="C57" s="403" t="s">
        <v>5</v>
      </c>
      <c r="D57" s="115">
        <f>D51</f>
        <v>322</v>
      </c>
      <c r="E57" s="116">
        <f t="shared" ref="E57:F58" si="19">E39+E45+E51</f>
        <v>5544.4329999999991</v>
      </c>
      <c r="F57" s="115">
        <f t="shared" si="19"/>
        <v>59260.369259999985</v>
      </c>
      <c r="G57" s="118">
        <f t="shared" ref="G57:G60" si="20">E57/$E$61</f>
        <v>7.6768777043165204E-2</v>
      </c>
      <c r="H57" s="118">
        <f t="shared" ref="H57:H60" si="21">(E57-I57)/I57</f>
        <v>-6.0025023353434792E-2</v>
      </c>
      <c r="I57" s="119">
        <f t="shared" ref="I57:J57" si="22">I39+I45+I51</f>
        <v>5898.4900000000007</v>
      </c>
      <c r="J57" s="134">
        <f t="shared" si="22"/>
        <v>62896.720469999986</v>
      </c>
      <c r="K57" s="469">
        <f t="shared" ref="K57:K60" si="23">I57/$I$61</f>
        <v>8.4550285179414347E-2</v>
      </c>
    </row>
    <row r="58" spans="1:11" ht="11.1" customHeight="1">
      <c r="A58" s="656"/>
      <c r="B58" s="657"/>
      <c r="C58" s="403" t="s">
        <v>6</v>
      </c>
      <c r="D58" s="115">
        <f>D52</f>
        <v>10806</v>
      </c>
      <c r="E58" s="116">
        <f>E40+E46+E52</f>
        <v>8811.5400000000009</v>
      </c>
      <c r="F58" s="115">
        <f t="shared" si="19"/>
        <v>94154.489549999998</v>
      </c>
      <c r="G58" s="118">
        <f t="shared" si="20"/>
        <v>0.12200546920973382</v>
      </c>
      <c r="H58" s="118">
        <f t="shared" si="21"/>
        <v>-9.6230988013050342E-2</v>
      </c>
      <c r="I58" s="119">
        <f>I40+I46+I52</f>
        <v>9749.7699999999986</v>
      </c>
      <c r="J58" s="134">
        <f t="shared" ref="J58" si="24">J40+J46+J52</f>
        <v>103977.11930000001</v>
      </c>
      <c r="K58" s="469">
        <f t="shared" si="23"/>
        <v>0.13975540077777507</v>
      </c>
    </row>
    <row r="59" spans="1:11" ht="11.1" customHeight="1">
      <c r="A59" s="656"/>
      <c r="B59" s="657"/>
      <c r="C59" s="403" t="s">
        <v>7</v>
      </c>
      <c r="D59" s="115">
        <f>D53</f>
        <v>146112</v>
      </c>
      <c r="E59" s="116">
        <f t="shared" ref="E59:F60" si="25">E41+E47+E53</f>
        <v>19799.899999999998</v>
      </c>
      <c r="F59" s="115">
        <f t="shared" si="25"/>
        <v>211577.69999999998</v>
      </c>
      <c r="G59" s="118">
        <f t="shared" si="20"/>
        <v>0.2741514071099726</v>
      </c>
      <c r="H59" s="118">
        <f t="shared" si="21"/>
        <v>-1.9044504887462111E-2</v>
      </c>
      <c r="I59" s="119">
        <f t="shared" ref="I59:J59" si="26">I41+I47+I53</f>
        <v>20184.3</v>
      </c>
      <c r="J59" s="134">
        <f t="shared" si="26"/>
        <v>215259.9</v>
      </c>
      <c r="K59" s="469">
        <f t="shared" si="23"/>
        <v>0.28932630574042728</v>
      </c>
    </row>
    <row r="60" spans="1:11" ht="11.1" customHeight="1">
      <c r="A60" s="656"/>
      <c r="B60" s="657"/>
      <c r="C60" s="403" t="s">
        <v>112</v>
      </c>
      <c r="D60" s="115">
        <f>D54</f>
        <v>11</v>
      </c>
      <c r="E60" s="116">
        <f>E42+E48+E54</f>
        <v>510.346</v>
      </c>
      <c r="F60" s="115">
        <f t="shared" si="25"/>
        <v>5457.1360999999997</v>
      </c>
      <c r="G60" s="118">
        <f t="shared" si="20"/>
        <v>7.0663020526844124E-3</v>
      </c>
      <c r="H60" s="118">
        <f t="shared" si="21"/>
        <v>4.6159712029649858E-2</v>
      </c>
      <c r="I60" s="119">
        <f>I42+I48+I54</f>
        <v>487.82799999999997</v>
      </c>
      <c r="J60" s="134">
        <f t="shared" ref="J60" si="27">J42+J48+J54</f>
        <v>5241.4012400000001</v>
      </c>
      <c r="K60" s="469">
        <f t="shared" si="23"/>
        <v>6.9926365084120408E-3</v>
      </c>
    </row>
    <row r="61" spans="1:11" ht="11.1" customHeight="1">
      <c r="A61" s="656"/>
      <c r="B61" s="657"/>
      <c r="C61" s="365" t="s">
        <v>0</v>
      </c>
      <c r="D61" s="366">
        <f>SUM(D56:D60)</f>
        <v>157324</v>
      </c>
      <c r="E61" s="367">
        <f>SUM(E56:E60)</f>
        <v>72222.5</v>
      </c>
      <c r="F61" s="366">
        <f>SUM(F56:F60)</f>
        <v>772019.02803999989</v>
      </c>
      <c r="G61" s="370">
        <f>SUM(G56:G60)</f>
        <v>1</v>
      </c>
      <c r="H61" s="370">
        <f>(E61-I61)/I61</f>
        <v>3.5253593948663536E-2</v>
      </c>
      <c r="I61" s="371">
        <f>SUM(I56:I60)</f>
        <v>69763.099999999991</v>
      </c>
      <c r="J61" s="382">
        <f>SUM(J56:J60)</f>
        <v>744006.51162</v>
      </c>
      <c r="K61" s="470">
        <f>SUM(K56:K60)</f>
        <v>1</v>
      </c>
    </row>
    <row r="62" spans="1:11" ht="1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1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1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1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1" ht="1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1" ht="1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1" ht="1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1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1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1" ht="1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1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ht="1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ht="1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1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ht="1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1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1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ht="1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ht="1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ht="1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ht="1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ht="1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ht="1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ht="1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ht="1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ht="1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ht="1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P58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6.28515625" style="232" customWidth="1"/>
    <col min="2" max="2" width="10.28515625" style="232" customWidth="1"/>
    <col min="3" max="3" width="10" style="232" customWidth="1"/>
    <col min="4" max="4" width="10.7109375" style="232" customWidth="1"/>
    <col min="5" max="6" width="8.5703125" style="232" customWidth="1"/>
    <col min="7" max="10" width="6.7109375" style="232" customWidth="1"/>
    <col min="11" max="11" width="8.140625" style="232" customWidth="1"/>
    <col min="12" max="13" width="9.140625" style="232"/>
    <col min="14" max="14" width="11.140625" style="232" customWidth="1"/>
    <col min="15" max="16384" width="9.140625" style="232"/>
  </cols>
  <sheetData>
    <row r="1" spans="1:11" s="245" customFormat="1" ht="15.75">
      <c r="A1" s="682" t="str">
        <f>"6.8. Spotřeba zemního plynu a teplota ovzduší podle krajů: "&amp;LOWER(C3)</f>
        <v>6.8. Spotřeba zemního plynu a teplota ovzduší podle krajů: duben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20.100000000000001" customHeight="1">
      <c r="A3" s="687"/>
      <c r="B3" s="688"/>
      <c r="C3" s="685" t="str">
        <f>'3.1'!D6</f>
        <v>Duben</v>
      </c>
      <c r="D3" s="686"/>
      <c r="E3" s="686"/>
      <c r="F3" s="686"/>
      <c r="G3" s="686"/>
      <c r="H3" s="686"/>
      <c r="I3" s="686"/>
      <c r="J3" s="686"/>
      <c r="K3" s="686"/>
    </row>
    <row r="4" spans="1:11" ht="20.100000000000001" customHeight="1">
      <c r="A4" s="323"/>
      <c r="B4" s="311"/>
      <c r="C4" s="691" t="s">
        <v>67</v>
      </c>
      <c r="D4" s="692"/>
      <c r="E4" s="692"/>
      <c r="F4" s="693"/>
      <c r="G4" s="691" t="s">
        <v>258</v>
      </c>
      <c r="H4" s="692"/>
      <c r="I4" s="692"/>
      <c r="J4" s="692"/>
      <c r="K4" s="692"/>
    </row>
    <row r="5" spans="1:11" ht="24.95" customHeight="1">
      <c r="A5" s="326"/>
      <c r="B5" s="327"/>
      <c r="C5" s="337"/>
      <c r="D5" s="338"/>
      <c r="E5" s="337"/>
      <c r="F5" s="667" t="s">
        <v>240</v>
      </c>
      <c r="G5" s="683"/>
      <c r="H5" s="683"/>
      <c r="I5" s="683"/>
      <c r="J5" s="683"/>
      <c r="K5" s="684"/>
    </row>
    <row r="6" spans="1:11" ht="14.1" customHeight="1">
      <c r="A6" s="328"/>
      <c r="B6" s="689" t="s">
        <v>254</v>
      </c>
      <c r="C6" s="312"/>
      <c r="D6" s="339"/>
      <c r="E6" s="400" t="s">
        <v>255</v>
      </c>
      <c r="F6" s="689"/>
      <c r="G6" s="315" t="s">
        <v>74</v>
      </c>
      <c r="H6" s="315" t="s">
        <v>241</v>
      </c>
      <c r="I6" s="315" t="s">
        <v>242</v>
      </c>
      <c r="J6" s="315" t="s">
        <v>256</v>
      </c>
      <c r="K6" s="315" t="s">
        <v>257</v>
      </c>
    </row>
    <row r="7" spans="1:11" ht="15" customHeight="1">
      <c r="A7" s="407" t="s">
        <v>259</v>
      </c>
      <c r="B7" s="690"/>
      <c r="C7" s="406" t="s">
        <v>294</v>
      </c>
      <c r="D7" s="404" t="s">
        <v>289</v>
      </c>
      <c r="E7" s="406" t="s">
        <v>295</v>
      </c>
      <c r="F7" s="404" t="s">
        <v>295</v>
      </c>
      <c r="G7" s="316" t="s">
        <v>292</v>
      </c>
      <c r="H7" s="317" t="s">
        <v>292</v>
      </c>
      <c r="I7" s="317" t="s">
        <v>292</v>
      </c>
      <c r="J7" s="317" t="s">
        <v>292</v>
      </c>
      <c r="K7" s="317" t="s">
        <v>292</v>
      </c>
    </row>
    <row r="8" spans="1:11" ht="14.1" customHeight="1">
      <c r="A8" s="207" t="s">
        <v>9</v>
      </c>
      <c r="B8" s="120">
        <f>'6.1'!D14</f>
        <v>104870</v>
      </c>
      <c r="C8" s="116">
        <f>'6.1'!E14</f>
        <v>19618.346700000002</v>
      </c>
      <c r="D8" s="120">
        <f>'6.1'!F14</f>
        <v>209533.18440999999</v>
      </c>
      <c r="E8" s="145">
        <f t="shared" ref="E8:E21" si="0">D8/$D$22</f>
        <v>3.4820756290379708E-2</v>
      </c>
      <c r="F8" s="121">
        <f>'6.1'!H14</f>
        <v>-4.3377258469615584E-2</v>
      </c>
      <c r="G8" s="125">
        <v>9.1999999999999993</v>
      </c>
      <c r="H8" s="126">
        <v>15.4</v>
      </c>
      <c r="I8" s="126">
        <v>-0.1</v>
      </c>
      <c r="J8" s="126">
        <v>7.0999999999999961</v>
      </c>
      <c r="K8" s="451">
        <v>2.1000000000000032</v>
      </c>
    </row>
    <row r="9" spans="1:11" ht="14.1" customHeight="1">
      <c r="A9" s="472" t="s">
        <v>10</v>
      </c>
      <c r="B9" s="143">
        <f>'6.1'!D44</f>
        <v>385612</v>
      </c>
      <c r="C9" s="144">
        <f>'6.1'!E44</f>
        <v>68599.8</v>
      </c>
      <c r="D9" s="143">
        <f>'6.1'!F44</f>
        <v>732582.40233000007</v>
      </c>
      <c r="E9" s="146">
        <f t="shared" si="0"/>
        <v>0.1217424025983371</v>
      </c>
      <c r="F9" s="147">
        <f>'6.1'!H44</f>
        <v>-6.3469895111052929E-2</v>
      </c>
      <c r="G9" s="148">
        <v>10.66333333333333</v>
      </c>
      <c r="H9" s="149">
        <v>16.3</v>
      </c>
      <c r="I9" s="149">
        <v>0.7</v>
      </c>
      <c r="J9" s="149">
        <v>8.9000000000000021</v>
      </c>
      <c r="K9" s="151">
        <v>1.7633333333333283</v>
      </c>
    </row>
    <row r="10" spans="1:11" ht="14.1" customHeight="1">
      <c r="A10" s="207" t="s">
        <v>11</v>
      </c>
      <c r="B10" s="120">
        <f>'6.2'!D13</f>
        <v>84626</v>
      </c>
      <c r="C10" s="116">
        <f>'6.2'!E13</f>
        <v>15810.300000000001</v>
      </c>
      <c r="D10" s="120">
        <f>'6.2'!F13</f>
        <v>168839.58278999999</v>
      </c>
      <c r="E10" s="145">
        <f t="shared" si="0"/>
        <v>2.8058190310304838E-2</v>
      </c>
      <c r="F10" s="121">
        <f>'6.2'!H13</f>
        <v>-1.7633791265121955E-2</v>
      </c>
      <c r="G10" s="125">
        <v>8.5666666666666664</v>
      </c>
      <c r="H10" s="126">
        <v>14.5</v>
      </c>
      <c r="I10" s="126">
        <v>-0.2</v>
      </c>
      <c r="J10" s="126">
        <v>6.5</v>
      </c>
      <c r="K10" s="451">
        <v>2.0666666666666664</v>
      </c>
    </row>
    <row r="11" spans="1:11" ht="14.1" customHeight="1">
      <c r="A11" s="472" t="s">
        <v>111</v>
      </c>
      <c r="B11" s="143">
        <f>'6.2'!D43</f>
        <v>118175</v>
      </c>
      <c r="C11" s="144">
        <f>'6.2'!E43</f>
        <v>21045.199999999997</v>
      </c>
      <c r="D11" s="143">
        <f>'6.2'!F43</f>
        <v>224743.36313000001</v>
      </c>
      <c r="E11" s="146">
        <f t="shared" si="0"/>
        <v>3.734842238696276E-2</v>
      </c>
      <c r="F11" s="147">
        <f>'6.2'!H43</f>
        <v>-0.12012141331114679</v>
      </c>
      <c r="G11" s="148">
        <v>8.93</v>
      </c>
      <c r="H11" s="149">
        <v>16.100000000000001</v>
      </c>
      <c r="I11" s="149">
        <v>-0.6</v>
      </c>
      <c r="J11" s="149">
        <v>7</v>
      </c>
      <c r="K11" s="151">
        <v>1.9299999999999997</v>
      </c>
    </row>
    <row r="12" spans="1:11" ht="14.1" customHeight="1">
      <c r="A12" s="207" t="s">
        <v>12</v>
      </c>
      <c r="B12" s="120">
        <f>'6.3'!D13</f>
        <v>93467</v>
      </c>
      <c r="C12" s="116">
        <f>'6.3'!E13</f>
        <v>20848.199999999997</v>
      </c>
      <c r="D12" s="120">
        <f>'6.3'!F13</f>
        <v>222638.25701000003</v>
      </c>
      <c r="E12" s="145">
        <f t="shared" si="0"/>
        <v>3.6998590510086991E-2</v>
      </c>
      <c r="F12" s="121">
        <f>'6.3'!H13</f>
        <v>-0.11917698255101622</v>
      </c>
      <c r="G12" s="125">
        <v>8.8333333333333357</v>
      </c>
      <c r="H12" s="126">
        <v>15.4</v>
      </c>
      <c r="I12" s="126">
        <v>-0.1</v>
      </c>
      <c r="J12" s="126">
        <v>6.9000000000000039</v>
      </c>
      <c r="K12" s="451">
        <v>1.9333333333333318</v>
      </c>
    </row>
    <row r="13" spans="1:11" ht="14.1" customHeight="1">
      <c r="A13" s="472" t="s">
        <v>13</v>
      </c>
      <c r="B13" s="143">
        <f>'6.3'!D43</f>
        <v>379432</v>
      </c>
      <c r="C13" s="144">
        <f>'6.3'!E43</f>
        <v>63516.706999999995</v>
      </c>
      <c r="D13" s="143">
        <f>'6.3'!F43</f>
        <v>678098.75861000014</v>
      </c>
      <c r="E13" s="146">
        <f t="shared" si="0"/>
        <v>0.1126881724288869</v>
      </c>
      <c r="F13" s="147">
        <f>'6.3'!H43</f>
        <v>-6.0482322972572888E-2</v>
      </c>
      <c r="G13" s="148">
        <v>9.2566666666666642</v>
      </c>
      <c r="H13" s="149">
        <v>15.4</v>
      </c>
      <c r="I13" s="149">
        <v>0.7</v>
      </c>
      <c r="J13" s="149">
        <v>7.3000000000000034</v>
      </c>
      <c r="K13" s="151">
        <v>1.9566666666666608</v>
      </c>
    </row>
    <row r="14" spans="1:11" ht="14.1" customHeight="1">
      <c r="A14" s="207" t="s">
        <v>14</v>
      </c>
      <c r="B14" s="120">
        <f>'6.4'!D13</f>
        <v>187606</v>
      </c>
      <c r="C14" s="116">
        <f>'6.4'!E13</f>
        <v>31702.400000000001</v>
      </c>
      <c r="D14" s="120">
        <f>'6.4'!F13</f>
        <v>338552.83009999996</v>
      </c>
      <c r="E14" s="145">
        <f t="shared" si="0"/>
        <v>5.6261568407528162E-2</v>
      </c>
      <c r="F14" s="121">
        <f>'6.4'!H13</f>
        <v>-2.4982546355955898E-2</v>
      </c>
      <c r="G14" s="125">
        <v>8.9233333333333356</v>
      </c>
      <c r="H14" s="126">
        <v>14.7</v>
      </c>
      <c r="I14" s="126">
        <v>-0.1</v>
      </c>
      <c r="J14" s="126">
        <v>6.9000000000000039</v>
      </c>
      <c r="K14" s="451">
        <v>2.0233333333333317</v>
      </c>
    </row>
    <row r="15" spans="1:11" ht="14.1" customHeight="1">
      <c r="A15" s="472" t="s">
        <v>15</v>
      </c>
      <c r="B15" s="143">
        <f>'6.4'!D43</f>
        <v>136977</v>
      </c>
      <c r="C15" s="144">
        <f>'6.4'!E43</f>
        <v>25835.100000000002</v>
      </c>
      <c r="D15" s="143">
        <f>'6.4'!F43</f>
        <v>275894.52731999999</v>
      </c>
      <c r="E15" s="146">
        <f t="shared" si="0"/>
        <v>4.5848852651717439E-2</v>
      </c>
      <c r="F15" s="147">
        <f>'6.4'!H43</f>
        <v>-8.7775855372338465E-2</v>
      </c>
      <c r="G15" s="148">
        <v>8.9933333333333358</v>
      </c>
      <c r="H15" s="149">
        <v>15</v>
      </c>
      <c r="I15" s="149">
        <v>-0.2</v>
      </c>
      <c r="J15" s="149">
        <v>7.9000000000000039</v>
      </c>
      <c r="K15" s="151">
        <v>1.0933333333333319</v>
      </c>
    </row>
    <row r="16" spans="1:11" ht="14.1" customHeight="1">
      <c r="A16" s="207" t="s">
        <v>16</v>
      </c>
      <c r="B16" s="120">
        <f>'6.5'!D13</f>
        <v>160090</v>
      </c>
      <c r="C16" s="116">
        <f>'6.5'!E13</f>
        <v>25363.400000000005</v>
      </c>
      <c r="D16" s="120">
        <f>'6.5'!F13</f>
        <v>270857.75691</v>
      </c>
      <c r="E16" s="145">
        <f t="shared" si="0"/>
        <v>4.501182936382607E-2</v>
      </c>
      <c r="F16" s="121">
        <f>'6.5'!H13</f>
        <v>-6.898361762967678E-2</v>
      </c>
      <c r="G16" s="125">
        <v>9.7100000000000009</v>
      </c>
      <c r="H16" s="126">
        <v>15.3</v>
      </c>
      <c r="I16" s="126">
        <v>0.2</v>
      </c>
      <c r="J16" s="126">
        <v>7.1999999999999966</v>
      </c>
      <c r="K16" s="451">
        <v>2.5100000000000042</v>
      </c>
    </row>
    <row r="17" spans="1:16" ht="14.1" customHeight="1">
      <c r="A17" s="472" t="s">
        <v>1</v>
      </c>
      <c r="B17" s="143">
        <f>'6.5'!D43</f>
        <v>419137</v>
      </c>
      <c r="C17" s="144">
        <f>'6.5'!E43</f>
        <v>54480.608813118597</v>
      </c>
      <c r="D17" s="143">
        <f>'6.5'!F43</f>
        <v>581117.86046600004</v>
      </c>
      <c r="E17" s="146">
        <f t="shared" si="0"/>
        <v>9.6571640679497806E-2</v>
      </c>
      <c r="F17" s="147">
        <f>'6.5'!H43</f>
        <v>-8.4164335652045355E-2</v>
      </c>
      <c r="G17" s="148">
        <v>11.723333333333333</v>
      </c>
      <c r="H17" s="149">
        <v>17.8</v>
      </c>
      <c r="I17" s="149">
        <v>2.8</v>
      </c>
      <c r="J17" s="149">
        <v>8.6999999999999957</v>
      </c>
      <c r="K17" s="151">
        <v>3.023333333333337</v>
      </c>
    </row>
    <row r="18" spans="1:16" ht="14.1" customHeight="1">
      <c r="A18" s="207" t="s">
        <v>17</v>
      </c>
      <c r="B18" s="120">
        <f>'6.6'!D13</f>
        <v>259964</v>
      </c>
      <c r="C18" s="116">
        <f>'6.6'!E13</f>
        <v>75467.891999999993</v>
      </c>
      <c r="D18" s="120">
        <f>'6.6'!F13</f>
        <v>805923.41086199996</v>
      </c>
      <c r="E18" s="145">
        <f t="shared" si="0"/>
        <v>0.13393039750412897</v>
      </c>
      <c r="F18" s="121">
        <f>'6.6'!H13</f>
        <v>2.7714210555149818E-2</v>
      </c>
      <c r="G18" s="125">
        <v>9.9533333333333314</v>
      </c>
      <c r="H18" s="126">
        <v>16.399999999999999</v>
      </c>
      <c r="I18" s="126">
        <v>0.6</v>
      </c>
      <c r="J18" s="126">
        <v>8.5</v>
      </c>
      <c r="K18" s="451">
        <v>1.4533333333333314</v>
      </c>
      <c r="L18" s="238"/>
      <c r="N18" s="238"/>
      <c r="O18" s="238"/>
      <c r="P18" s="238"/>
    </row>
    <row r="19" spans="1:16" ht="14.1" customHeight="1">
      <c r="A19" s="472" t="s">
        <v>18</v>
      </c>
      <c r="B19" s="143">
        <f>'6.6'!D43</f>
        <v>222904</v>
      </c>
      <c r="C19" s="144">
        <f>'6.6'!E43</f>
        <v>91756.935999999987</v>
      </c>
      <c r="D19" s="143">
        <f>'6.6'!F43</f>
        <v>979646.8345600001</v>
      </c>
      <c r="E19" s="146">
        <f t="shared" si="0"/>
        <v>0.16280019688961353</v>
      </c>
      <c r="F19" s="147">
        <f>'6.6'!H43</f>
        <v>1.793266525536583E-2</v>
      </c>
      <c r="G19" s="148">
        <v>9.793333333333333</v>
      </c>
      <c r="H19" s="149">
        <v>15.7</v>
      </c>
      <c r="I19" s="149">
        <v>0.6</v>
      </c>
      <c r="J19" s="149">
        <v>8.5</v>
      </c>
      <c r="K19" s="151">
        <v>1.293333333333333</v>
      </c>
      <c r="L19" s="238"/>
      <c r="N19" s="238"/>
      <c r="O19" s="238"/>
      <c r="P19" s="238"/>
    </row>
    <row r="20" spans="1:16" ht="14.1" customHeight="1">
      <c r="A20" s="207" t="s">
        <v>19</v>
      </c>
      <c r="B20" s="120">
        <f>'6.7'!D13</f>
        <v>120116</v>
      </c>
      <c r="C20" s="116">
        <f>'6.7'!E13</f>
        <v>22118.122309999995</v>
      </c>
      <c r="D20" s="120">
        <f>'6.7'!F13</f>
        <v>236203.76584000001</v>
      </c>
      <c r="E20" s="145">
        <f t="shared" si="0"/>
        <v>3.9252941190884835E-2</v>
      </c>
      <c r="F20" s="121">
        <f>'6.7'!H13</f>
        <v>-7.2782229274385921E-2</v>
      </c>
      <c r="G20" s="125">
        <v>9.1233333333333331</v>
      </c>
      <c r="H20" s="126">
        <v>15.1</v>
      </c>
      <c r="I20" s="126">
        <v>-0.4</v>
      </c>
      <c r="J20" s="126">
        <v>6.9000000000000039</v>
      </c>
      <c r="K20" s="451">
        <v>2.2233333333333292</v>
      </c>
      <c r="L20" s="238"/>
      <c r="N20" s="238"/>
      <c r="O20" s="238"/>
      <c r="P20" s="238"/>
    </row>
    <row r="21" spans="1:16" ht="14.1" customHeight="1">
      <c r="A21" s="472" t="s">
        <v>20</v>
      </c>
      <c r="B21" s="143">
        <f>'6.7'!D43</f>
        <v>157423</v>
      </c>
      <c r="C21" s="144">
        <f>'6.7'!E43</f>
        <v>27422.399999999998</v>
      </c>
      <c r="D21" s="143">
        <f>'6.7'!F43</f>
        <v>292846.8869199999</v>
      </c>
      <c r="E21" s="146">
        <f t="shared" si="0"/>
        <v>4.8666038787844826E-2</v>
      </c>
      <c r="F21" s="147">
        <f>'6.7'!H43</f>
        <v>-5.8471299964979025E-2</v>
      </c>
      <c r="G21" s="148">
        <v>7.996666666666667</v>
      </c>
      <c r="H21" s="149">
        <v>13.4</v>
      </c>
      <c r="I21" s="149">
        <v>-1.1000000000000001</v>
      </c>
      <c r="J21" s="149">
        <v>8.5</v>
      </c>
      <c r="K21" s="151">
        <v>-0.50333333333333297</v>
      </c>
      <c r="L21" s="238"/>
    </row>
    <row r="22" spans="1:16" ht="14.1" customHeight="1">
      <c r="A22" s="545" t="s">
        <v>0</v>
      </c>
      <c r="B22" s="546">
        <f>SUM(B8:B21)</f>
        <v>2830399</v>
      </c>
      <c r="C22" s="547">
        <f>SUM(C8:C21)</f>
        <v>563585.41282311862</v>
      </c>
      <c r="D22" s="548">
        <f>SUM(D8:D21)</f>
        <v>6017479.4212580007</v>
      </c>
      <c r="E22" s="549">
        <f>SUM(E8:E21)</f>
        <v>0.99999999999999989</v>
      </c>
      <c r="F22" s="550"/>
      <c r="G22" s="551">
        <v>9.4466666666666654</v>
      </c>
      <c r="H22" s="551">
        <v>15.4</v>
      </c>
      <c r="I22" s="551">
        <v>0.1</v>
      </c>
      <c r="J22" s="551">
        <v>8.6366666666666667</v>
      </c>
      <c r="K22" s="551">
        <v>0.80999999999999872</v>
      </c>
    </row>
    <row r="23" spans="1:16" ht="14.1" customHeight="1">
      <c r="A23" s="552" t="s">
        <v>114</v>
      </c>
      <c r="B23" s="553"/>
      <c r="C23" s="367">
        <f>'5.1'!E14</f>
        <v>11392.499975987721</v>
      </c>
      <c r="D23" s="366">
        <f>'5.1'!F14</f>
        <v>121814.40689900001</v>
      </c>
      <c r="E23" s="554"/>
      <c r="F23" s="369">
        <f>'5.1'!H14</f>
        <v>-4.769905586419404E-2</v>
      </c>
      <c r="G23" s="555">
        <v>9.4466666666666654</v>
      </c>
      <c r="H23" s="556">
        <v>15.4</v>
      </c>
      <c r="I23" s="556">
        <v>0.1</v>
      </c>
      <c r="J23" s="556">
        <v>8.6366666666666667</v>
      </c>
      <c r="K23" s="556">
        <v>0.80999999999999872</v>
      </c>
    </row>
    <row r="24" spans="1:16" ht="14.1" customHeight="1">
      <c r="A24" s="473" t="s">
        <v>62</v>
      </c>
      <c r="B24" s="383">
        <f>B22+B23</f>
        <v>2830399</v>
      </c>
      <c r="C24" s="384">
        <f>C22+C23</f>
        <v>574977.91279910633</v>
      </c>
      <c r="D24" s="385">
        <f>D22+D23</f>
        <v>6139293.8281570002</v>
      </c>
      <c r="E24" s="386"/>
      <c r="F24" s="387">
        <f>'5.1'!H15</f>
        <v>-4.3497966590704873E-2</v>
      </c>
      <c r="G24" s="388">
        <v>9.4466666666666654</v>
      </c>
      <c r="H24" s="389">
        <v>15.4</v>
      </c>
      <c r="I24" s="389">
        <v>0.1</v>
      </c>
      <c r="J24" s="389">
        <v>8.6366666666666667</v>
      </c>
      <c r="K24" s="389">
        <v>0.80999999999999872</v>
      </c>
    </row>
    <row r="25" spans="1:16" ht="15" customHeight="1">
      <c r="A25" s="207"/>
      <c r="B25" s="208"/>
      <c r="C25" s="695" t="s">
        <v>217</v>
      </c>
      <c r="D25" s="695"/>
      <c r="E25" s="695"/>
      <c r="F25" s="695"/>
      <c r="G25" s="698" t="s">
        <v>132</v>
      </c>
      <c r="H25" s="698"/>
      <c r="I25" s="698"/>
      <c r="J25" s="698"/>
      <c r="K25" s="698"/>
    </row>
    <row r="26" spans="1:16" ht="15" customHeight="1">
      <c r="A26" s="114"/>
      <c r="B26" s="114"/>
      <c r="C26" s="681"/>
      <c r="D26" s="681"/>
      <c r="E26" s="681"/>
      <c r="F26" s="681"/>
      <c r="G26" s="699" t="s">
        <v>133</v>
      </c>
      <c r="H26" s="699"/>
      <c r="I26" s="699"/>
      <c r="J26" s="699"/>
      <c r="K26" s="699"/>
    </row>
    <row r="27" spans="1:16" ht="30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6" ht="15" customHeight="1">
      <c r="A28" s="267"/>
      <c r="B28" s="267"/>
      <c r="C28" s="114"/>
      <c r="D28" s="242"/>
      <c r="E28" s="243"/>
      <c r="F28" s="243"/>
      <c r="G28" s="114"/>
      <c r="H28" s="240"/>
      <c r="I28" s="267"/>
      <c r="J28" s="114"/>
      <c r="K28" s="114"/>
    </row>
    <row r="29" spans="1:16" ht="18" customHeight="1">
      <c r="A29" s="114"/>
      <c r="B29" s="114"/>
      <c r="C29" s="114"/>
      <c r="D29" s="242"/>
      <c r="E29" s="243"/>
      <c r="F29" s="243"/>
      <c r="G29" s="114"/>
      <c r="H29" s="114"/>
      <c r="I29" s="114"/>
      <c r="J29" s="114"/>
      <c r="K29" s="114"/>
    </row>
    <row r="30" spans="1:16" ht="15" customHeight="1">
      <c r="A30" s="647" t="s">
        <v>70</v>
      </c>
      <c r="B30" s="647"/>
      <c r="C30" s="647"/>
      <c r="D30" s="647"/>
      <c r="E30" s="647"/>
      <c r="F30" s="647" t="s">
        <v>71</v>
      </c>
      <c r="G30" s="647"/>
      <c r="H30" s="647"/>
      <c r="I30" s="647"/>
      <c r="J30" s="647"/>
      <c r="K30" s="647"/>
    </row>
    <row r="31" spans="1:16" ht="15" customHeight="1">
      <c r="A31" s="409"/>
      <c r="B31" s="639" t="str">
        <f>C3</f>
        <v>Duben</v>
      </c>
      <c r="C31" s="639"/>
      <c r="D31" s="409"/>
      <c r="E31" s="409"/>
      <c r="F31" s="409"/>
      <c r="G31" s="409"/>
      <c r="H31" s="639" t="str">
        <f>C3</f>
        <v>Duben</v>
      </c>
      <c r="I31" s="639"/>
      <c r="J31" s="409"/>
      <c r="K31" s="409"/>
    </row>
    <row r="32" spans="1:16" ht="15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5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5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5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  <mergeCell ref="A2:B2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P58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6.28515625" style="232" customWidth="1"/>
    <col min="2" max="2" width="10.28515625" style="232" customWidth="1"/>
    <col min="3" max="3" width="10" style="232" customWidth="1"/>
    <col min="4" max="4" width="10.7109375" style="232" customWidth="1"/>
    <col min="5" max="6" width="8.5703125" style="232" customWidth="1"/>
    <col min="7" max="10" width="6.7109375" style="232" customWidth="1"/>
    <col min="11" max="11" width="8.140625" style="232" customWidth="1"/>
    <col min="12" max="13" width="9.140625" style="232"/>
    <col min="14" max="14" width="11.140625" style="232" customWidth="1"/>
    <col min="15" max="16384" width="9.140625" style="232"/>
  </cols>
  <sheetData>
    <row r="1" spans="1:11" s="245" customFormat="1" ht="15.75" customHeight="1">
      <c r="A1" s="682" t="str">
        <f>"6.9. Spotřeba zemního plynu a teplota ovzduší podle krajů: "&amp;LOWER(C3)</f>
        <v>6.9. Spotřeba zemního plynu a teplota ovzduší podle krajů: květen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20.100000000000001" customHeight="1">
      <c r="A3" s="687"/>
      <c r="B3" s="688"/>
      <c r="C3" s="685" t="str">
        <f>'3.1'!E6</f>
        <v>Květen</v>
      </c>
      <c r="D3" s="686"/>
      <c r="E3" s="686"/>
      <c r="F3" s="686"/>
      <c r="G3" s="686"/>
      <c r="H3" s="686"/>
      <c r="I3" s="686"/>
      <c r="J3" s="686"/>
      <c r="K3" s="686"/>
    </row>
    <row r="4" spans="1:11" ht="20.100000000000001" customHeight="1">
      <c r="A4" s="323"/>
      <c r="B4" s="311"/>
      <c r="C4" s="691" t="s">
        <v>67</v>
      </c>
      <c r="D4" s="692"/>
      <c r="E4" s="692"/>
      <c r="F4" s="693"/>
      <c r="G4" s="691" t="s">
        <v>258</v>
      </c>
      <c r="H4" s="692"/>
      <c r="I4" s="692"/>
      <c r="J4" s="692"/>
      <c r="K4" s="692"/>
    </row>
    <row r="5" spans="1:11" ht="24.95" customHeight="1">
      <c r="A5" s="326"/>
      <c r="B5" s="327"/>
      <c r="C5" s="337"/>
      <c r="D5" s="338"/>
      <c r="E5" s="337"/>
      <c r="F5" s="667" t="s">
        <v>240</v>
      </c>
      <c r="G5" s="683"/>
      <c r="H5" s="683"/>
      <c r="I5" s="683"/>
      <c r="J5" s="683"/>
      <c r="K5" s="684"/>
    </row>
    <row r="6" spans="1:11" ht="14.1" customHeight="1">
      <c r="A6" s="328"/>
      <c r="B6" s="689" t="s">
        <v>254</v>
      </c>
      <c r="C6" s="312"/>
      <c r="D6" s="339"/>
      <c r="E6" s="400" t="s">
        <v>255</v>
      </c>
      <c r="F6" s="689"/>
      <c r="G6" s="315" t="s">
        <v>74</v>
      </c>
      <c r="H6" s="315" t="s">
        <v>241</v>
      </c>
      <c r="I6" s="315" t="s">
        <v>242</v>
      </c>
      <c r="J6" s="315" t="s">
        <v>256</v>
      </c>
      <c r="K6" s="315" t="s">
        <v>257</v>
      </c>
    </row>
    <row r="7" spans="1:11" ht="15" customHeight="1">
      <c r="A7" s="407" t="s">
        <v>259</v>
      </c>
      <c r="B7" s="690"/>
      <c r="C7" s="406" t="s">
        <v>294</v>
      </c>
      <c r="D7" s="404" t="s">
        <v>289</v>
      </c>
      <c r="E7" s="406" t="s">
        <v>295</v>
      </c>
      <c r="F7" s="404" t="s">
        <v>295</v>
      </c>
      <c r="G7" s="316" t="s">
        <v>292</v>
      </c>
      <c r="H7" s="317" t="s">
        <v>292</v>
      </c>
      <c r="I7" s="317" t="s">
        <v>292</v>
      </c>
      <c r="J7" s="317" t="s">
        <v>292</v>
      </c>
      <c r="K7" s="317" t="s">
        <v>292</v>
      </c>
    </row>
    <row r="8" spans="1:11" ht="14.1" customHeight="1">
      <c r="A8" s="207" t="s">
        <v>9</v>
      </c>
      <c r="B8" s="120">
        <f>'6.1'!D20</f>
        <v>104832</v>
      </c>
      <c r="C8" s="116">
        <f>'6.1'!E20</f>
        <v>15982.343939999999</v>
      </c>
      <c r="D8" s="120">
        <f>'6.1'!F20</f>
        <v>170717.46171</v>
      </c>
      <c r="E8" s="145">
        <f>D8/$D$22</f>
        <v>3.3270703649921803E-2</v>
      </c>
      <c r="F8" s="121">
        <f>'6.1'!H20</f>
        <v>-0.18324453670653768</v>
      </c>
      <c r="G8" s="125">
        <v>10.796774193548389</v>
      </c>
      <c r="H8" s="126">
        <v>17.5</v>
      </c>
      <c r="I8" s="126">
        <v>5.2</v>
      </c>
      <c r="J8" s="126">
        <v>12.5</v>
      </c>
      <c r="K8" s="451">
        <v>-1.703225806451611</v>
      </c>
    </row>
    <row r="9" spans="1:11" ht="14.1" customHeight="1">
      <c r="A9" s="472" t="s">
        <v>10</v>
      </c>
      <c r="B9" s="143">
        <f>'6.1'!D50</f>
        <v>385457</v>
      </c>
      <c r="C9" s="144">
        <f>'6.1'!E50</f>
        <v>49898.6</v>
      </c>
      <c r="D9" s="143">
        <f>'6.1'!F50</f>
        <v>533124.88332000002</v>
      </c>
      <c r="E9" s="146">
        <f t="shared" ref="E9:E21" si="0">D9/$D$22</f>
        <v>0.10389938922281823</v>
      </c>
      <c r="F9" s="147">
        <f>'6.1'!H50</f>
        <v>-0.1890836876113213</v>
      </c>
      <c r="G9" s="148">
        <v>12.896774193548387</v>
      </c>
      <c r="H9" s="149">
        <v>20</v>
      </c>
      <c r="I9" s="149">
        <v>6.9</v>
      </c>
      <c r="J9" s="149">
        <v>14.199999999999992</v>
      </c>
      <c r="K9" s="151">
        <v>-1.3032258064516054</v>
      </c>
    </row>
    <row r="10" spans="1:11" ht="14.1" customHeight="1">
      <c r="A10" s="207" t="s">
        <v>11</v>
      </c>
      <c r="B10" s="120">
        <f>'6.2'!D19</f>
        <v>84592</v>
      </c>
      <c r="C10" s="116">
        <f>'6.2'!E19</f>
        <v>13270.2</v>
      </c>
      <c r="D10" s="120">
        <f>'6.2'!F19</f>
        <v>141781.23664000005</v>
      </c>
      <c r="E10" s="145">
        <f t="shared" si="0"/>
        <v>2.7631394352511988E-2</v>
      </c>
      <c r="F10" s="121">
        <f>'6.2'!H19</f>
        <v>-8.9248212153239942E-2</v>
      </c>
      <c r="G10" s="125">
        <v>10.14838709677419</v>
      </c>
      <c r="H10" s="126">
        <v>16</v>
      </c>
      <c r="I10" s="126">
        <v>3.6</v>
      </c>
      <c r="J10" s="126">
        <v>11.800000000000006</v>
      </c>
      <c r="K10" s="451">
        <v>-1.651612903225816</v>
      </c>
    </row>
    <row r="11" spans="1:11" ht="14.1" customHeight="1">
      <c r="A11" s="472" t="s">
        <v>111</v>
      </c>
      <c r="B11" s="143">
        <f>'6.2'!D49</f>
        <v>118126</v>
      </c>
      <c r="C11" s="144">
        <f>'6.2'!E49</f>
        <v>18461.7</v>
      </c>
      <c r="D11" s="143">
        <f>'6.2'!F49</f>
        <v>197247.39175000001</v>
      </c>
      <c r="E11" s="146">
        <f t="shared" si="0"/>
        <v>3.8441056063627438E-2</v>
      </c>
      <c r="F11" s="147">
        <f>'6.2'!H49</f>
        <v>-0.17281843109844622</v>
      </c>
      <c r="G11" s="148">
        <v>10.874193548387092</v>
      </c>
      <c r="H11" s="149">
        <v>17.100000000000001</v>
      </c>
      <c r="I11" s="149">
        <v>4.8</v>
      </c>
      <c r="J11" s="149">
        <v>12.600000000000005</v>
      </c>
      <c r="K11" s="151">
        <v>-1.7258064516129128</v>
      </c>
    </row>
    <row r="12" spans="1:11" ht="14.1" customHeight="1">
      <c r="A12" s="207" t="s">
        <v>12</v>
      </c>
      <c r="B12" s="120">
        <f>'6.3'!D19</f>
        <v>93428</v>
      </c>
      <c r="C12" s="116">
        <f>'6.3'!E19</f>
        <v>17681.900000000001</v>
      </c>
      <c r="D12" s="120">
        <f>'6.3'!F19</f>
        <v>188916.02929999999</v>
      </c>
      <c r="E12" s="145">
        <f t="shared" si="0"/>
        <v>3.6817377452795556E-2</v>
      </c>
      <c r="F12" s="121">
        <f>'6.3'!H19</f>
        <v>-0.22738891631965519</v>
      </c>
      <c r="G12" s="125">
        <v>10.625806451612906</v>
      </c>
      <c r="H12" s="126">
        <v>16.399999999999999</v>
      </c>
      <c r="I12" s="126">
        <v>5</v>
      </c>
      <c r="J12" s="126">
        <v>12.399999999999995</v>
      </c>
      <c r="K12" s="451">
        <v>-1.774193548387089</v>
      </c>
    </row>
    <row r="13" spans="1:11" ht="14.1" customHeight="1">
      <c r="A13" s="472" t="s">
        <v>13</v>
      </c>
      <c r="B13" s="143">
        <f>'6.3'!D49</f>
        <v>379274</v>
      </c>
      <c r="C13" s="144">
        <f>'6.3'!E49</f>
        <v>56310.855000000003</v>
      </c>
      <c r="D13" s="143">
        <f>'6.3'!F49</f>
        <v>601496.37173999997</v>
      </c>
      <c r="E13" s="146">
        <f t="shared" si="0"/>
        <v>0.11722413940678041</v>
      </c>
      <c r="F13" s="147">
        <f>'6.3'!H49</f>
        <v>-0.13771066162084225</v>
      </c>
      <c r="G13" s="148">
        <v>10.970967741935484</v>
      </c>
      <c r="H13" s="149">
        <v>18.399999999999999</v>
      </c>
      <c r="I13" s="149">
        <v>4.4000000000000004</v>
      </c>
      <c r="J13" s="149">
        <v>12.699999999999994</v>
      </c>
      <c r="K13" s="151">
        <v>-1.7290322580645103</v>
      </c>
    </row>
    <row r="14" spans="1:11" ht="14.1" customHeight="1">
      <c r="A14" s="207" t="s">
        <v>14</v>
      </c>
      <c r="B14" s="120">
        <f>'6.4'!D19</f>
        <v>187526</v>
      </c>
      <c r="C14" s="116">
        <f>'6.4'!E19</f>
        <v>26723.8</v>
      </c>
      <c r="D14" s="120">
        <f>'6.4'!F19</f>
        <v>285521.22130000003</v>
      </c>
      <c r="E14" s="145">
        <f t="shared" si="0"/>
        <v>5.5644524259463E-2</v>
      </c>
      <c r="F14" s="121">
        <f>'6.4'!H19</f>
        <v>-0.11517334772517325</v>
      </c>
      <c r="G14" s="125">
        <v>10.92258064516129</v>
      </c>
      <c r="H14" s="126">
        <v>17.600000000000001</v>
      </c>
      <c r="I14" s="126">
        <v>4.5999999999999996</v>
      </c>
      <c r="J14" s="126">
        <v>12.199999999999994</v>
      </c>
      <c r="K14" s="451">
        <v>-1.2774193548387043</v>
      </c>
    </row>
    <row r="15" spans="1:11" ht="14.1" customHeight="1">
      <c r="A15" s="472" t="s">
        <v>15</v>
      </c>
      <c r="B15" s="143">
        <f>'6.4'!D49</f>
        <v>136920</v>
      </c>
      <c r="C15" s="144">
        <f>'6.4'!E49</f>
        <v>21919.7</v>
      </c>
      <c r="D15" s="143">
        <f>'6.4'!F49</f>
        <v>234192.76239000002</v>
      </c>
      <c r="E15" s="146">
        <f t="shared" si="0"/>
        <v>4.5641247921493842E-2</v>
      </c>
      <c r="F15" s="147">
        <f>'6.4'!H49</f>
        <v>-0.14781624925160752</v>
      </c>
      <c r="G15" s="148">
        <v>10.85483870967742</v>
      </c>
      <c r="H15" s="149">
        <v>17.3</v>
      </c>
      <c r="I15" s="149">
        <v>4.5999999999999996</v>
      </c>
      <c r="J15" s="149">
        <v>13.300000000000008</v>
      </c>
      <c r="K15" s="151">
        <v>-2.4451612903225879</v>
      </c>
    </row>
    <row r="16" spans="1:11" ht="14.1" customHeight="1">
      <c r="A16" s="207" t="s">
        <v>16</v>
      </c>
      <c r="B16" s="120">
        <f>'6.5'!D19</f>
        <v>160026</v>
      </c>
      <c r="C16" s="116">
        <f>'6.5'!E19</f>
        <v>20243.5</v>
      </c>
      <c r="D16" s="120">
        <f>'6.5'!F19</f>
        <v>216284.49739999999</v>
      </c>
      <c r="E16" s="145">
        <f t="shared" si="0"/>
        <v>4.2151150473942231E-2</v>
      </c>
      <c r="F16" s="121">
        <f>'6.5'!H19</f>
        <v>-0.18451572879362232</v>
      </c>
      <c r="G16" s="125">
        <v>11.512903225806452</v>
      </c>
      <c r="H16" s="126">
        <v>17.8</v>
      </c>
      <c r="I16" s="126">
        <v>5.9</v>
      </c>
      <c r="J16" s="126">
        <v>12.699999999999994</v>
      </c>
      <c r="K16" s="451">
        <v>-1.1870967741935416</v>
      </c>
    </row>
    <row r="17" spans="1:16" ht="14.1" customHeight="1">
      <c r="A17" s="472" t="s">
        <v>1</v>
      </c>
      <c r="B17" s="143">
        <f>'6.5'!D49</f>
        <v>418454</v>
      </c>
      <c r="C17" s="144">
        <f>'6.5'!E49</f>
        <v>41429.793620940305</v>
      </c>
      <c r="D17" s="143">
        <f>'6.5'!F49</f>
        <v>442173.26541601116</v>
      </c>
      <c r="E17" s="146">
        <f t="shared" si="0"/>
        <v>8.6174053481212126E-2</v>
      </c>
      <c r="F17" s="147">
        <f>'6.5'!H49</f>
        <v>-0.20851743515838239</v>
      </c>
      <c r="G17" s="148">
        <v>13.241935483870968</v>
      </c>
      <c r="H17" s="149">
        <v>18.3</v>
      </c>
      <c r="I17" s="149">
        <v>7.4</v>
      </c>
      <c r="J17" s="149">
        <v>14</v>
      </c>
      <c r="K17" s="151">
        <v>-0.75806451612903203</v>
      </c>
    </row>
    <row r="18" spans="1:16" ht="14.1" customHeight="1">
      <c r="A18" s="207" t="s">
        <v>17</v>
      </c>
      <c r="B18" s="120">
        <f>'6.6'!D19</f>
        <v>259852</v>
      </c>
      <c r="C18" s="116">
        <f>'6.6'!E19</f>
        <v>61387.377999999997</v>
      </c>
      <c r="D18" s="120">
        <f>'6.6'!F19</f>
        <v>655860.92920499993</v>
      </c>
      <c r="E18" s="145">
        <f t="shared" si="0"/>
        <v>0.12781911347890959</v>
      </c>
      <c r="F18" s="121">
        <f>'6.6'!H19</f>
        <v>-0.18110800166090515</v>
      </c>
      <c r="G18" s="125">
        <v>11.767741935483871</v>
      </c>
      <c r="H18" s="126">
        <v>17.7</v>
      </c>
      <c r="I18" s="126">
        <v>5.7</v>
      </c>
      <c r="J18" s="126">
        <v>13.800000000000008</v>
      </c>
      <c r="K18" s="451">
        <v>-2.032258064516137</v>
      </c>
      <c r="L18" s="238"/>
      <c r="N18" s="238"/>
      <c r="O18" s="238"/>
      <c r="P18" s="238"/>
    </row>
    <row r="19" spans="1:16" ht="14.1" customHeight="1">
      <c r="A19" s="472" t="s">
        <v>18</v>
      </c>
      <c r="B19" s="143">
        <f>'6.6'!D49</f>
        <v>222810</v>
      </c>
      <c r="C19" s="144">
        <f>'6.6'!E49</f>
        <v>94226.394</v>
      </c>
      <c r="D19" s="143">
        <f>'6.6'!F49</f>
        <v>1006116.2790099998</v>
      </c>
      <c r="E19" s="146">
        <f t="shared" si="0"/>
        <v>0.19607951184962438</v>
      </c>
      <c r="F19" s="147">
        <f>'6.6'!H49</f>
        <v>0.16479457784000245</v>
      </c>
      <c r="G19" s="148">
        <v>11.75483870967742</v>
      </c>
      <c r="H19" s="149">
        <v>17.399999999999999</v>
      </c>
      <c r="I19" s="149">
        <v>5.3</v>
      </c>
      <c r="J19" s="149">
        <v>13.899999999999993</v>
      </c>
      <c r="K19" s="151">
        <v>-2.145161290322573</v>
      </c>
      <c r="L19" s="238"/>
      <c r="N19" s="238"/>
      <c r="O19" s="238"/>
      <c r="P19" s="238"/>
    </row>
    <row r="20" spans="1:16" ht="14.1" customHeight="1">
      <c r="A20" s="207" t="s">
        <v>19</v>
      </c>
      <c r="B20" s="120">
        <f>'6.7'!D19</f>
        <v>120072</v>
      </c>
      <c r="C20" s="116">
        <f>'6.7'!E19</f>
        <v>17339.519070000002</v>
      </c>
      <c r="D20" s="120">
        <f>'6.7'!F19</f>
        <v>185252.19768000001</v>
      </c>
      <c r="E20" s="145">
        <f t="shared" si="0"/>
        <v>3.6103342375005433E-2</v>
      </c>
      <c r="F20" s="121">
        <f>'6.7'!H19</f>
        <v>-0.1977537497055839</v>
      </c>
      <c r="G20" s="125">
        <v>10.793548387096777</v>
      </c>
      <c r="H20" s="126">
        <v>17.5</v>
      </c>
      <c r="I20" s="126">
        <v>4.8</v>
      </c>
      <c r="J20" s="126">
        <v>12.399999999999995</v>
      </c>
      <c r="K20" s="451">
        <v>-1.6064516129032178</v>
      </c>
      <c r="L20" s="238"/>
      <c r="N20" s="238"/>
      <c r="O20" s="238"/>
      <c r="P20" s="238"/>
    </row>
    <row r="21" spans="1:16" ht="14.1" customHeight="1">
      <c r="A21" s="240" t="s">
        <v>20</v>
      </c>
      <c r="B21" s="115">
        <f>'6.7'!D49</f>
        <v>157360</v>
      </c>
      <c r="C21" s="557">
        <f>'6.7'!E49</f>
        <v>25503.300000000003</v>
      </c>
      <c r="D21" s="115">
        <f>'6.7'!F49</f>
        <v>272480.22115</v>
      </c>
      <c r="E21" s="558">
        <f t="shared" si="0"/>
        <v>5.3102996011894041E-2</v>
      </c>
      <c r="F21" s="117">
        <f>'6.7'!H49</f>
        <v>-4.4286886689575797E-2</v>
      </c>
      <c r="G21" s="559">
        <v>10.448387096774191</v>
      </c>
      <c r="H21" s="126">
        <v>17.7</v>
      </c>
      <c r="I21" s="126">
        <v>3.6</v>
      </c>
      <c r="J21" s="126">
        <v>13.800000000000008</v>
      </c>
      <c r="K21" s="125">
        <v>-3.3516129032258171</v>
      </c>
      <c r="L21" s="238"/>
    </row>
    <row r="22" spans="1:16" ht="14.1" customHeight="1">
      <c r="A22" s="560" t="s">
        <v>0</v>
      </c>
      <c r="B22" s="561">
        <f>SUM(B8:B21)</f>
        <v>2828729</v>
      </c>
      <c r="C22" s="562">
        <f>SUM(C8:C21)</f>
        <v>480378.9836309402</v>
      </c>
      <c r="D22" s="563">
        <f>SUM(D8:D21)</f>
        <v>5131164.7480110107</v>
      </c>
      <c r="E22" s="564">
        <f>SUM(E8:E21)</f>
        <v>1</v>
      </c>
      <c r="F22" s="565"/>
      <c r="G22" s="566">
        <v>11.2</v>
      </c>
      <c r="H22" s="566">
        <v>17.600000000000001</v>
      </c>
      <c r="I22" s="566">
        <v>5.0999999999999996</v>
      </c>
      <c r="J22" s="566">
        <v>13.522580645161288</v>
      </c>
      <c r="K22" s="566">
        <v>-2.3225806451612883</v>
      </c>
    </row>
    <row r="23" spans="1:16" ht="14.1" customHeight="1">
      <c r="A23" s="552" t="s">
        <v>114</v>
      </c>
      <c r="B23" s="553"/>
      <c r="C23" s="367">
        <f>'5.1'!E21</f>
        <v>11966.024682131319</v>
      </c>
      <c r="D23" s="366">
        <f>'5.1'!F21</f>
        <v>127952.95073500001</v>
      </c>
      <c r="E23" s="554"/>
      <c r="F23" s="369">
        <f>'5.1'!H21</f>
        <v>-0.14050673778181891</v>
      </c>
      <c r="G23" s="555">
        <v>11.2</v>
      </c>
      <c r="H23" s="556">
        <v>17.600000000000001</v>
      </c>
      <c r="I23" s="556">
        <v>5.0999999999999996</v>
      </c>
      <c r="J23" s="556">
        <v>13.522580645161288</v>
      </c>
      <c r="K23" s="556">
        <v>-2.3225806451612883</v>
      </c>
    </row>
    <row r="24" spans="1:16" ht="14.1" customHeight="1">
      <c r="A24" s="473" t="s">
        <v>62</v>
      </c>
      <c r="B24" s="383">
        <f>B22+B23</f>
        <v>2828729</v>
      </c>
      <c r="C24" s="384">
        <f t="shared" ref="C24:D24" si="1">C22+C23</f>
        <v>492345.00831307151</v>
      </c>
      <c r="D24" s="385">
        <f t="shared" si="1"/>
        <v>5259117.6987460107</v>
      </c>
      <c r="E24" s="386"/>
      <c r="F24" s="387">
        <f>'5.1'!H22</f>
        <v>-0.11663807343246883</v>
      </c>
      <c r="G24" s="388">
        <v>11.2</v>
      </c>
      <c r="H24" s="389">
        <v>17.600000000000001</v>
      </c>
      <c r="I24" s="389">
        <v>5.0999999999999996</v>
      </c>
      <c r="J24" s="389">
        <v>13.522580645161288</v>
      </c>
      <c r="K24" s="389">
        <v>-2.3225806451612883</v>
      </c>
    </row>
    <row r="25" spans="1:16" ht="15" customHeight="1">
      <c r="A25" s="207"/>
      <c r="B25" s="208"/>
      <c r="C25" s="695" t="s">
        <v>217</v>
      </c>
      <c r="D25" s="695"/>
      <c r="E25" s="695"/>
      <c r="F25" s="695"/>
      <c r="G25" s="698" t="s">
        <v>132</v>
      </c>
      <c r="H25" s="698"/>
      <c r="I25" s="698"/>
      <c r="J25" s="698"/>
      <c r="K25" s="698"/>
    </row>
    <row r="26" spans="1:16" ht="15" customHeight="1">
      <c r="A26" s="114"/>
      <c r="B26" s="114"/>
      <c r="C26" s="681"/>
      <c r="D26" s="681"/>
      <c r="E26" s="681"/>
      <c r="F26" s="681"/>
      <c r="G26" s="699" t="s">
        <v>133</v>
      </c>
      <c r="H26" s="699"/>
      <c r="I26" s="699"/>
      <c r="J26" s="699"/>
      <c r="K26" s="699"/>
    </row>
    <row r="27" spans="1:16" ht="30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6" ht="15" customHeight="1">
      <c r="A28" s="267"/>
      <c r="B28" s="267"/>
      <c r="C28" s="114"/>
      <c r="D28" s="242"/>
      <c r="E28" s="243"/>
      <c r="F28" s="243"/>
      <c r="G28" s="114"/>
      <c r="H28" s="240"/>
      <c r="I28" s="267"/>
      <c r="J28" s="114"/>
      <c r="K28" s="114"/>
    </row>
    <row r="29" spans="1:16" ht="18" customHeight="1">
      <c r="A29" s="114"/>
      <c r="B29" s="114"/>
      <c r="C29" s="114"/>
      <c r="D29" s="242"/>
      <c r="E29" s="243"/>
      <c r="F29" s="243"/>
      <c r="G29" s="114"/>
      <c r="H29" s="114"/>
      <c r="I29" s="114"/>
      <c r="J29" s="114"/>
      <c r="K29" s="114"/>
    </row>
    <row r="30" spans="1:16" ht="15" customHeight="1">
      <c r="A30" s="647" t="s">
        <v>70</v>
      </c>
      <c r="B30" s="647"/>
      <c r="C30" s="647"/>
      <c r="D30" s="647"/>
      <c r="E30" s="647"/>
      <c r="F30" s="647" t="s">
        <v>71</v>
      </c>
      <c r="G30" s="647"/>
      <c r="H30" s="647"/>
      <c r="I30" s="647"/>
      <c r="J30" s="647"/>
      <c r="K30" s="647"/>
    </row>
    <row r="31" spans="1:16" ht="15" customHeight="1">
      <c r="A31" s="409"/>
      <c r="B31" s="639" t="str">
        <f>C3</f>
        <v>Květen</v>
      </c>
      <c r="C31" s="639"/>
      <c r="D31" s="409"/>
      <c r="E31" s="409"/>
      <c r="F31" s="409"/>
      <c r="G31" s="409"/>
      <c r="H31" s="639" t="str">
        <f>C3</f>
        <v>Květen</v>
      </c>
      <c r="I31" s="639"/>
      <c r="J31" s="409"/>
      <c r="K31" s="409"/>
    </row>
    <row r="32" spans="1:16" ht="15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5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5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5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F5:F6"/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72"/>
  <sheetViews>
    <sheetView showGridLines="0" zoomScaleNormal="100" zoomScaleSheetLayoutView="100" workbookViewId="0">
      <selection activeCell="E4" sqref="E4"/>
    </sheetView>
  </sheetViews>
  <sheetFormatPr defaultColWidth="9.140625" defaultRowHeight="11.25"/>
  <cols>
    <col min="1" max="1" width="90.28515625" style="162" customWidth="1"/>
    <col min="2" max="2" width="9.140625" style="185" customWidth="1"/>
    <col min="3" max="4" width="9.140625" style="162" customWidth="1"/>
    <col min="5" max="5" width="9.140625" style="162"/>
    <col min="6" max="6" width="9.140625" style="162" customWidth="1"/>
    <col min="7" max="8" width="9.140625" style="162"/>
    <col min="9" max="9" width="9.140625" style="162" customWidth="1"/>
    <col min="10" max="16384" width="9.140625" style="162"/>
  </cols>
  <sheetData>
    <row r="1" spans="1:4" ht="18.75">
      <c r="A1" s="25" t="s">
        <v>144</v>
      </c>
      <c r="C1" s="191"/>
      <c r="D1" s="191"/>
    </row>
    <row r="2" spans="1:4" s="161" customFormat="1" ht="6" customHeight="1">
      <c r="A2" s="210"/>
      <c r="B2" s="210"/>
      <c r="C2" s="210"/>
      <c r="D2" s="210"/>
    </row>
    <row r="3" spans="1:4" ht="11.25" customHeight="1">
      <c r="A3" s="585" t="s">
        <v>308</v>
      </c>
      <c r="B3" s="585"/>
    </row>
    <row r="4" spans="1:4" ht="11.25" customHeight="1">
      <c r="A4" s="585"/>
      <c r="B4" s="585"/>
    </row>
    <row r="5" spans="1:4" ht="11.25" customHeight="1">
      <c r="A5" s="585"/>
      <c r="B5" s="585"/>
      <c r="C5" s="186"/>
      <c r="D5" s="186"/>
    </row>
    <row r="6" spans="1:4" ht="11.25" customHeight="1">
      <c r="A6" s="585"/>
      <c r="B6" s="585"/>
      <c r="C6" s="186"/>
      <c r="D6" s="186"/>
    </row>
    <row r="7" spans="1:4" ht="11.25" customHeight="1">
      <c r="A7" s="585"/>
      <c r="B7" s="585"/>
      <c r="C7" s="187"/>
      <c r="D7" s="186"/>
    </row>
    <row r="8" spans="1:4" ht="11.25" customHeight="1">
      <c r="A8" s="585"/>
      <c r="B8" s="585"/>
      <c r="C8" s="186"/>
      <c r="D8" s="186"/>
    </row>
    <row r="9" spans="1:4" ht="11.25" customHeight="1">
      <c r="A9" s="585"/>
      <c r="B9" s="585"/>
      <c r="C9" s="186"/>
      <c r="D9" s="186"/>
    </row>
    <row r="10" spans="1:4" ht="11.25" customHeight="1">
      <c r="A10" s="585"/>
      <c r="B10" s="585"/>
      <c r="C10" s="186"/>
      <c r="D10" s="186"/>
    </row>
    <row r="11" spans="1:4" ht="11.25" customHeight="1">
      <c r="A11" s="585"/>
      <c r="B11" s="585"/>
      <c r="C11" s="186"/>
      <c r="D11" s="186"/>
    </row>
    <row r="12" spans="1:4" ht="11.25" customHeight="1">
      <c r="A12" s="585"/>
      <c r="B12" s="585"/>
      <c r="C12" s="186"/>
      <c r="D12" s="186"/>
    </row>
    <row r="13" spans="1:4" ht="11.25" customHeight="1">
      <c r="A13" s="585"/>
      <c r="B13" s="585"/>
      <c r="C13" s="186"/>
      <c r="D13" s="186"/>
    </row>
    <row r="14" spans="1:4" ht="11.25" customHeight="1">
      <c r="A14" s="585"/>
      <c r="B14" s="585"/>
      <c r="C14" s="186"/>
      <c r="D14" s="186"/>
    </row>
    <row r="15" spans="1:4" ht="11.25" customHeight="1">
      <c r="A15" s="585"/>
      <c r="B15" s="585"/>
      <c r="C15" s="186"/>
      <c r="D15" s="186"/>
    </row>
    <row r="16" spans="1:4" ht="11.25" customHeight="1">
      <c r="A16" s="585"/>
      <c r="B16" s="585"/>
      <c r="C16" s="186"/>
      <c r="D16" s="186"/>
    </row>
    <row r="17" spans="1:6" ht="11.25" customHeight="1">
      <c r="A17" s="585"/>
      <c r="B17" s="585"/>
      <c r="C17" s="186"/>
      <c r="D17" s="186"/>
    </row>
    <row r="18" spans="1:6" ht="11.25" customHeight="1">
      <c r="A18" s="585"/>
      <c r="B18" s="585"/>
      <c r="C18" s="186"/>
      <c r="D18" s="186"/>
      <c r="F18" s="185"/>
    </row>
    <row r="19" spans="1:6" ht="11.25" customHeight="1">
      <c r="A19" s="585"/>
      <c r="B19" s="585"/>
      <c r="C19" s="186"/>
      <c r="D19" s="186"/>
      <c r="F19" s="185"/>
    </row>
    <row r="20" spans="1:6" ht="11.25" customHeight="1">
      <c r="A20" s="585"/>
      <c r="B20" s="585"/>
      <c r="C20" s="186"/>
      <c r="D20" s="186"/>
      <c r="F20" s="185"/>
    </row>
    <row r="21" spans="1:6" ht="11.25" customHeight="1">
      <c r="A21" s="585"/>
      <c r="B21" s="585"/>
      <c r="C21" s="186"/>
      <c r="D21" s="186"/>
      <c r="F21" s="185"/>
    </row>
    <row r="22" spans="1:6" ht="11.25" customHeight="1">
      <c r="A22" s="585"/>
      <c r="B22" s="585"/>
      <c r="C22" s="186"/>
      <c r="D22" s="186"/>
      <c r="F22" s="185"/>
    </row>
    <row r="23" spans="1:6" ht="11.25" customHeight="1">
      <c r="A23" s="585"/>
      <c r="B23" s="585"/>
      <c r="C23" s="186"/>
      <c r="D23" s="186"/>
      <c r="F23" s="185"/>
    </row>
    <row r="24" spans="1:6" ht="11.25" customHeight="1">
      <c r="A24" s="585"/>
      <c r="B24" s="585"/>
      <c r="C24" s="186"/>
      <c r="D24" s="186"/>
      <c r="F24" s="185"/>
    </row>
    <row r="25" spans="1:6" ht="11.25" customHeight="1">
      <c r="A25" s="585"/>
      <c r="B25" s="585"/>
      <c r="C25" s="186"/>
      <c r="D25" s="186"/>
      <c r="F25" s="185"/>
    </row>
    <row r="26" spans="1:6" ht="11.25" customHeight="1">
      <c r="A26" s="585"/>
      <c r="B26" s="585"/>
      <c r="C26" s="186"/>
      <c r="D26" s="186"/>
      <c r="F26" s="185"/>
    </row>
    <row r="27" spans="1:6" ht="11.25" customHeight="1">
      <c r="A27" s="585"/>
      <c r="B27" s="585"/>
      <c r="C27" s="186"/>
      <c r="D27" s="186"/>
      <c r="F27" s="185"/>
    </row>
    <row r="28" spans="1:6" ht="11.25" customHeight="1">
      <c r="A28" s="585"/>
      <c r="B28" s="585"/>
      <c r="C28" s="188"/>
      <c r="D28" s="188"/>
      <c r="F28" s="185"/>
    </row>
    <row r="29" spans="1:6" ht="11.25" customHeight="1">
      <c r="A29" s="585"/>
      <c r="B29" s="585"/>
      <c r="C29" s="186"/>
      <c r="D29" s="186"/>
      <c r="F29" s="185"/>
    </row>
    <row r="30" spans="1:6" ht="11.25" customHeight="1">
      <c r="A30" s="585"/>
      <c r="B30" s="585"/>
      <c r="C30" s="186"/>
      <c r="D30" s="186"/>
    </row>
    <row r="31" spans="1:6" ht="11.25" customHeight="1">
      <c r="A31" s="585"/>
      <c r="B31" s="585"/>
      <c r="C31" s="186"/>
      <c r="D31" s="186"/>
    </row>
    <row r="32" spans="1:6" ht="11.25" customHeight="1">
      <c r="A32" s="585"/>
      <c r="B32" s="585"/>
      <c r="C32" s="186"/>
      <c r="D32" s="186"/>
    </row>
    <row r="33" spans="1:4" ht="11.25" customHeight="1">
      <c r="A33" s="585"/>
      <c r="B33" s="585"/>
      <c r="C33" s="186"/>
      <c r="D33" s="186"/>
    </row>
    <row r="34" spans="1:4" ht="11.25" customHeight="1">
      <c r="A34" s="585"/>
      <c r="B34" s="585"/>
      <c r="C34" s="186"/>
      <c r="D34" s="186"/>
    </row>
    <row r="35" spans="1:4" ht="11.25" customHeight="1">
      <c r="A35" s="585"/>
      <c r="B35" s="585"/>
      <c r="C35" s="186"/>
      <c r="D35" s="186"/>
    </row>
    <row r="36" spans="1:4" ht="11.25" customHeight="1">
      <c r="A36" s="585"/>
      <c r="B36" s="585"/>
      <c r="C36" s="186"/>
      <c r="D36" s="186"/>
    </row>
    <row r="37" spans="1:4" ht="11.25" customHeight="1">
      <c r="A37" s="585"/>
      <c r="B37" s="585"/>
      <c r="C37" s="189"/>
      <c r="D37" s="189"/>
    </row>
    <row r="38" spans="1:4" ht="11.25" customHeight="1">
      <c r="A38" s="585"/>
      <c r="B38" s="585"/>
    </row>
    <row r="39" spans="1:4" ht="11.25" customHeight="1">
      <c r="A39" s="585"/>
      <c r="B39" s="585"/>
    </row>
    <row r="40" spans="1:4" ht="11.25" customHeight="1">
      <c r="A40" s="585"/>
      <c r="B40" s="585"/>
    </row>
    <row r="41" spans="1:4" ht="11.25" customHeight="1">
      <c r="A41" s="585"/>
      <c r="B41" s="585"/>
    </row>
    <row r="42" spans="1:4" ht="11.25" customHeight="1">
      <c r="A42" s="585"/>
      <c r="B42" s="585"/>
    </row>
    <row r="43" spans="1:4" ht="11.25" customHeight="1">
      <c r="A43" s="585"/>
      <c r="B43" s="585"/>
    </row>
    <row r="44" spans="1:4" ht="11.25" customHeight="1">
      <c r="A44" s="585"/>
      <c r="B44" s="585"/>
    </row>
    <row r="45" spans="1:4" ht="11.25" customHeight="1">
      <c r="A45" s="585"/>
      <c r="B45" s="585"/>
    </row>
    <row r="46" spans="1:4" ht="11.25" customHeight="1">
      <c r="A46" s="585"/>
      <c r="B46" s="585"/>
    </row>
    <row r="47" spans="1:4" ht="11.25" customHeight="1">
      <c r="A47" s="585"/>
      <c r="B47" s="585"/>
    </row>
    <row r="48" spans="1:4" ht="11.25" customHeight="1">
      <c r="A48" s="585"/>
      <c r="B48" s="585"/>
    </row>
    <row r="49" spans="1:2" ht="11.25" customHeight="1">
      <c r="A49" s="585"/>
      <c r="B49" s="585"/>
    </row>
    <row r="50" spans="1:2" ht="11.25" customHeight="1">
      <c r="A50" s="585"/>
      <c r="B50" s="585"/>
    </row>
    <row r="51" spans="1:2" ht="11.25" customHeight="1">
      <c r="A51" s="585"/>
      <c r="B51" s="585"/>
    </row>
    <row r="52" spans="1:2" ht="11.25" customHeight="1">
      <c r="A52" s="585"/>
      <c r="B52" s="585"/>
    </row>
    <row r="53" spans="1:2" ht="11.25" customHeight="1">
      <c r="A53" s="585"/>
      <c r="B53" s="585"/>
    </row>
    <row r="54" spans="1:2" ht="11.25" customHeight="1">
      <c r="A54" s="585"/>
      <c r="B54" s="585"/>
    </row>
    <row r="55" spans="1:2" ht="11.25" customHeight="1">
      <c r="A55" s="585"/>
      <c r="B55" s="585"/>
    </row>
    <row r="56" spans="1:2" ht="11.25" customHeight="1">
      <c r="A56" s="585"/>
      <c r="B56" s="585"/>
    </row>
    <row r="57" spans="1:2" ht="11.25" customHeight="1">
      <c r="A57" s="585"/>
      <c r="B57" s="585"/>
    </row>
    <row r="58" spans="1:2" ht="11.25" customHeight="1">
      <c r="A58" s="585"/>
      <c r="B58" s="585"/>
    </row>
    <row r="59" spans="1:2" ht="11.25" customHeight="1">
      <c r="A59" s="585"/>
      <c r="B59" s="585"/>
    </row>
    <row r="60" spans="1:2" ht="11.25" customHeight="1">
      <c r="A60" s="585"/>
      <c r="B60" s="585"/>
    </row>
    <row r="61" spans="1:2" ht="11.25" customHeight="1">
      <c r="A61" s="585"/>
      <c r="B61" s="585"/>
    </row>
    <row r="62" spans="1:2" ht="11.25" customHeight="1">
      <c r="A62" s="585"/>
      <c r="B62" s="585"/>
    </row>
    <row r="63" spans="1:2" ht="11.25" customHeight="1">
      <c r="A63" s="585"/>
      <c r="B63" s="585"/>
    </row>
    <row r="64" spans="1:2" ht="11.25" customHeight="1">
      <c r="A64" s="585"/>
      <c r="B64" s="585"/>
    </row>
    <row r="65" spans="1:2" ht="11.25" customHeight="1">
      <c r="A65" s="585"/>
      <c r="B65" s="585"/>
    </row>
    <row r="66" spans="1:2" ht="11.25" customHeight="1">
      <c r="A66" s="585"/>
      <c r="B66" s="585"/>
    </row>
    <row r="67" spans="1:2" ht="11.25" customHeight="1">
      <c r="A67" s="585"/>
      <c r="B67" s="585"/>
    </row>
    <row r="68" spans="1:2" ht="11.25" customHeight="1">
      <c r="A68" s="585"/>
      <c r="B68" s="585"/>
    </row>
    <row r="69" spans="1:2" ht="11.25" customHeight="1">
      <c r="A69" s="585"/>
      <c r="B69" s="585"/>
    </row>
    <row r="70" spans="1:2" ht="11.25" customHeight="1">
      <c r="A70" s="585"/>
      <c r="B70" s="585"/>
    </row>
    <row r="71" spans="1:2" ht="11.25" customHeight="1">
      <c r="A71" s="585"/>
      <c r="B71" s="585"/>
    </row>
    <row r="72" spans="1:2" ht="11.25" customHeight="1">
      <c r="A72" s="190"/>
      <c r="B72" s="190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P58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6.28515625" style="232" customWidth="1"/>
    <col min="2" max="2" width="10.28515625" style="232" customWidth="1"/>
    <col min="3" max="3" width="10" style="232" customWidth="1"/>
    <col min="4" max="4" width="10.7109375" style="232" customWidth="1"/>
    <col min="5" max="6" width="8.5703125" style="232" customWidth="1"/>
    <col min="7" max="10" width="6.7109375" style="232" customWidth="1"/>
    <col min="11" max="11" width="8.140625" style="232" customWidth="1"/>
    <col min="12" max="13" width="9.140625" style="232"/>
    <col min="14" max="14" width="11.140625" style="232" customWidth="1"/>
    <col min="15" max="16384" width="9.140625" style="232"/>
  </cols>
  <sheetData>
    <row r="1" spans="1:11" s="245" customFormat="1" ht="15.75" customHeight="1">
      <c r="A1" s="682" t="str">
        <f>"6.10. Spotřeba zemního plynu a teplota ovzduší podle krajů: "&amp;LOWER(C3)</f>
        <v>6.10. Spotřeba zemního plynu a teplota ovzduší podle krajů: červen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20.100000000000001" customHeight="1">
      <c r="A3" s="687"/>
      <c r="B3" s="688"/>
      <c r="C3" s="685" t="str">
        <f>'3.1'!F6</f>
        <v>Červen</v>
      </c>
      <c r="D3" s="686"/>
      <c r="E3" s="686"/>
      <c r="F3" s="686"/>
      <c r="G3" s="686"/>
      <c r="H3" s="686"/>
      <c r="I3" s="686"/>
      <c r="J3" s="686"/>
      <c r="K3" s="686"/>
    </row>
    <row r="4" spans="1:11" ht="20.100000000000001" customHeight="1">
      <c r="A4" s="323"/>
      <c r="B4" s="311"/>
      <c r="C4" s="691" t="s">
        <v>67</v>
      </c>
      <c r="D4" s="692"/>
      <c r="E4" s="692"/>
      <c r="F4" s="693"/>
      <c r="G4" s="691" t="s">
        <v>258</v>
      </c>
      <c r="H4" s="692"/>
      <c r="I4" s="692"/>
      <c r="J4" s="692"/>
      <c r="K4" s="692"/>
    </row>
    <row r="5" spans="1:11" ht="24.95" customHeight="1">
      <c r="A5" s="326"/>
      <c r="B5" s="327"/>
      <c r="C5" s="337"/>
      <c r="D5" s="338"/>
      <c r="E5" s="337"/>
      <c r="F5" s="667" t="s">
        <v>240</v>
      </c>
      <c r="G5" s="683"/>
      <c r="H5" s="683"/>
      <c r="I5" s="683"/>
      <c r="J5" s="683"/>
      <c r="K5" s="684"/>
    </row>
    <row r="6" spans="1:11" ht="14.1" customHeight="1">
      <c r="A6" s="328"/>
      <c r="B6" s="689" t="s">
        <v>254</v>
      </c>
      <c r="C6" s="312"/>
      <c r="D6" s="339"/>
      <c r="E6" s="400" t="s">
        <v>255</v>
      </c>
      <c r="F6" s="689"/>
      <c r="G6" s="315" t="s">
        <v>74</v>
      </c>
      <c r="H6" s="315" t="s">
        <v>241</v>
      </c>
      <c r="I6" s="315" t="s">
        <v>242</v>
      </c>
      <c r="J6" s="315" t="s">
        <v>256</v>
      </c>
      <c r="K6" s="315" t="s">
        <v>257</v>
      </c>
    </row>
    <row r="7" spans="1:11" ht="15" customHeight="1">
      <c r="A7" s="407" t="s">
        <v>259</v>
      </c>
      <c r="B7" s="690"/>
      <c r="C7" s="406" t="s">
        <v>294</v>
      </c>
      <c r="D7" s="404" t="s">
        <v>289</v>
      </c>
      <c r="E7" s="406" t="s">
        <v>295</v>
      </c>
      <c r="F7" s="404" t="s">
        <v>295</v>
      </c>
      <c r="G7" s="316" t="s">
        <v>292</v>
      </c>
      <c r="H7" s="317" t="s">
        <v>292</v>
      </c>
      <c r="I7" s="317" t="s">
        <v>292</v>
      </c>
      <c r="J7" s="317" t="s">
        <v>292</v>
      </c>
      <c r="K7" s="317" t="s">
        <v>292</v>
      </c>
    </row>
    <row r="8" spans="1:11" ht="14.1" customHeight="1">
      <c r="A8" s="207" t="s">
        <v>9</v>
      </c>
      <c r="B8" s="120">
        <f>'6.1'!D26</f>
        <v>104840</v>
      </c>
      <c r="C8" s="116">
        <f>'6.1'!E26</f>
        <v>11612.873569999998</v>
      </c>
      <c r="D8" s="120">
        <f>'6.1'!F26</f>
        <v>124052.32879</v>
      </c>
      <c r="E8" s="145">
        <f>D8/$D$22</f>
        <v>2.944343313728362E-2</v>
      </c>
      <c r="F8" s="121">
        <f>'6.1'!H26</f>
        <v>0.18357064752219279</v>
      </c>
      <c r="G8" s="125">
        <v>15.986666666666672</v>
      </c>
      <c r="H8" s="126">
        <v>21.8</v>
      </c>
      <c r="I8" s="126">
        <v>12.4</v>
      </c>
      <c r="J8" s="126">
        <v>15.399999999999993</v>
      </c>
      <c r="K8" s="451">
        <v>0.58666666666667844</v>
      </c>
    </row>
    <row r="9" spans="1:11" ht="14.1" customHeight="1">
      <c r="A9" s="472" t="s">
        <v>10</v>
      </c>
      <c r="B9" s="143">
        <f>'6.1'!D56</f>
        <v>385377</v>
      </c>
      <c r="C9" s="144">
        <f>'6.1'!E56</f>
        <v>32347.7</v>
      </c>
      <c r="D9" s="143">
        <f>'6.1'!F56</f>
        <v>346481.67340000015</v>
      </c>
      <c r="E9" s="146">
        <f t="shared" ref="E9:E21" si="0">D9/$D$22</f>
        <v>8.2236343997351927E-2</v>
      </c>
      <c r="F9" s="147">
        <f>'6.1'!H56</f>
        <v>0.147512894917948</v>
      </c>
      <c r="G9" s="148">
        <v>18.05</v>
      </c>
      <c r="H9" s="149">
        <v>23.9</v>
      </c>
      <c r="I9" s="149">
        <v>14</v>
      </c>
      <c r="J9" s="149">
        <v>17</v>
      </c>
      <c r="K9" s="151">
        <v>1.0500000000000007</v>
      </c>
    </row>
    <row r="10" spans="1:11" ht="14.1" customHeight="1">
      <c r="A10" s="207" t="s">
        <v>11</v>
      </c>
      <c r="B10" s="120">
        <f>'6.2'!D25</f>
        <v>84575</v>
      </c>
      <c r="C10" s="116">
        <f>'6.2'!E25</f>
        <v>10114</v>
      </c>
      <c r="D10" s="120">
        <f>'6.2'!F25</f>
        <v>108333.1029</v>
      </c>
      <c r="E10" s="145">
        <f t="shared" si="0"/>
        <v>2.5712523923595552E-2</v>
      </c>
      <c r="F10" s="121">
        <f>'6.2'!H25</f>
        <v>8.7784207016713717E-2</v>
      </c>
      <c r="G10" s="125">
        <v>15.333333333333334</v>
      </c>
      <c r="H10" s="126">
        <v>20.8</v>
      </c>
      <c r="I10" s="126">
        <v>9.6</v>
      </c>
      <c r="J10" s="126">
        <v>14.600000000000007</v>
      </c>
      <c r="K10" s="451">
        <v>0.73333333333332718</v>
      </c>
    </row>
    <row r="11" spans="1:11" ht="14.1" customHeight="1">
      <c r="A11" s="472" t="s">
        <v>111</v>
      </c>
      <c r="B11" s="143">
        <f>'6.2'!D55</f>
        <v>118102</v>
      </c>
      <c r="C11" s="144">
        <f>'6.2'!E55</f>
        <v>12762.2</v>
      </c>
      <c r="D11" s="143">
        <f>'6.2'!F55</f>
        <v>136697.94030999998</v>
      </c>
      <c r="E11" s="146">
        <f t="shared" si="0"/>
        <v>3.2444829571360051E-2</v>
      </c>
      <c r="F11" s="147">
        <f>'6.2'!H55</f>
        <v>0.14570166618787703</v>
      </c>
      <c r="G11" s="148">
        <v>16.706666666666667</v>
      </c>
      <c r="H11" s="149">
        <v>22</v>
      </c>
      <c r="I11" s="149">
        <v>12.2</v>
      </c>
      <c r="J11" s="149">
        <v>15.199999999999992</v>
      </c>
      <c r="K11" s="151">
        <v>1.5066666666666748</v>
      </c>
    </row>
    <row r="12" spans="1:11" ht="14.1" customHeight="1">
      <c r="A12" s="207" t="s">
        <v>12</v>
      </c>
      <c r="B12" s="120">
        <f>'6.3'!D25</f>
        <v>93408</v>
      </c>
      <c r="C12" s="116">
        <f>'6.3'!E25</f>
        <v>11264.7</v>
      </c>
      <c r="D12" s="120">
        <f>'6.3'!F25</f>
        <v>120657.56075999995</v>
      </c>
      <c r="E12" s="145">
        <f t="shared" si="0"/>
        <v>2.8637695538619917E-2</v>
      </c>
      <c r="F12" s="121">
        <f>'6.3'!H25</f>
        <v>7.7022167355484759E-3</v>
      </c>
      <c r="G12" s="125">
        <v>16.450000000000003</v>
      </c>
      <c r="H12" s="126">
        <v>20.399999999999999</v>
      </c>
      <c r="I12" s="126">
        <v>12.5</v>
      </c>
      <c r="J12" s="126">
        <v>15.100000000000007</v>
      </c>
      <c r="K12" s="451">
        <v>1.3499999999999961</v>
      </c>
    </row>
    <row r="13" spans="1:11" ht="14.1" customHeight="1">
      <c r="A13" s="472" t="s">
        <v>13</v>
      </c>
      <c r="B13" s="143">
        <f>'6.3'!D55</f>
        <v>379191</v>
      </c>
      <c r="C13" s="144">
        <f>'6.3'!E55</f>
        <v>44252.785999999993</v>
      </c>
      <c r="D13" s="143">
        <f>'6.3'!F55</f>
        <v>473792.52699999989</v>
      </c>
      <c r="E13" s="146">
        <f t="shared" si="0"/>
        <v>0.11245317783017446</v>
      </c>
      <c r="F13" s="147">
        <f>'6.3'!H55</f>
        <v>2.2855013339385118E-2</v>
      </c>
      <c r="G13" s="148">
        <v>16.670000000000002</v>
      </c>
      <c r="H13" s="149">
        <v>22.4</v>
      </c>
      <c r="I13" s="149">
        <v>12.2</v>
      </c>
      <c r="J13" s="149">
        <v>15.5</v>
      </c>
      <c r="K13" s="151">
        <v>1.1700000000000017</v>
      </c>
    </row>
    <row r="14" spans="1:11" ht="14.1" customHeight="1">
      <c r="A14" s="207" t="s">
        <v>14</v>
      </c>
      <c r="B14" s="120">
        <f>'6.4'!D25</f>
        <v>187484</v>
      </c>
      <c r="C14" s="116">
        <f>'6.4'!E25</f>
        <v>18784.5</v>
      </c>
      <c r="D14" s="120">
        <f>'6.4'!F25</f>
        <v>201204.99601000003</v>
      </c>
      <c r="E14" s="145">
        <f t="shared" si="0"/>
        <v>4.7755377949707682E-2</v>
      </c>
      <c r="F14" s="121">
        <f>'6.4'!H25</f>
        <v>0.11071363106887977</v>
      </c>
      <c r="G14" s="125">
        <v>16.613333333333337</v>
      </c>
      <c r="H14" s="126">
        <v>21.5</v>
      </c>
      <c r="I14" s="126">
        <v>12.5</v>
      </c>
      <c r="J14" s="126">
        <v>14.899999999999993</v>
      </c>
      <c r="K14" s="451">
        <v>1.7133333333333436</v>
      </c>
    </row>
    <row r="15" spans="1:11" ht="14.1" customHeight="1">
      <c r="A15" s="472" t="s">
        <v>15</v>
      </c>
      <c r="B15" s="143">
        <f>'6.4'!D55</f>
        <v>136889</v>
      </c>
      <c r="C15" s="144">
        <f>'6.4'!E55</f>
        <v>16201.4</v>
      </c>
      <c r="D15" s="143">
        <f>'6.4'!F55</f>
        <v>173535.47270000004</v>
      </c>
      <c r="E15" s="146">
        <f t="shared" si="0"/>
        <v>4.1188102933874461E-2</v>
      </c>
      <c r="F15" s="147">
        <f>'6.4'!H55</f>
        <v>0.11147394779267983</v>
      </c>
      <c r="G15" s="148">
        <v>16.613333333333333</v>
      </c>
      <c r="H15" s="149">
        <v>21.5</v>
      </c>
      <c r="I15" s="149">
        <v>12.6</v>
      </c>
      <c r="J15" s="149">
        <v>16.199999999999992</v>
      </c>
      <c r="K15" s="151">
        <v>0.4133333333333411</v>
      </c>
    </row>
    <row r="16" spans="1:11" ht="14.1" customHeight="1">
      <c r="A16" s="207" t="s">
        <v>16</v>
      </c>
      <c r="B16" s="120">
        <f>'6.5'!D25</f>
        <v>159993</v>
      </c>
      <c r="C16" s="116">
        <f>'6.5'!E25</f>
        <v>14634.599999999999</v>
      </c>
      <c r="D16" s="120">
        <f>'6.5'!F25</f>
        <v>156754.97903000002</v>
      </c>
      <c r="E16" s="145">
        <f t="shared" si="0"/>
        <v>3.720530512425297E-2</v>
      </c>
      <c r="F16" s="121">
        <f>'6.5'!H25</f>
        <v>7.8857934817064546E-2</v>
      </c>
      <c r="G16" s="125">
        <v>16.623333333333338</v>
      </c>
      <c r="H16" s="126">
        <v>22.1</v>
      </c>
      <c r="I16" s="126">
        <v>10.8</v>
      </c>
      <c r="J16" s="126">
        <v>15.600000000000007</v>
      </c>
      <c r="K16" s="451">
        <v>1.0233333333333317</v>
      </c>
    </row>
    <row r="17" spans="1:16" ht="14.1" customHeight="1">
      <c r="A17" s="472" t="s">
        <v>1</v>
      </c>
      <c r="B17" s="143">
        <f>'6.5'!D55</f>
        <v>418957</v>
      </c>
      <c r="C17" s="144">
        <f>'6.5'!E55</f>
        <v>22544.312951957774</v>
      </c>
      <c r="D17" s="143">
        <f>'6.5'!F55</f>
        <v>241490.16324398125</v>
      </c>
      <c r="E17" s="146">
        <f t="shared" si="0"/>
        <v>5.7316936684215135E-2</v>
      </c>
      <c r="F17" s="147">
        <f>'6.5'!H55</f>
        <v>0.17796409203625405</v>
      </c>
      <c r="G17" s="148">
        <v>18.393333333333331</v>
      </c>
      <c r="H17" s="149">
        <v>24.8</v>
      </c>
      <c r="I17" s="149">
        <v>13.8</v>
      </c>
      <c r="J17" s="149">
        <v>16.800000000000008</v>
      </c>
      <c r="K17" s="151">
        <v>1.5933333333333231</v>
      </c>
    </row>
    <row r="18" spans="1:16" ht="14.1" customHeight="1">
      <c r="A18" s="207" t="s">
        <v>17</v>
      </c>
      <c r="B18" s="120">
        <f>'6.6'!D25</f>
        <v>259804</v>
      </c>
      <c r="C18" s="116">
        <f>'6.6'!E25</f>
        <v>47205.079000000005</v>
      </c>
      <c r="D18" s="120">
        <f>'6.6'!F25</f>
        <v>505623.69508799998</v>
      </c>
      <c r="E18" s="145">
        <f t="shared" si="0"/>
        <v>0.12000820624779669</v>
      </c>
      <c r="F18" s="121">
        <f>'6.6'!H25</f>
        <v>-7.3159107695118478E-2</v>
      </c>
      <c r="G18" s="125">
        <v>17.09</v>
      </c>
      <c r="H18" s="126">
        <v>22.5</v>
      </c>
      <c r="I18" s="126">
        <v>13.5</v>
      </c>
      <c r="J18" s="126">
        <v>16.600000000000009</v>
      </c>
      <c r="K18" s="451">
        <v>0.48999999999999133</v>
      </c>
      <c r="L18" s="238"/>
      <c r="N18" s="238"/>
      <c r="O18" s="238"/>
      <c r="P18" s="238"/>
    </row>
    <row r="19" spans="1:16" ht="14.1" customHeight="1">
      <c r="A19" s="472" t="s">
        <v>18</v>
      </c>
      <c r="B19" s="143">
        <f>'6.6'!D55</f>
        <v>222762</v>
      </c>
      <c r="C19" s="144">
        <f>'6.6'!E55</f>
        <v>120179.87400000001</v>
      </c>
      <c r="D19" s="143">
        <f>'6.6'!F55</f>
        <v>1287228.0359199999</v>
      </c>
      <c r="E19" s="146">
        <f t="shared" si="0"/>
        <v>0.3055195575748243</v>
      </c>
      <c r="F19" s="147">
        <f>'6.6'!H55</f>
        <v>7.000675677299957E-2</v>
      </c>
      <c r="G19" s="148">
        <v>17.223333333333336</v>
      </c>
      <c r="H19" s="149">
        <v>22.2</v>
      </c>
      <c r="I19" s="149">
        <v>11.8</v>
      </c>
      <c r="J19" s="149">
        <v>16.699999999999992</v>
      </c>
      <c r="K19" s="151">
        <v>0.52333333333334409</v>
      </c>
      <c r="L19" s="238"/>
      <c r="N19" s="238"/>
      <c r="O19" s="238"/>
      <c r="P19" s="238"/>
    </row>
    <row r="20" spans="1:16" ht="14.1" customHeight="1">
      <c r="A20" s="207" t="s">
        <v>19</v>
      </c>
      <c r="B20" s="120">
        <f>'6.7'!D25</f>
        <v>120047</v>
      </c>
      <c r="C20" s="116">
        <f>'6.7'!E25</f>
        <v>12206.11743</v>
      </c>
      <c r="D20" s="120">
        <f>'6.7'!F25</f>
        <v>130698.27300000002</v>
      </c>
      <c r="E20" s="145">
        <f t="shared" si="0"/>
        <v>3.1020827257086929E-2</v>
      </c>
      <c r="F20" s="121">
        <f>'6.7'!H25</f>
        <v>0.13698282144002924</v>
      </c>
      <c r="G20" s="125">
        <v>16.083333333333332</v>
      </c>
      <c r="H20" s="126">
        <v>22</v>
      </c>
      <c r="I20" s="126">
        <v>12.1</v>
      </c>
      <c r="J20" s="126">
        <v>15.199999999999992</v>
      </c>
      <c r="K20" s="451">
        <v>0.88333333333333997</v>
      </c>
      <c r="L20" s="238"/>
      <c r="N20" s="238"/>
      <c r="O20" s="238"/>
      <c r="P20" s="238"/>
    </row>
    <row r="21" spans="1:16" ht="14.1" customHeight="1">
      <c r="A21" s="240" t="s">
        <v>20</v>
      </c>
      <c r="B21" s="115">
        <f>'6.7'!D55</f>
        <v>157324</v>
      </c>
      <c r="C21" s="557">
        <f>'6.7'!E55</f>
        <v>19296.8</v>
      </c>
      <c r="D21" s="115">
        <f>'6.7'!F55</f>
        <v>206691.91996999996</v>
      </c>
      <c r="E21" s="558">
        <f t="shared" si="0"/>
        <v>4.9057682229856271E-2</v>
      </c>
      <c r="F21" s="117">
        <f>'6.7'!H55</f>
        <v>0.38302538594957242</v>
      </c>
      <c r="G21" s="559">
        <v>16.43</v>
      </c>
      <c r="H21" s="126">
        <v>22.3</v>
      </c>
      <c r="I21" s="126">
        <v>12</v>
      </c>
      <c r="J21" s="126">
        <v>16.5</v>
      </c>
      <c r="K21" s="125">
        <v>-7.0000000000000284E-2</v>
      </c>
      <c r="L21" s="238"/>
    </row>
    <row r="22" spans="1:16" ht="14.1" customHeight="1">
      <c r="A22" s="560" t="s">
        <v>0</v>
      </c>
      <c r="B22" s="561">
        <f>SUM(B8:B21)</f>
        <v>2828753</v>
      </c>
      <c r="C22" s="562">
        <f>SUM(C8:C21)</f>
        <v>393406.94295195775</v>
      </c>
      <c r="D22" s="563">
        <f>SUM(D8:D21)</f>
        <v>4213242.6681219814</v>
      </c>
      <c r="E22" s="564">
        <f>SUM(E8:E21)</f>
        <v>1</v>
      </c>
      <c r="F22" s="565"/>
      <c r="G22" s="566">
        <v>16.643333333333331</v>
      </c>
      <c r="H22" s="566">
        <v>21.9</v>
      </c>
      <c r="I22" s="566">
        <v>13</v>
      </c>
      <c r="J22" s="566">
        <v>16.59</v>
      </c>
      <c r="K22" s="566">
        <v>5.3333333333331012E-2</v>
      </c>
    </row>
    <row r="23" spans="1:16" ht="14.1" customHeight="1">
      <c r="A23" s="552" t="s">
        <v>114</v>
      </c>
      <c r="B23" s="553"/>
      <c r="C23" s="367">
        <f>'5.1'!E28</f>
        <v>10078.806998087055</v>
      </c>
      <c r="D23" s="366">
        <f>'5.1'!F28</f>
        <v>108241.09503999997</v>
      </c>
      <c r="E23" s="554"/>
      <c r="F23" s="369">
        <f>'5.1'!H28</f>
        <v>-0.19958075686345719</v>
      </c>
      <c r="G23" s="555">
        <v>16.643333333333331</v>
      </c>
      <c r="H23" s="556">
        <v>21.9</v>
      </c>
      <c r="I23" s="556">
        <v>13</v>
      </c>
      <c r="J23" s="556">
        <v>16.59</v>
      </c>
      <c r="K23" s="556">
        <v>5.3333333333331012E-2</v>
      </c>
    </row>
    <row r="24" spans="1:16" ht="14.1" customHeight="1">
      <c r="A24" s="473" t="s">
        <v>62</v>
      </c>
      <c r="B24" s="383">
        <f>B22+B23</f>
        <v>2828753</v>
      </c>
      <c r="C24" s="384">
        <f t="shared" ref="C24:D24" si="1">C22+C23</f>
        <v>403485.74995004479</v>
      </c>
      <c r="D24" s="385">
        <f t="shared" si="1"/>
        <v>4321483.7631619815</v>
      </c>
      <c r="E24" s="386"/>
      <c r="F24" s="387">
        <f>'5.1'!H29</f>
        <v>6.85513365824931E-2</v>
      </c>
      <c r="G24" s="388">
        <v>16.643333333333331</v>
      </c>
      <c r="H24" s="389">
        <v>21.9</v>
      </c>
      <c r="I24" s="389">
        <v>13</v>
      </c>
      <c r="J24" s="389">
        <v>16.59</v>
      </c>
      <c r="K24" s="389">
        <v>5.3333333333331012E-2</v>
      </c>
    </row>
    <row r="25" spans="1:16" ht="15" customHeight="1">
      <c r="A25" s="207"/>
      <c r="B25" s="208"/>
      <c r="C25" s="695" t="s">
        <v>217</v>
      </c>
      <c r="D25" s="695"/>
      <c r="E25" s="695"/>
      <c r="F25" s="695"/>
      <c r="G25" s="698" t="s">
        <v>132</v>
      </c>
      <c r="H25" s="698"/>
      <c r="I25" s="698"/>
      <c r="J25" s="698"/>
      <c r="K25" s="698"/>
    </row>
    <row r="26" spans="1:16" ht="15" customHeight="1">
      <c r="A26" s="114"/>
      <c r="B26" s="114"/>
      <c r="C26" s="681"/>
      <c r="D26" s="681"/>
      <c r="E26" s="681"/>
      <c r="F26" s="681"/>
      <c r="G26" s="699" t="s">
        <v>133</v>
      </c>
      <c r="H26" s="699"/>
      <c r="I26" s="699"/>
      <c r="J26" s="699"/>
      <c r="K26" s="699"/>
    </row>
    <row r="27" spans="1:16" ht="30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6" ht="15" customHeight="1">
      <c r="A28" s="267"/>
      <c r="B28" s="267"/>
      <c r="C28" s="114"/>
      <c r="D28" s="242"/>
      <c r="E28" s="243"/>
      <c r="F28" s="243"/>
      <c r="G28" s="114"/>
      <c r="H28" s="240"/>
      <c r="I28" s="267"/>
      <c r="J28" s="114"/>
      <c r="K28" s="114"/>
    </row>
    <row r="29" spans="1:16" ht="18" customHeight="1">
      <c r="A29" s="114"/>
      <c r="B29" s="114"/>
      <c r="C29" s="114"/>
      <c r="D29" s="242"/>
      <c r="E29" s="243"/>
      <c r="F29" s="243"/>
      <c r="G29" s="114"/>
      <c r="H29" s="114"/>
      <c r="I29" s="114"/>
      <c r="J29" s="114"/>
      <c r="K29" s="114"/>
    </row>
    <row r="30" spans="1:16" ht="15" customHeight="1">
      <c r="A30" s="647" t="s">
        <v>70</v>
      </c>
      <c r="B30" s="647"/>
      <c r="C30" s="647"/>
      <c r="D30" s="647"/>
      <c r="E30" s="647"/>
      <c r="F30" s="647" t="s">
        <v>71</v>
      </c>
      <c r="G30" s="647"/>
      <c r="H30" s="647"/>
      <c r="I30" s="647"/>
      <c r="J30" s="647"/>
      <c r="K30" s="647"/>
    </row>
    <row r="31" spans="1:16" ht="15" customHeight="1">
      <c r="A31" s="409"/>
      <c r="B31" s="639" t="str">
        <f>C3</f>
        <v>Červen</v>
      </c>
      <c r="C31" s="639"/>
      <c r="D31" s="409"/>
      <c r="E31" s="409"/>
      <c r="F31" s="409"/>
      <c r="G31" s="409"/>
      <c r="H31" s="639" t="str">
        <f>C3</f>
        <v>Červen</v>
      </c>
      <c r="I31" s="639"/>
      <c r="J31" s="409"/>
      <c r="K31" s="409"/>
    </row>
    <row r="32" spans="1:16" ht="15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5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5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5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P58"/>
  <sheetViews>
    <sheetView showGridLines="0" zoomScaleNormal="100" zoomScaleSheetLayoutView="100" workbookViewId="0">
      <selection activeCell="A2" sqref="A2:B2"/>
    </sheetView>
  </sheetViews>
  <sheetFormatPr defaultColWidth="9.140625" defaultRowHeight="12.75"/>
  <cols>
    <col min="1" max="1" width="16.28515625" style="232" customWidth="1"/>
    <col min="2" max="2" width="10.28515625" style="232" customWidth="1"/>
    <col min="3" max="3" width="10" style="232" customWidth="1"/>
    <col min="4" max="4" width="10.7109375" style="232" customWidth="1"/>
    <col min="5" max="6" width="8.5703125" style="232" customWidth="1"/>
    <col min="7" max="10" width="6.7109375" style="232" customWidth="1"/>
    <col min="11" max="11" width="8.140625" style="232" customWidth="1"/>
    <col min="12" max="13" width="9.140625" style="232"/>
    <col min="14" max="14" width="11.140625" style="232" customWidth="1"/>
    <col min="15" max="16384" width="9.140625" style="232"/>
  </cols>
  <sheetData>
    <row r="1" spans="1:11" s="245" customFormat="1" ht="15.75" customHeight="1">
      <c r="A1" s="682" t="str">
        <f>"6.11. Spotřeba zemního plynu a teplota ovzduší podle krajů: "&amp;LOWER(C3)</f>
        <v>6.11. Spotřeba zemního plynu a teplota ovzduší podle krajů: ii. čtvrtletí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1" ht="6" customHeight="1">
      <c r="A2" s="694"/>
      <c r="B2" s="694"/>
      <c r="C2" s="234"/>
      <c r="D2" s="235"/>
      <c r="E2" s="236"/>
      <c r="F2" s="236"/>
      <c r="G2" s="236"/>
      <c r="H2" s="236"/>
      <c r="I2" s="96"/>
      <c r="J2" s="96"/>
      <c r="K2" s="96"/>
    </row>
    <row r="3" spans="1:11" ht="20.100000000000001" customHeight="1">
      <c r="A3" s="687"/>
      <c r="B3" s="688"/>
      <c r="C3" s="685" t="str">
        <f>'3.1'!G6</f>
        <v>II. čtvrtletí</v>
      </c>
      <c r="D3" s="686"/>
      <c r="E3" s="686"/>
      <c r="F3" s="686"/>
      <c r="G3" s="686"/>
      <c r="H3" s="686"/>
      <c r="I3" s="686"/>
      <c r="J3" s="686"/>
      <c r="K3" s="686"/>
    </row>
    <row r="4" spans="1:11" ht="20.100000000000001" customHeight="1">
      <c r="A4" s="323"/>
      <c r="B4" s="311"/>
      <c r="C4" s="691" t="s">
        <v>67</v>
      </c>
      <c r="D4" s="692"/>
      <c r="E4" s="692"/>
      <c r="F4" s="693"/>
      <c r="G4" s="691" t="s">
        <v>258</v>
      </c>
      <c r="H4" s="692"/>
      <c r="I4" s="692"/>
      <c r="J4" s="692"/>
      <c r="K4" s="692"/>
    </row>
    <row r="5" spans="1:11" ht="24.95" customHeight="1">
      <c r="A5" s="326"/>
      <c r="B5" s="327"/>
      <c r="C5" s="337"/>
      <c r="D5" s="338"/>
      <c r="E5" s="337"/>
      <c r="F5" s="667" t="s">
        <v>240</v>
      </c>
      <c r="G5" s="683"/>
      <c r="H5" s="683"/>
      <c r="I5" s="683"/>
      <c r="J5" s="683"/>
      <c r="K5" s="684"/>
    </row>
    <row r="6" spans="1:11" ht="14.1" customHeight="1">
      <c r="A6" s="328"/>
      <c r="B6" s="689" t="s">
        <v>254</v>
      </c>
      <c r="C6" s="312"/>
      <c r="D6" s="339"/>
      <c r="E6" s="400" t="s">
        <v>255</v>
      </c>
      <c r="F6" s="689"/>
      <c r="G6" s="315" t="s">
        <v>74</v>
      </c>
      <c r="H6" s="315" t="s">
        <v>241</v>
      </c>
      <c r="I6" s="315" t="s">
        <v>242</v>
      </c>
      <c r="J6" s="315" t="s">
        <v>256</v>
      </c>
      <c r="K6" s="315" t="s">
        <v>257</v>
      </c>
    </row>
    <row r="7" spans="1:11" ht="15" customHeight="1">
      <c r="A7" s="407" t="s">
        <v>259</v>
      </c>
      <c r="B7" s="690"/>
      <c r="C7" s="406" t="s">
        <v>294</v>
      </c>
      <c r="D7" s="404" t="s">
        <v>289</v>
      </c>
      <c r="E7" s="406" t="s">
        <v>295</v>
      </c>
      <c r="F7" s="404" t="s">
        <v>295</v>
      </c>
      <c r="G7" s="316" t="s">
        <v>292</v>
      </c>
      <c r="H7" s="317" t="s">
        <v>292</v>
      </c>
      <c r="I7" s="317" t="s">
        <v>292</v>
      </c>
      <c r="J7" s="317" t="s">
        <v>292</v>
      </c>
      <c r="K7" s="317" t="s">
        <v>292</v>
      </c>
    </row>
    <row r="8" spans="1:11" ht="14.1" customHeight="1">
      <c r="A8" s="207" t="s">
        <v>9</v>
      </c>
      <c r="B8" s="120">
        <f>'6.1'!D32</f>
        <v>104840</v>
      </c>
      <c r="C8" s="116">
        <f>'6.1'!E32</f>
        <v>47213.564210000004</v>
      </c>
      <c r="D8" s="120">
        <f>'6.1'!F32</f>
        <v>504302.97490999999</v>
      </c>
      <c r="E8" s="145">
        <f>D8/$D$22</f>
        <v>3.2828192281857023E-2</v>
      </c>
      <c r="F8" s="121">
        <f>'6.1'!H32</f>
        <v>-5.3603903436325991E-2</v>
      </c>
      <c r="G8" s="125">
        <f>AVERAGE('6.8'!G8,'6.9'!G8,'6.10'!G8)</f>
        <v>11.994480286738353</v>
      </c>
      <c r="H8" s="126">
        <f>MAX('6.8'!H8,'6.9'!H8,'6.10'!H8)</f>
        <v>21.8</v>
      </c>
      <c r="I8" s="126">
        <f>MIN('6.8'!I8,'6.9'!I8,'6.10'!I8)</f>
        <v>-0.1</v>
      </c>
      <c r="J8" s="126">
        <f>AVERAGE('6.8'!J8,'6.9'!J8,'6.10'!J8)</f>
        <v>11.666666666666663</v>
      </c>
      <c r="K8" s="451">
        <f>G8-J8</f>
        <v>0.32781362007169079</v>
      </c>
    </row>
    <row r="9" spans="1:11" ht="14.1" customHeight="1">
      <c r="A9" s="472" t="s">
        <v>10</v>
      </c>
      <c r="B9" s="143">
        <f>'6.1'!D62</f>
        <v>385377</v>
      </c>
      <c r="C9" s="144">
        <f>'6.1'!E62</f>
        <v>150846.1</v>
      </c>
      <c r="D9" s="143">
        <f>'6.1'!F62</f>
        <v>1612188.9590499999</v>
      </c>
      <c r="E9" s="146">
        <f t="shared" ref="E9:E21" si="0">D9/$D$22</f>
        <v>0.10494732685609395</v>
      </c>
      <c r="F9" s="147">
        <f>'6.1'!H62</f>
        <v>-7.4404237785777719E-2</v>
      </c>
      <c r="G9" s="148">
        <f>AVERAGE('6.8'!G9,'6.9'!G9,'6.10'!G9)</f>
        <v>13.870035842293907</v>
      </c>
      <c r="H9" s="149">
        <f>MAX('6.8'!H9,'6.9'!H9,'6.10'!H9)</f>
        <v>23.9</v>
      </c>
      <c r="I9" s="149">
        <f>MIN('6.8'!I9,'6.9'!I9,'6.10'!I9)</f>
        <v>0.7</v>
      </c>
      <c r="J9" s="149">
        <f>AVERAGE('6.8'!J9,'6.9'!J9,'6.10'!J9)</f>
        <v>13.366666666666665</v>
      </c>
      <c r="K9" s="151">
        <f t="shared" ref="K9:K24" si="1">G9-J9</f>
        <v>0.50336917562724182</v>
      </c>
    </row>
    <row r="10" spans="1:11" ht="14.1" customHeight="1">
      <c r="A10" s="207" t="s">
        <v>11</v>
      </c>
      <c r="B10" s="120">
        <f>'6.2'!D31</f>
        <v>84575</v>
      </c>
      <c r="C10" s="116">
        <f>'6.2'!E31</f>
        <v>39194.5</v>
      </c>
      <c r="D10" s="120">
        <f>'6.2'!F31</f>
        <v>418953.92233000003</v>
      </c>
      <c r="E10" s="145">
        <f t="shared" si="0"/>
        <v>2.7272295829589229E-2</v>
      </c>
      <c r="F10" s="121">
        <f>'6.2'!H31</f>
        <v>-1.9218016890835157E-2</v>
      </c>
      <c r="G10" s="125">
        <f>AVERAGE('6.8'!G10,'6.9'!G10,'6.10'!G10)</f>
        <v>11.349462365591398</v>
      </c>
      <c r="H10" s="126">
        <f>MAX('6.8'!H10,'6.9'!H10,'6.10'!H10)</f>
        <v>20.8</v>
      </c>
      <c r="I10" s="126">
        <f>MIN('6.8'!I10,'6.9'!I10,'6.10'!I10)</f>
        <v>-0.2</v>
      </c>
      <c r="J10" s="126">
        <f>AVERAGE('6.8'!J10,'6.9'!J10,'6.10'!J10)</f>
        <v>10.96666666666667</v>
      </c>
      <c r="K10" s="451">
        <f t="shared" si="1"/>
        <v>0.38279569892472765</v>
      </c>
    </row>
    <row r="11" spans="1:11" ht="14.1" customHeight="1">
      <c r="A11" s="472" t="s">
        <v>111</v>
      </c>
      <c r="B11" s="143">
        <f>'6.2'!D61</f>
        <v>118102</v>
      </c>
      <c r="C11" s="144">
        <f>'6.2'!E61</f>
        <v>52269.1</v>
      </c>
      <c r="D11" s="143">
        <f>'6.2'!F61</f>
        <v>558688.69519</v>
      </c>
      <c r="E11" s="146">
        <f t="shared" si="0"/>
        <v>3.6368494385087248E-2</v>
      </c>
      <c r="F11" s="147">
        <f>'6.2'!H61</f>
        <v>-8.9012362247129981E-2</v>
      </c>
      <c r="G11" s="148">
        <f>AVERAGE('6.8'!G11,'6.9'!G11,'6.10'!G11)</f>
        <v>12.170286738351251</v>
      </c>
      <c r="H11" s="149">
        <f>MAX('6.8'!H11,'6.9'!H11,'6.10'!H11)</f>
        <v>22</v>
      </c>
      <c r="I11" s="149">
        <f>MIN('6.8'!I11,'6.9'!I11,'6.10'!I11)</f>
        <v>-0.6</v>
      </c>
      <c r="J11" s="149">
        <f>AVERAGE('6.8'!J11,'6.9'!J11,'6.10'!J11)</f>
        <v>11.6</v>
      </c>
      <c r="K11" s="151">
        <f t="shared" si="1"/>
        <v>0.57028673835125154</v>
      </c>
    </row>
    <row r="12" spans="1:11" ht="14.1" customHeight="1">
      <c r="A12" s="207" t="s">
        <v>12</v>
      </c>
      <c r="B12" s="120">
        <f>'6.3'!D31</f>
        <v>93408</v>
      </c>
      <c r="C12" s="116">
        <f>'6.3'!E31</f>
        <v>49794.799999999996</v>
      </c>
      <c r="D12" s="120">
        <f>'6.3'!F31</f>
        <v>532211.8470699999</v>
      </c>
      <c r="E12" s="145">
        <f t="shared" si="0"/>
        <v>3.4644952973783838E-2</v>
      </c>
      <c r="F12" s="121">
        <f>'6.3'!H31</f>
        <v>-0.13750595408211877</v>
      </c>
      <c r="G12" s="125">
        <f>AVERAGE('6.8'!G12,'6.9'!G12,'6.10'!G12)</f>
        <v>11.969713261648749</v>
      </c>
      <c r="H12" s="126">
        <f>MAX('6.8'!H12,'6.9'!H12,'6.10'!H12)</f>
        <v>20.399999999999999</v>
      </c>
      <c r="I12" s="126">
        <f>MIN('6.8'!I12,'6.9'!I12,'6.10'!I12)</f>
        <v>-0.1</v>
      </c>
      <c r="J12" s="126">
        <f>AVERAGE('6.8'!J12,'6.9'!J12,'6.10'!J12)</f>
        <v>11.466666666666669</v>
      </c>
      <c r="K12" s="451">
        <f t="shared" si="1"/>
        <v>0.50304659498208082</v>
      </c>
    </row>
    <row r="13" spans="1:11" ht="14.1" customHeight="1">
      <c r="A13" s="472" t="s">
        <v>13</v>
      </c>
      <c r="B13" s="143">
        <f>'6.3'!D61</f>
        <v>379191</v>
      </c>
      <c r="C13" s="144">
        <f>'6.3'!E61</f>
        <v>164080.348</v>
      </c>
      <c r="D13" s="143">
        <f>'6.3'!F61</f>
        <v>1753387.6573499998</v>
      </c>
      <c r="E13" s="146">
        <f t="shared" si="0"/>
        <v>0.11413882135117907</v>
      </c>
      <c r="F13" s="147">
        <f>'6.3'!H61</f>
        <v>-6.8643628712028046E-2</v>
      </c>
      <c r="G13" s="148">
        <f>AVERAGE('6.8'!G13,'6.9'!G13,'6.10'!G13)</f>
        <v>12.29921146953405</v>
      </c>
      <c r="H13" s="149">
        <f>MAX('6.8'!H13,'6.9'!H13,'6.10'!H13)</f>
        <v>22.4</v>
      </c>
      <c r="I13" s="149">
        <f>MIN('6.8'!I13,'6.9'!I13,'6.10'!I13)</f>
        <v>0.7</v>
      </c>
      <c r="J13" s="149">
        <f>AVERAGE('6.8'!J13,'6.9'!J13,'6.10'!J13)</f>
        <v>11.833333333333334</v>
      </c>
      <c r="K13" s="151">
        <f t="shared" si="1"/>
        <v>0.4658781362007165</v>
      </c>
    </row>
    <row r="14" spans="1:11" ht="14.1" customHeight="1">
      <c r="A14" s="207" t="s">
        <v>14</v>
      </c>
      <c r="B14" s="120">
        <f>'6.4'!D31</f>
        <v>187484</v>
      </c>
      <c r="C14" s="116">
        <f>'6.4'!E31</f>
        <v>77210.700000000012</v>
      </c>
      <c r="D14" s="120">
        <f>'6.4'!F31</f>
        <v>825279.04741</v>
      </c>
      <c r="E14" s="145">
        <f t="shared" si="0"/>
        <v>5.3722505324102651E-2</v>
      </c>
      <c r="F14" s="121">
        <f>'6.4'!H31</f>
        <v>-3.0370806652341667E-2</v>
      </c>
      <c r="G14" s="125">
        <f>AVERAGE('6.8'!G14,'6.9'!G14,'6.10'!G14)</f>
        <v>12.153082437275989</v>
      </c>
      <c r="H14" s="126">
        <f>MAX('6.8'!H14,'6.9'!H14,'6.10'!H14)</f>
        <v>21.5</v>
      </c>
      <c r="I14" s="126">
        <f>MIN('6.8'!I14,'6.9'!I14,'6.10'!I14)</f>
        <v>-0.1</v>
      </c>
      <c r="J14" s="126">
        <f>AVERAGE('6.8'!J14,'6.9'!J14,'6.10'!J14)</f>
        <v>11.33333333333333</v>
      </c>
      <c r="K14" s="451">
        <f t="shared" si="1"/>
        <v>0.81974910394265876</v>
      </c>
    </row>
    <row r="15" spans="1:11" ht="14.1" customHeight="1">
      <c r="A15" s="472" t="s">
        <v>15</v>
      </c>
      <c r="B15" s="143">
        <f>'6.4'!D61</f>
        <v>136889</v>
      </c>
      <c r="C15" s="144">
        <f>'6.4'!E61</f>
        <v>63956.200000000004</v>
      </c>
      <c r="D15" s="143">
        <f>'6.4'!F61</f>
        <v>683622.76241000008</v>
      </c>
      <c r="E15" s="146">
        <f t="shared" si="0"/>
        <v>4.4501223687317834E-2</v>
      </c>
      <c r="F15" s="147">
        <f>'6.4'!H61</f>
        <v>-6.7956099814483653E-2</v>
      </c>
      <c r="G15" s="148">
        <f>AVERAGE('6.8'!G15,'6.9'!G15,'6.10'!G15)</f>
        <v>12.153835125448031</v>
      </c>
      <c r="H15" s="149">
        <f>MAX('6.8'!H15,'6.9'!H15,'6.10'!H15)</f>
        <v>21.5</v>
      </c>
      <c r="I15" s="149">
        <f>MIN('6.8'!I15,'6.9'!I15,'6.10'!I15)</f>
        <v>-0.2</v>
      </c>
      <c r="J15" s="149">
        <f>AVERAGE('6.8'!J15,'6.9'!J15,'6.10'!J15)</f>
        <v>12.466666666666669</v>
      </c>
      <c r="K15" s="151">
        <f t="shared" si="1"/>
        <v>-0.3128315412186371</v>
      </c>
    </row>
    <row r="16" spans="1:11" ht="14.1" customHeight="1">
      <c r="A16" s="207" t="s">
        <v>16</v>
      </c>
      <c r="B16" s="120">
        <f>'6.5'!D31</f>
        <v>159993</v>
      </c>
      <c r="C16" s="116">
        <f>'6.5'!E31</f>
        <v>60241.500000000007</v>
      </c>
      <c r="D16" s="120">
        <f>'6.5'!F31</f>
        <v>643897.23333999992</v>
      </c>
      <c r="E16" s="145">
        <f t="shared" si="0"/>
        <v>4.1915243886105666E-2</v>
      </c>
      <c r="F16" s="121">
        <f>'6.5'!H31</f>
        <v>-8.2125199027905701E-2</v>
      </c>
      <c r="G16" s="125">
        <f>AVERAGE('6.8'!G16,'6.9'!G16,'6.10'!G16)</f>
        <v>12.615412186379933</v>
      </c>
      <c r="H16" s="126">
        <f>MAX('6.8'!H16,'6.9'!H16,'6.10'!H16)</f>
        <v>22.1</v>
      </c>
      <c r="I16" s="126">
        <f>MIN('6.8'!I16,'6.9'!I16,'6.10'!I16)</f>
        <v>0.2</v>
      </c>
      <c r="J16" s="126">
        <f>AVERAGE('6.8'!J16,'6.9'!J16,'6.10'!J16)</f>
        <v>11.833333333333334</v>
      </c>
      <c r="K16" s="451">
        <f t="shared" si="1"/>
        <v>0.78207885304659897</v>
      </c>
    </row>
    <row r="17" spans="1:16" ht="14.1" customHeight="1">
      <c r="A17" s="472" t="s">
        <v>1</v>
      </c>
      <c r="B17" s="143">
        <f>'6.5'!D61</f>
        <v>418957</v>
      </c>
      <c r="C17" s="144">
        <f>'6.5'!E61</f>
        <v>118454.71538601666</v>
      </c>
      <c r="D17" s="143">
        <f>'6.5'!F61</f>
        <v>1264781.2891259922</v>
      </c>
      <c r="E17" s="146">
        <f t="shared" si="0"/>
        <v>8.2332418049552436E-2</v>
      </c>
      <c r="F17" s="147">
        <f>'6.5'!H61</f>
        <v>-9.5560019187403603E-2</v>
      </c>
      <c r="G17" s="148">
        <f>AVERAGE('6.8'!G17,'6.9'!G17,'6.10'!G17)</f>
        <v>14.452867383512546</v>
      </c>
      <c r="H17" s="149">
        <f>MAX('6.8'!H17,'6.9'!H17,'6.10'!H17)</f>
        <v>24.8</v>
      </c>
      <c r="I17" s="149">
        <f>MIN('6.8'!I17,'6.9'!I17,'6.10'!I17)</f>
        <v>2.8</v>
      </c>
      <c r="J17" s="149">
        <f>AVERAGE('6.8'!J17,'6.9'!J17,'6.10'!J17)</f>
        <v>13.166666666666666</v>
      </c>
      <c r="K17" s="151">
        <f t="shared" si="1"/>
        <v>1.2862007168458796</v>
      </c>
    </row>
    <row r="18" spans="1:16" ht="14.1" customHeight="1">
      <c r="A18" s="207" t="s">
        <v>17</v>
      </c>
      <c r="B18" s="120">
        <f>'6.6'!D31</f>
        <v>259804</v>
      </c>
      <c r="C18" s="116">
        <f>'6.6'!E31</f>
        <v>184060.34900000002</v>
      </c>
      <c r="D18" s="120">
        <f>'6.6'!F31</f>
        <v>1967408.0351549997</v>
      </c>
      <c r="E18" s="145">
        <f t="shared" si="0"/>
        <v>0.12807072828881333</v>
      </c>
      <c r="F18" s="121">
        <f>'6.6'!H31</f>
        <v>-7.6595000136132269E-2</v>
      </c>
      <c r="G18" s="125">
        <f>AVERAGE('6.8'!G18,'6.9'!G18,'6.10'!G18)</f>
        <v>12.937025089605735</v>
      </c>
      <c r="H18" s="126">
        <f>MAX('6.8'!H18,'6.9'!H18,'6.10'!H18)</f>
        <v>22.5</v>
      </c>
      <c r="I18" s="126">
        <f>MIN('6.8'!I18,'6.9'!I18,'6.10'!I18)</f>
        <v>0.6</v>
      </c>
      <c r="J18" s="126">
        <f>AVERAGE('6.8'!J18,'6.9'!J18,'6.10'!J18)</f>
        <v>12.966666666666674</v>
      </c>
      <c r="K18" s="451">
        <f t="shared" si="1"/>
        <v>-2.9641577060939284E-2</v>
      </c>
      <c r="L18" s="238"/>
      <c r="N18" s="238"/>
      <c r="O18" s="238"/>
      <c r="P18" s="238"/>
    </row>
    <row r="19" spans="1:16" ht="14.1" customHeight="1">
      <c r="A19" s="472" t="s">
        <v>18</v>
      </c>
      <c r="B19" s="143">
        <f>'6.6'!D61</f>
        <v>222762</v>
      </c>
      <c r="C19" s="144">
        <f>'6.6'!E61</f>
        <v>306163.20399999991</v>
      </c>
      <c r="D19" s="143">
        <f>'6.6'!F61</f>
        <v>3272991.1494899997</v>
      </c>
      <c r="E19" s="146">
        <f t="shared" si="0"/>
        <v>0.21305918889621717</v>
      </c>
      <c r="F19" s="147">
        <f>'6.6'!H61</f>
        <v>8.0502173870263496E-2</v>
      </c>
      <c r="G19" s="148">
        <f>AVERAGE('6.8'!G19,'6.9'!G19,'6.10'!G19)</f>
        <v>12.923835125448029</v>
      </c>
      <c r="H19" s="149">
        <f>MAX('6.8'!H19,'6.9'!H19,'6.10'!H19)</f>
        <v>22.2</v>
      </c>
      <c r="I19" s="149">
        <f>MIN('6.8'!I19,'6.9'!I19,'6.10'!I19)</f>
        <v>0.6</v>
      </c>
      <c r="J19" s="149">
        <f>AVERAGE('6.8'!J19,'6.9'!J19,'6.10'!J19)</f>
        <v>13.033333333333326</v>
      </c>
      <c r="K19" s="151">
        <f t="shared" si="1"/>
        <v>-0.10949820788529685</v>
      </c>
      <c r="L19" s="238"/>
      <c r="N19" s="238"/>
      <c r="O19" s="238"/>
      <c r="P19" s="238"/>
    </row>
    <row r="20" spans="1:16" ht="14.1" customHeight="1">
      <c r="A20" s="207" t="s">
        <v>19</v>
      </c>
      <c r="B20" s="120">
        <f>'6.7'!D31</f>
        <v>120047</v>
      </c>
      <c r="C20" s="116">
        <f>'6.7'!E31</f>
        <v>51663.758809999999</v>
      </c>
      <c r="D20" s="120">
        <f>'6.7'!F31</f>
        <v>552154.23652000003</v>
      </c>
      <c r="E20" s="145">
        <f t="shared" si="0"/>
        <v>3.59431261514081E-2</v>
      </c>
      <c r="F20" s="121">
        <f>'6.7'!H31</f>
        <v>-8.0773872724628965E-2</v>
      </c>
      <c r="G20" s="125">
        <f>AVERAGE('6.8'!G20,'6.9'!G20,'6.10'!G20)</f>
        <v>12.000071684587814</v>
      </c>
      <c r="H20" s="126">
        <f>MAX('6.8'!H20,'6.9'!H20,'6.10'!H20)</f>
        <v>22</v>
      </c>
      <c r="I20" s="126">
        <f>MIN('6.8'!I20,'6.9'!I20,'6.10'!I20)</f>
        <v>-0.4</v>
      </c>
      <c r="J20" s="126">
        <f>AVERAGE('6.8'!J20,'6.9'!J20,'6.10'!J20)</f>
        <v>11.499999999999995</v>
      </c>
      <c r="K20" s="451">
        <f t="shared" si="1"/>
        <v>0.50007168458781948</v>
      </c>
      <c r="L20" s="238"/>
      <c r="N20" s="238"/>
      <c r="O20" s="238"/>
      <c r="P20" s="238"/>
    </row>
    <row r="21" spans="1:16" ht="14.1" customHeight="1">
      <c r="A21" s="240" t="s">
        <v>20</v>
      </c>
      <c r="B21" s="115">
        <f>'6.7'!D61</f>
        <v>157324</v>
      </c>
      <c r="C21" s="557">
        <f>'6.7'!E61</f>
        <v>72222.5</v>
      </c>
      <c r="D21" s="115">
        <f>'6.7'!F61</f>
        <v>772019.02803999989</v>
      </c>
      <c r="E21" s="558">
        <f t="shared" si="0"/>
        <v>5.0255482038892352E-2</v>
      </c>
      <c r="F21" s="117">
        <f>'6.7'!H61</f>
        <v>3.5253593948663536E-2</v>
      </c>
      <c r="G21" s="559">
        <f>AVERAGE('6.8'!G21,'6.9'!G21,'6.10'!G21)</f>
        <v>11.625017921146954</v>
      </c>
      <c r="H21" s="126">
        <f>MAX('6.8'!H21,'6.9'!H21,'6.10'!H21)</f>
        <v>22.3</v>
      </c>
      <c r="I21" s="126">
        <f>MIN('6.8'!I21,'6.9'!I21,'6.10'!I21)</f>
        <v>-1.1000000000000001</v>
      </c>
      <c r="J21" s="126">
        <f>AVERAGE('6.8'!J21,'6.9'!J21,'6.10'!J21)</f>
        <v>12.933333333333337</v>
      </c>
      <c r="K21" s="125">
        <f t="shared" si="1"/>
        <v>-1.3083154121863831</v>
      </c>
      <c r="L21" s="238"/>
    </row>
    <row r="22" spans="1:16" ht="14.1" customHeight="1">
      <c r="A22" s="560" t="s">
        <v>0</v>
      </c>
      <c r="B22" s="561">
        <f>SUM(B8:B21)</f>
        <v>2828753</v>
      </c>
      <c r="C22" s="562">
        <f>SUM(C8:C21)</f>
        <v>1437371.3394060165</v>
      </c>
      <c r="D22" s="563">
        <f>SUM(D8:D21)</f>
        <v>15361886.837390993</v>
      </c>
      <c r="E22" s="564">
        <f>SUM(E8:E21)</f>
        <v>1</v>
      </c>
      <c r="F22" s="565"/>
      <c r="G22" s="566">
        <f>AVERAGE('6.8'!G22,'6.9'!G22,'6.10'!G22)</f>
        <v>12.429999999999998</v>
      </c>
      <c r="H22" s="566">
        <f>MAX('6.8'!H22,'6.9'!H22,'6.10'!H22)</f>
        <v>21.9</v>
      </c>
      <c r="I22" s="566">
        <f>MIN('6.8'!I22,'6.9'!I22,'6.10'!I22)</f>
        <v>0.1</v>
      </c>
      <c r="J22" s="566">
        <f>AVERAGE('6.8'!J22,'6.9'!J22,'6.10'!J22)</f>
        <v>12.916415770609319</v>
      </c>
      <c r="K22" s="566">
        <f t="shared" si="1"/>
        <v>-0.48641577060932129</v>
      </c>
      <c r="M22" s="246"/>
    </row>
    <row r="23" spans="1:16" ht="14.1" customHeight="1">
      <c r="A23" s="552" t="s">
        <v>114</v>
      </c>
      <c r="B23" s="553"/>
      <c r="C23" s="367">
        <f>'5.1'!E35</f>
        <v>33437.331656206094</v>
      </c>
      <c r="D23" s="366">
        <f>'5.1'!F35</f>
        <v>358008.452674</v>
      </c>
      <c r="E23" s="554"/>
      <c r="F23" s="369">
        <f>'5.1'!H35</f>
        <v>-0.13098381528373823</v>
      </c>
      <c r="G23" s="555">
        <f>AVERAGE('6.8'!G23,'6.9'!G23,'6.10'!G23)</f>
        <v>12.429999999999998</v>
      </c>
      <c r="H23" s="556">
        <f>MAX('6.8'!H23,'6.9'!H23,'6.10'!H23)</f>
        <v>21.9</v>
      </c>
      <c r="I23" s="556">
        <f>MIN('6.8'!I23,'6.9'!I23,'6.10'!I23)</f>
        <v>0.1</v>
      </c>
      <c r="J23" s="556">
        <f>AVERAGE('6.8'!J23,'6.9'!J23,'6.10'!J23)</f>
        <v>12.916415770609319</v>
      </c>
      <c r="K23" s="556">
        <f t="shared" si="1"/>
        <v>-0.48641577060932129</v>
      </c>
    </row>
    <row r="24" spans="1:16" ht="14.1" customHeight="1">
      <c r="A24" s="473" t="s">
        <v>62</v>
      </c>
      <c r="B24" s="383">
        <f>B22+B23</f>
        <v>2828753</v>
      </c>
      <c r="C24" s="384">
        <f t="shared" ref="C24:D24" si="2">C22+C23</f>
        <v>1470808.6710622227</v>
      </c>
      <c r="D24" s="385">
        <f t="shared" si="2"/>
        <v>15719895.290064992</v>
      </c>
      <c r="E24" s="386"/>
      <c r="F24" s="387">
        <f>'5.1'!H36</f>
        <v>-4.2492165855379606E-2</v>
      </c>
      <c r="G24" s="388">
        <f>AVERAGE('6.8'!G24,'6.9'!G24,'6.10'!G24)</f>
        <v>12.429999999999998</v>
      </c>
      <c r="H24" s="389">
        <f>MAX('6.8'!H24,'6.9'!H24,'6.10'!H24)</f>
        <v>21.9</v>
      </c>
      <c r="I24" s="389">
        <f>MIN('6.8'!I24,'6.9'!I24,'6.10'!I24)</f>
        <v>0.1</v>
      </c>
      <c r="J24" s="389">
        <f>AVERAGE('6.8'!J24,'6.9'!J24,'6.10'!J24)</f>
        <v>12.916415770609319</v>
      </c>
      <c r="K24" s="389">
        <f t="shared" si="1"/>
        <v>-0.48641577060932129</v>
      </c>
    </row>
    <row r="25" spans="1:16" ht="15" customHeight="1">
      <c r="A25" s="207"/>
      <c r="B25" s="208"/>
      <c r="C25" s="695" t="s">
        <v>217</v>
      </c>
      <c r="D25" s="695"/>
      <c r="E25" s="695"/>
      <c r="F25" s="695"/>
      <c r="G25" s="698" t="s">
        <v>132</v>
      </c>
      <c r="H25" s="698"/>
      <c r="I25" s="698"/>
      <c r="J25" s="698"/>
      <c r="K25" s="698"/>
    </row>
    <row r="26" spans="1:16" ht="15" customHeight="1">
      <c r="A26" s="114"/>
      <c r="B26" s="114"/>
      <c r="C26" s="681"/>
      <c r="D26" s="681"/>
      <c r="E26" s="681"/>
      <c r="F26" s="681"/>
      <c r="G26" s="699" t="s">
        <v>133</v>
      </c>
      <c r="H26" s="699"/>
      <c r="I26" s="699"/>
      <c r="J26" s="699"/>
      <c r="K26" s="699"/>
    </row>
    <row r="27" spans="1:16" ht="30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6" ht="15" customHeight="1">
      <c r="A28" s="267"/>
      <c r="B28" s="267"/>
      <c r="C28" s="114"/>
      <c r="D28" s="242"/>
      <c r="E28" s="243"/>
      <c r="F28" s="243"/>
      <c r="G28" s="114"/>
      <c r="H28" s="240"/>
      <c r="I28" s="267"/>
      <c r="J28" s="114"/>
      <c r="K28" s="114"/>
    </row>
    <row r="29" spans="1:16" ht="18" customHeight="1">
      <c r="A29" s="114"/>
      <c r="B29" s="114"/>
      <c r="C29" s="114"/>
      <c r="D29" s="242"/>
      <c r="E29" s="243"/>
      <c r="F29" s="243"/>
      <c r="G29" s="114"/>
      <c r="H29" s="114"/>
      <c r="I29" s="114"/>
      <c r="J29" s="114"/>
      <c r="K29" s="114"/>
    </row>
    <row r="30" spans="1:16" ht="15" customHeight="1">
      <c r="A30" s="647" t="s">
        <v>70</v>
      </c>
      <c r="B30" s="647"/>
      <c r="C30" s="647"/>
      <c r="D30" s="647"/>
      <c r="E30" s="647"/>
      <c r="F30" s="647" t="s">
        <v>71</v>
      </c>
      <c r="G30" s="647"/>
      <c r="H30" s="647"/>
      <c r="I30" s="647"/>
      <c r="J30" s="647"/>
      <c r="K30" s="647"/>
    </row>
    <row r="31" spans="1:16" ht="15" customHeight="1">
      <c r="A31" s="409"/>
      <c r="B31" s="648" t="str">
        <f>C3</f>
        <v>II. čtvrtletí</v>
      </c>
      <c r="C31" s="648"/>
      <c r="D31" s="409"/>
      <c r="E31" s="409"/>
      <c r="F31" s="409"/>
      <c r="G31" s="409"/>
      <c r="H31" s="648" t="str">
        <f>C3</f>
        <v>II. čtvrtletí</v>
      </c>
      <c r="I31" s="639"/>
      <c r="J31" s="409"/>
      <c r="K31" s="409"/>
    </row>
    <row r="32" spans="1:16" ht="15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5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5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5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1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V65"/>
  <sheetViews>
    <sheetView showGridLines="0" zoomScaleNormal="100" zoomScaleSheetLayoutView="100" workbookViewId="0">
      <selection activeCell="A2" sqref="A2:I2"/>
    </sheetView>
  </sheetViews>
  <sheetFormatPr defaultRowHeight="11.25"/>
  <cols>
    <col min="1" max="1" width="8.28515625" style="81" customWidth="1"/>
    <col min="2" max="15" width="7.7109375" style="81" customWidth="1"/>
    <col min="16" max="17" width="9.140625" style="81" customWidth="1"/>
    <col min="18" max="18" width="9.42578125" style="81" customWidth="1"/>
    <col min="19" max="19" width="9.28515625" style="81" bestFit="1" customWidth="1"/>
    <col min="20" max="20" width="11.42578125" style="81" bestFit="1" customWidth="1"/>
    <col min="21" max="259" width="9.140625" style="81"/>
    <col min="260" max="272" width="10.7109375" style="81" customWidth="1"/>
    <col min="273" max="515" width="9.140625" style="81"/>
    <col min="516" max="528" width="10.7109375" style="81" customWidth="1"/>
    <col min="529" max="771" width="9.140625" style="81"/>
    <col min="772" max="784" width="10.7109375" style="81" customWidth="1"/>
    <col min="785" max="1027" width="9.140625" style="81"/>
    <col min="1028" max="1040" width="10.7109375" style="81" customWidth="1"/>
    <col min="1041" max="1283" width="9.140625" style="81"/>
    <col min="1284" max="1296" width="10.7109375" style="81" customWidth="1"/>
    <col min="1297" max="1539" width="9.140625" style="81"/>
    <col min="1540" max="1552" width="10.7109375" style="81" customWidth="1"/>
    <col min="1553" max="1795" width="9.140625" style="81"/>
    <col min="1796" max="1808" width="10.7109375" style="81" customWidth="1"/>
    <col min="1809" max="2051" width="9.140625" style="81"/>
    <col min="2052" max="2064" width="10.7109375" style="81" customWidth="1"/>
    <col min="2065" max="2307" width="9.140625" style="81"/>
    <col min="2308" max="2320" width="10.7109375" style="81" customWidth="1"/>
    <col min="2321" max="2563" width="9.140625" style="81"/>
    <col min="2564" max="2576" width="10.7109375" style="81" customWidth="1"/>
    <col min="2577" max="2819" width="9.140625" style="81"/>
    <col min="2820" max="2832" width="10.7109375" style="81" customWidth="1"/>
    <col min="2833" max="3075" width="9.140625" style="81"/>
    <col min="3076" max="3088" width="10.7109375" style="81" customWidth="1"/>
    <col min="3089" max="3331" width="9.140625" style="81"/>
    <col min="3332" max="3344" width="10.7109375" style="81" customWidth="1"/>
    <col min="3345" max="3587" width="9.140625" style="81"/>
    <col min="3588" max="3600" width="10.7109375" style="81" customWidth="1"/>
    <col min="3601" max="3843" width="9.140625" style="81"/>
    <col min="3844" max="3856" width="10.7109375" style="81" customWidth="1"/>
    <col min="3857" max="4099" width="9.140625" style="81"/>
    <col min="4100" max="4112" width="10.7109375" style="81" customWidth="1"/>
    <col min="4113" max="4355" width="9.140625" style="81"/>
    <col min="4356" max="4368" width="10.7109375" style="81" customWidth="1"/>
    <col min="4369" max="4611" width="9.140625" style="81"/>
    <col min="4612" max="4624" width="10.7109375" style="81" customWidth="1"/>
    <col min="4625" max="4867" width="9.140625" style="81"/>
    <col min="4868" max="4880" width="10.7109375" style="81" customWidth="1"/>
    <col min="4881" max="5123" width="9.140625" style="81"/>
    <col min="5124" max="5136" width="10.7109375" style="81" customWidth="1"/>
    <col min="5137" max="5379" width="9.140625" style="81"/>
    <col min="5380" max="5392" width="10.7109375" style="81" customWidth="1"/>
    <col min="5393" max="5635" width="9.140625" style="81"/>
    <col min="5636" max="5648" width="10.7109375" style="81" customWidth="1"/>
    <col min="5649" max="5891" width="9.140625" style="81"/>
    <col min="5892" max="5904" width="10.7109375" style="81" customWidth="1"/>
    <col min="5905" max="6147" width="9.140625" style="81"/>
    <col min="6148" max="6160" width="10.7109375" style="81" customWidth="1"/>
    <col min="6161" max="6403" width="9.140625" style="81"/>
    <col min="6404" max="6416" width="10.7109375" style="81" customWidth="1"/>
    <col min="6417" max="6659" width="9.140625" style="81"/>
    <col min="6660" max="6672" width="10.7109375" style="81" customWidth="1"/>
    <col min="6673" max="6915" width="9.140625" style="81"/>
    <col min="6916" max="6928" width="10.7109375" style="81" customWidth="1"/>
    <col min="6929" max="7171" width="9.140625" style="81"/>
    <col min="7172" max="7184" width="10.7109375" style="81" customWidth="1"/>
    <col min="7185" max="7427" width="9.140625" style="81"/>
    <col min="7428" max="7440" width="10.7109375" style="81" customWidth="1"/>
    <col min="7441" max="7683" width="9.140625" style="81"/>
    <col min="7684" max="7696" width="10.7109375" style="81" customWidth="1"/>
    <col min="7697" max="7939" width="9.140625" style="81"/>
    <col min="7940" max="7952" width="10.7109375" style="81" customWidth="1"/>
    <col min="7953" max="8195" width="9.140625" style="81"/>
    <col min="8196" max="8208" width="10.7109375" style="81" customWidth="1"/>
    <col min="8209" max="8451" width="9.140625" style="81"/>
    <col min="8452" max="8464" width="10.7109375" style="81" customWidth="1"/>
    <col min="8465" max="8707" width="9.140625" style="81"/>
    <col min="8708" max="8720" width="10.7109375" style="81" customWidth="1"/>
    <col min="8721" max="8963" width="9.140625" style="81"/>
    <col min="8964" max="8976" width="10.7109375" style="81" customWidth="1"/>
    <col min="8977" max="9219" width="9.140625" style="81"/>
    <col min="9220" max="9232" width="10.7109375" style="81" customWidth="1"/>
    <col min="9233" max="9475" width="9.140625" style="81"/>
    <col min="9476" max="9488" width="10.7109375" style="81" customWidth="1"/>
    <col min="9489" max="9731" width="9.140625" style="81"/>
    <col min="9732" max="9744" width="10.7109375" style="81" customWidth="1"/>
    <col min="9745" max="9987" width="9.140625" style="81"/>
    <col min="9988" max="10000" width="10.7109375" style="81" customWidth="1"/>
    <col min="10001" max="10243" width="9.140625" style="81"/>
    <col min="10244" max="10256" width="10.7109375" style="81" customWidth="1"/>
    <col min="10257" max="10499" width="9.140625" style="81"/>
    <col min="10500" max="10512" width="10.7109375" style="81" customWidth="1"/>
    <col min="10513" max="10755" width="9.140625" style="81"/>
    <col min="10756" max="10768" width="10.7109375" style="81" customWidth="1"/>
    <col min="10769" max="11011" width="9.140625" style="81"/>
    <col min="11012" max="11024" width="10.7109375" style="81" customWidth="1"/>
    <col min="11025" max="11267" width="9.140625" style="81"/>
    <col min="11268" max="11280" width="10.7109375" style="81" customWidth="1"/>
    <col min="11281" max="11523" width="9.140625" style="81"/>
    <col min="11524" max="11536" width="10.7109375" style="81" customWidth="1"/>
    <col min="11537" max="11779" width="9.140625" style="81"/>
    <col min="11780" max="11792" width="10.7109375" style="81" customWidth="1"/>
    <col min="11793" max="12035" width="9.140625" style="81"/>
    <col min="12036" max="12048" width="10.7109375" style="81" customWidth="1"/>
    <col min="12049" max="12291" width="9.140625" style="81"/>
    <col min="12292" max="12304" width="10.7109375" style="81" customWidth="1"/>
    <col min="12305" max="12547" width="9.140625" style="81"/>
    <col min="12548" max="12560" width="10.7109375" style="81" customWidth="1"/>
    <col min="12561" max="12803" width="9.140625" style="81"/>
    <col min="12804" max="12816" width="10.7109375" style="81" customWidth="1"/>
    <col min="12817" max="13059" width="9.140625" style="81"/>
    <col min="13060" max="13072" width="10.7109375" style="81" customWidth="1"/>
    <col min="13073" max="13315" width="9.140625" style="81"/>
    <col min="13316" max="13328" width="10.7109375" style="81" customWidth="1"/>
    <col min="13329" max="13571" width="9.140625" style="81"/>
    <col min="13572" max="13584" width="10.7109375" style="81" customWidth="1"/>
    <col min="13585" max="13827" width="9.140625" style="81"/>
    <col min="13828" max="13840" width="10.7109375" style="81" customWidth="1"/>
    <col min="13841" max="14083" width="9.140625" style="81"/>
    <col min="14084" max="14096" width="10.7109375" style="81" customWidth="1"/>
    <col min="14097" max="14339" width="9.140625" style="81"/>
    <col min="14340" max="14352" width="10.7109375" style="81" customWidth="1"/>
    <col min="14353" max="14595" width="9.140625" style="81"/>
    <col min="14596" max="14608" width="10.7109375" style="81" customWidth="1"/>
    <col min="14609" max="14851" width="9.140625" style="81"/>
    <col min="14852" max="14864" width="10.7109375" style="81" customWidth="1"/>
    <col min="14865" max="15107" width="9.140625" style="81"/>
    <col min="15108" max="15120" width="10.7109375" style="81" customWidth="1"/>
    <col min="15121" max="15363" width="9.140625" style="81"/>
    <col min="15364" max="15376" width="10.7109375" style="81" customWidth="1"/>
    <col min="15377" max="15619" width="9.140625" style="81"/>
    <col min="15620" max="15632" width="10.7109375" style="81" customWidth="1"/>
    <col min="15633" max="15875" width="9.140625" style="81"/>
    <col min="15876" max="15888" width="10.7109375" style="81" customWidth="1"/>
    <col min="15889" max="16131" width="9.140625" style="81"/>
    <col min="16132" max="16144" width="10.7109375" style="81" customWidth="1"/>
    <col min="16145" max="16384" width="9.140625" style="81"/>
  </cols>
  <sheetData>
    <row r="1" spans="1:22" ht="15.75">
      <c r="A1" s="609" t="s">
        <v>272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</row>
    <row r="2" spans="1:22" ht="6" customHeight="1">
      <c r="A2" s="701"/>
      <c r="B2" s="702"/>
      <c r="C2" s="702"/>
      <c r="D2" s="702"/>
      <c r="E2" s="702"/>
      <c r="F2" s="702"/>
      <c r="G2" s="702"/>
      <c r="H2" s="702"/>
      <c r="I2" s="702"/>
      <c r="J2" s="226"/>
      <c r="K2" s="225"/>
      <c r="L2" s="225"/>
      <c r="M2" s="225"/>
      <c r="N2" s="225"/>
      <c r="O2" s="225"/>
      <c r="P2" s="225"/>
      <c r="Q2" s="225"/>
      <c r="R2" s="225"/>
    </row>
    <row r="3" spans="1:22" ht="35.1" customHeight="1">
      <c r="A3" s="618">
        <f>'3.1'!D4</f>
        <v>2020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</row>
    <row r="4" spans="1:22" ht="35.1" customHeight="1">
      <c r="A4" s="630" t="s">
        <v>297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</row>
    <row r="5" spans="1:22" ht="63" customHeight="1">
      <c r="A5" s="474" t="s">
        <v>225</v>
      </c>
      <c r="B5" s="340" t="s">
        <v>81</v>
      </c>
      <c r="C5" s="341" t="s">
        <v>82</v>
      </c>
      <c r="D5" s="340" t="s">
        <v>83</v>
      </c>
      <c r="E5" s="341" t="s">
        <v>110</v>
      </c>
      <c r="F5" s="340" t="s">
        <v>84</v>
      </c>
      <c r="G5" s="341" t="s">
        <v>85</v>
      </c>
      <c r="H5" s="340" t="s">
        <v>86</v>
      </c>
      <c r="I5" s="341" t="s">
        <v>87</v>
      </c>
      <c r="J5" s="340" t="s">
        <v>88</v>
      </c>
      <c r="K5" s="341" t="s">
        <v>89</v>
      </c>
      <c r="L5" s="340" t="s">
        <v>90</v>
      </c>
      <c r="M5" s="341" t="s">
        <v>91</v>
      </c>
      <c r="N5" s="340" t="s">
        <v>92</v>
      </c>
      <c r="O5" s="567" t="s">
        <v>93</v>
      </c>
      <c r="P5" s="342" t="s">
        <v>94</v>
      </c>
      <c r="Q5" s="342" t="s">
        <v>115</v>
      </c>
      <c r="R5" s="340" t="s">
        <v>95</v>
      </c>
    </row>
    <row r="6" spans="1:22" ht="15" customHeight="1">
      <c r="A6" s="475" t="s">
        <v>227</v>
      </c>
      <c r="B6" s="85">
        <v>39736.061850000006</v>
      </c>
      <c r="C6" s="153">
        <v>166800</v>
      </c>
      <c r="D6" s="86">
        <v>29851.9</v>
      </c>
      <c r="E6" s="129">
        <v>50970.2</v>
      </c>
      <c r="F6" s="86">
        <v>49197.700000000004</v>
      </c>
      <c r="G6" s="129">
        <v>123157.24100000001</v>
      </c>
      <c r="H6" s="86">
        <v>68767.200000000012</v>
      </c>
      <c r="I6" s="129">
        <v>53615.199999999997</v>
      </c>
      <c r="J6" s="86">
        <v>53218.600000000006</v>
      </c>
      <c r="K6" s="153">
        <v>134512.71139911973</v>
      </c>
      <c r="L6" s="85">
        <v>147717.97</v>
      </c>
      <c r="M6" s="129">
        <v>171154.53100000002</v>
      </c>
      <c r="N6" s="86">
        <v>49239.656149999995</v>
      </c>
      <c r="O6" s="456">
        <v>62053.5</v>
      </c>
      <c r="P6" s="154">
        <v>1199992.4713991196</v>
      </c>
      <c r="Q6" s="154">
        <v>16739.653053979539</v>
      </c>
      <c r="R6" s="476">
        <v>1216732.1244530992</v>
      </c>
      <c r="S6" s="82"/>
      <c r="T6" s="223"/>
      <c r="U6" s="223"/>
      <c r="V6" s="223"/>
    </row>
    <row r="7" spans="1:22" ht="15" customHeight="1">
      <c r="A7" s="477" t="s">
        <v>228</v>
      </c>
      <c r="B7" s="85">
        <v>31617.656049999998</v>
      </c>
      <c r="C7" s="130">
        <v>128999.6</v>
      </c>
      <c r="D7" s="86">
        <v>24787.199999999997</v>
      </c>
      <c r="E7" s="130">
        <v>40438.300000000003</v>
      </c>
      <c r="F7" s="86">
        <v>39633.200000000004</v>
      </c>
      <c r="G7" s="130">
        <v>98982.634000000005</v>
      </c>
      <c r="H7" s="86">
        <v>54289.899999999987</v>
      </c>
      <c r="I7" s="130">
        <v>42842.1</v>
      </c>
      <c r="J7" s="86">
        <v>43560.399999999994</v>
      </c>
      <c r="K7" s="155">
        <v>104637.26127614433</v>
      </c>
      <c r="L7" s="86">
        <v>117423.90100000001</v>
      </c>
      <c r="M7" s="130">
        <v>144455.15899999999</v>
      </c>
      <c r="N7" s="86">
        <v>39283.573939999995</v>
      </c>
      <c r="O7" s="86">
        <v>49214.6</v>
      </c>
      <c r="P7" s="156">
        <v>960165.48526614427</v>
      </c>
      <c r="Q7" s="156">
        <v>15375.774621056358</v>
      </c>
      <c r="R7" s="478">
        <v>975541.25988720066</v>
      </c>
      <c r="S7" s="72"/>
      <c r="T7" s="223"/>
      <c r="U7" s="223"/>
      <c r="V7" s="223"/>
    </row>
    <row r="8" spans="1:22" ht="15" customHeight="1">
      <c r="A8" s="479" t="s">
        <v>229</v>
      </c>
      <c r="B8" s="131">
        <v>31467.622230000001</v>
      </c>
      <c r="C8" s="132">
        <v>119587.9</v>
      </c>
      <c r="D8" s="133">
        <v>23639.800000000003</v>
      </c>
      <c r="E8" s="132">
        <v>36779.5</v>
      </c>
      <c r="F8" s="133">
        <v>37079.9</v>
      </c>
      <c r="G8" s="132">
        <v>94942.745999999985</v>
      </c>
      <c r="H8" s="133">
        <v>51134.3</v>
      </c>
      <c r="I8" s="132">
        <v>39810.199999999997</v>
      </c>
      <c r="J8" s="133">
        <v>41726.699999999997</v>
      </c>
      <c r="K8" s="157">
        <v>98541.709311693296</v>
      </c>
      <c r="L8" s="133">
        <v>114927.644</v>
      </c>
      <c r="M8" s="132">
        <v>131180.92799999999</v>
      </c>
      <c r="N8" s="133">
        <v>36914.161760000003</v>
      </c>
      <c r="O8" s="87">
        <v>46109.599999999999</v>
      </c>
      <c r="P8" s="158">
        <v>903842.71130169323</v>
      </c>
      <c r="Q8" s="158">
        <v>15294.086924904204</v>
      </c>
      <c r="R8" s="133">
        <v>919136.79822659749</v>
      </c>
      <c r="S8" s="222"/>
      <c r="T8" s="223"/>
      <c r="U8" s="223"/>
      <c r="V8" s="223"/>
    </row>
    <row r="9" spans="1:22" ht="15" customHeight="1">
      <c r="A9" s="475" t="s">
        <v>230</v>
      </c>
      <c r="B9" s="85">
        <v>19618.346700000002</v>
      </c>
      <c r="C9" s="129">
        <v>68599.8</v>
      </c>
      <c r="D9" s="86">
        <v>15810.300000000001</v>
      </c>
      <c r="E9" s="129">
        <v>21045.199999999997</v>
      </c>
      <c r="F9" s="86">
        <v>20848.199999999997</v>
      </c>
      <c r="G9" s="129">
        <v>63516.706999999995</v>
      </c>
      <c r="H9" s="86">
        <v>31702.400000000001</v>
      </c>
      <c r="I9" s="129">
        <v>25835.100000000002</v>
      </c>
      <c r="J9" s="86">
        <v>25363.400000000005</v>
      </c>
      <c r="K9" s="153">
        <v>54480.608813118597</v>
      </c>
      <c r="L9" s="86">
        <v>75467.891999999993</v>
      </c>
      <c r="M9" s="129">
        <v>91756.935999999987</v>
      </c>
      <c r="N9" s="86">
        <v>22118.122309999995</v>
      </c>
      <c r="O9" s="456">
        <v>27422.399999999998</v>
      </c>
      <c r="P9" s="154">
        <v>563585.41282311862</v>
      </c>
      <c r="Q9" s="154">
        <v>11392.499975987721</v>
      </c>
      <c r="R9" s="476">
        <v>574977.91279910633</v>
      </c>
      <c r="S9" s="72"/>
      <c r="T9" s="223"/>
      <c r="U9" s="223"/>
      <c r="V9" s="223"/>
    </row>
    <row r="10" spans="1:22" ht="15" customHeight="1">
      <c r="A10" s="477" t="s">
        <v>231</v>
      </c>
      <c r="B10" s="85">
        <v>15982.343939999999</v>
      </c>
      <c r="C10" s="130">
        <v>49898.6</v>
      </c>
      <c r="D10" s="86">
        <v>13270.2</v>
      </c>
      <c r="E10" s="130">
        <v>18461.7</v>
      </c>
      <c r="F10" s="86">
        <v>17681.900000000001</v>
      </c>
      <c r="G10" s="130">
        <v>56310.855000000003</v>
      </c>
      <c r="H10" s="86">
        <v>26723.8</v>
      </c>
      <c r="I10" s="130">
        <v>21919.7</v>
      </c>
      <c r="J10" s="86">
        <v>20243.5</v>
      </c>
      <c r="K10" s="155">
        <v>41429.793620940305</v>
      </c>
      <c r="L10" s="86">
        <v>61387.377999999997</v>
      </c>
      <c r="M10" s="130">
        <v>94226.394</v>
      </c>
      <c r="N10" s="86">
        <v>17339.519070000002</v>
      </c>
      <c r="O10" s="86">
        <v>25503.300000000003</v>
      </c>
      <c r="P10" s="156">
        <v>480378.9836309402</v>
      </c>
      <c r="Q10" s="156">
        <v>11966.024682131319</v>
      </c>
      <c r="R10" s="478">
        <v>492345.00831307151</v>
      </c>
      <c r="S10" s="72"/>
      <c r="T10" s="223"/>
      <c r="U10" s="223"/>
      <c r="V10" s="223"/>
    </row>
    <row r="11" spans="1:22" ht="15" customHeight="1">
      <c r="A11" s="479" t="s">
        <v>232</v>
      </c>
      <c r="B11" s="131">
        <v>11612.873569999998</v>
      </c>
      <c r="C11" s="132">
        <v>32347.7</v>
      </c>
      <c r="D11" s="133">
        <v>10114</v>
      </c>
      <c r="E11" s="132">
        <v>12762.2</v>
      </c>
      <c r="F11" s="133">
        <v>11264.7</v>
      </c>
      <c r="G11" s="132">
        <v>44252.785999999993</v>
      </c>
      <c r="H11" s="133">
        <v>18784.5</v>
      </c>
      <c r="I11" s="132">
        <v>16201.4</v>
      </c>
      <c r="J11" s="133">
        <v>14634.599999999999</v>
      </c>
      <c r="K11" s="157">
        <v>22544.312951957774</v>
      </c>
      <c r="L11" s="133">
        <v>47205.079000000005</v>
      </c>
      <c r="M11" s="132">
        <v>120179.87400000001</v>
      </c>
      <c r="N11" s="133">
        <v>12206.11743</v>
      </c>
      <c r="O11" s="87">
        <v>19296.8</v>
      </c>
      <c r="P11" s="158">
        <v>393406.94295195775</v>
      </c>
      <c r="Q11" s="158">
        <v>10078.806998087055</v>
      </c>
      <c r="R11" s="133">
        <v>403485.74995004479</v>
      </c>
      <c r="S11" s="72"/>
      <c r="T11" s="223"/>
      <c r="U11" s="223"/>
      <c r="V11" s="223"/>
    </row>
    <row r="12" spans="1:22" ht="15" customHeight="1">
      <c r="A12" s="475" t="s">
        <v>233</v>
      </c>
      <c r="B12" s="85"/>
      <c r="C12" s="129"/>
      <c r="D12" s="86"/>
      <c r="E12" s="129"/>
      <c r="F12" s="86"/>
      <c r="G12" s="129"/>
      <c r="H12" s="86"/>
      <c r="I12" s="129"/>
      <c r="J12" s="86"/>
      <c r="K12" s="153"/>
      <c r="L12" s="86"/>
      <c r="M12" s="129"/>
      <c r="N12" s="86"/>
      <c r="O12" s="456"/>
      <c r="P12" s="154"/>
      <c r="Q12" s="154"/>
      <c r="R12" s="476"/>
      <c r="S12" s="72"/>
      <c r="T12" s="223"/>
      <c r="U12" s="223"/>
      <c r="V12" s="223"/>
    </row>
    <row r="13" spans="1:22" ht="15" customHeight="1">
      <c r="A13" s="477" t="s">
        <v>234</v>
      </c>
      <c r="B13" s="85"/>
      <c r="C13" s="130"/>
      <c r="D13" s="86"/>
      <c r="E13" s="130"/>
      <c r="F13" s="86"/>
      <c r="G13" s="130"/>
      <c r="H13" s="86"/>
      <c r="I13" s="130"/>
      <c r="J13" s="86"/>
      <c r="K13" s="155"/>
      <c r="L13" s="86"/>
      <c r="M13" s="130"/>
      <c r="N13" s="86"/>
      <c r="O13" s="86"/>
      <c r="P13" s="156"/>
      <c r="Q13" s="156"/>
      <c r="R13" s="478"/>
      <c r="S13" s="72"/>
      <c r="T13" s="223"/>
      <c r="U13" s="223"/>
      <c r="V13" s="223"/>
    </row>
    <row r="14" spans="1:22" ht="15" customHeight="1">
      <c r="A14" s="479" t="s">
        <v>235</v>
      </c>
      <c r="B14" s="131"/>
      <c r="C14" s="132"/>
      <c r="D14" s="133"/>
      <c r="E14" s="132"/>
      <c r="F14" s="133"/>
      <c r="G14" s="132"/>
      <c r="H14" s="133"/>
      <c r="I14" s="132"/>
      <c r="J14" s="133"/>
      <c r="K14" s="157"/>
      <c r="L14" s="133"/>
      <c r="M14" s="132"/>
      <c r="N14" s="133"/>
      <c r="O14" s="87"/>
      <c r="P14" s="158"/>
      <c r="Q14" s="158"/>
      <c r="R14" s="133"/>
      <c r="S14" s="72"/>
      <c r="T14" s="223"/>
      <c r="U14" s="223"/>
      <c r="V14" s="223"/>
    </row>
    <row r="15" spans="1:22" ht="15" customHeight="1">
      <c r="A15" s="475" t="s">
        <v>236</v>
      </c>
      <c r="B15" s="85"/>
      <c r="C15" s="129"/>
      <c r="D15" s="86"/>
      <c r="E15" s="129"/>
      <c r="F15" s="86"/>
      <c r="G15" s="129"/>
      <c r="H15" s="86"/>
      <c r="I15" s="129"/>
      <c r="J15" s="86"/>
      <c r="K15" s="153"/>
      <c r="L15" s="86"/>
      <c r="M15" s="129"/>
      <c r="N15" s="86"/>
      <c r="O15" s="456"/>
      <c r="P15" s="154"/>
      <c r="Q15" s="154"/>
      <c r="R15" s="476"/>
      <c r="S15" s="72"/>
      <c r="T15" s="223"/>
      <c r="U15" s="223"/>
      <c r="V15" s="223"/>
    </row>
    <row r="16" spans="1:22" ht="15" customHeight="1">
      <c r="A16" s="477" t="s">
        <v>237</v>
      </c>
      <c r="B16" s="85"/>
      <c r="C16" s="130"/>
      <c r="D16" s="86"/>
      <c r="E16" s="130"/>
      <c r="F16" s="86"/>
      <c r="G16" s="130"/>
      <c r="H16" s="86"/>
      <c r="I16" s="130"/>
      <c r="J16" s="86"/>
      <c r="K16" s="155"/>
      <c r="L16" s="86"/>
      <c r="M16" s="130"/>
      <c r="N16" s="86"/>
      <c r="O16" s="86"/>
      <c r="P16" s="156"/>
      <c r="Q16" s="156"/>
      <c r="R16" s="478"/>
      <c r="S16" s="72"/>
      <c r="T16" s="223"/>
      <c r="U16" s="223"/>
      <c r="V16" s="223"/>
    </row>
    <row r="17" spans="1:22" ht="15" customHeight="1">
      <c r="A17" s="479" t="s">
        <v>238</v>
      </c>
      <c r="B17" s="131"/>
      <c r="C17" s="132"/>
      <c r="D17" s="133"/>
      <c r="E17" s="132"/>
      <c r="F17" s="133"/>
      <c r="G17" s="132"/>
      <c r="H17" s="133"/>
      <c r="I17" s="132"/>
      <c r="J17" s="133"/>
      <c r="K17" s="157"/>
      <c r="L17" s="133"/>
      <c r="M17" s="132"/>
      <c r="N17" s="133"/>
      <c r="O17" s="87"/>
      <c r="P17" s="158"/>
      <c r="Q17" s="158"/>
      <c r="R17" s="133"/>
      <c r="S17" s="72"/>
      <c r="T17" s="223"/>
      <c r="U17" s="223"/>
      <c r="V17" s="223"/>
    </row>
    <row r="18" spans="1:22" ht="15" customHeight="1">
      <c r="A18" s="480" t="s">
        <v>54</v>
      </c>
      <c r="B18" s="358">
        <f>SUM(B6:B8)</f>
        <v>102821.34013</v>
      </c>
      <c r="C18" s="376">
        <f>SUM(C6:C8)</f>
        <v>415387.5</v>
      </c>
      <c r="D18" s="358">
        <f t="shared" ref="D18:J18" si="0">SUM(D6:D8)</f>
        <v>78278.899999999994</v>
      </c>
      <c r="E18" s="376">
        <f t="shared" si="0"/>
        <v>128188</v>
      </c>
      <c r="F18" s="358">
        <f t="shared" si="0"/>
        <v>125910.80000000002</v>
      </c>
      <c r="G18" s="376">
        <f t="shared" si="0"/>
        <v>317082.62099999998</v>
      </c>
      <c r="H18" s="358">
        <f t="shared" si="0"/>
        <v>174191.40000000002</v>
      </c>
      <c r="I18" s="376">
        <f t="shared" si="0"/>
        <v>136267.5</v>
      </c>
      <c r="J18" s="358">
        <f t="shared" si="0"/>
        <v>138505.70000000001</v>
      </c>
      <c r="K18" s="376">
        <f>SUM(K6:K8)</f>
        <v>337691.68198695732</v>
      </c>
      <c r="L18" s="358">
        <f t="shared" ref="L18:R18" si="1">SUM(L6:L8)</f>
        <v>380069.51500000001</v>
      </c>
      <c r="M18" s="376">
        <f t="shared" si="1"/>
        <v>446790.61800000002</v>
      </c>
      <c r="N18" s="358">
        <f t="shared" si="1"/>
        <v>125437.39185</v>
      </c>
      <c r="O18" s="460">
        <f t="shared" si="1"/>
        <v>157377.70000000001</v>
      </c>
      <c r="P18" s="390">
        <f t="shared" si="1"/>
        <v>3064000.6679669572</v>
      </c>
      <c r="Q18" s="390">
        <f t="shared" si="1"/>
        <v>47409.514599940099</v>
      </c>
      <c r="R18" s="481">
        <f t="shared" si="1"/>
        <v>3111410.182566897</v>
      </c>
    </row>
    <row r="19" spans="1:22" ht="15" customHeight="1">
      <c r="A19" s="482" t="s">
        <v>63</v>
      </c>
      <c r="B19" s="358">
        <f>SUM(B9:B11)</f>
        <v>47213.564209999997</v>
      </c>
      <c r="C19" s="580">
        <f>SUM(C9:C11)</f>
        <v>150846.1</v>
      </c>
      <c r="D19" s="358">
        <f t="shared" ref="D19:J19" si="2">SUM(D9:D11)</f>
        <v>39194.5</v>
      </c>
      <c r="E19" s="580">
        <f t="shared" si="2"/>
        <v>52269.099999999991</v>
      </c>
      <c r="F19" s="358">
        <f t="shared" si="2"/>
        <v>49794.8</v>
      </c>
      <c r="G19" s="580">
        <f t="shared" si="2"/>
        <v>164080.348</v>
      </c>
      <c r="H19" s="358">
        <f t="shared" si="2"/>
        <v>77210.7</v>
      </c>
      <c r="I19" s="580">
        <f t="shared" si="2"/>
        <v>63956.200000000004</v>
      </c>
      <c r="J19" s="358">
        <f t="shared" si="2"/>
        <v>60241.500000000007</v>
      </c>
      <c r="K19" s="580">
        <f>SUM(K9:K11)</f>
        <v>118454.71538601667</v>
      </c>
      <c r="L19" s="358">
        <f t="shared" ref="L19:R19" si="3">SUM(L9:L11)</f>
        <v>184060.34899999999</v>
      </c>
      <c r="M19" s="580">
        <f t="shared" si="3"/>
        <v>306163.20400000003</v>
      </c>
      <c r="N19" s="358">
        <f t="shared" si="3"/>
        <v>51663.758809999999</v>
      </c>
      <c r="O19" s="358">
        <f t="shared" si="3"/>
        <v>72222.5</v>
      </c>
      <c r="P19" s="579">
        <f t="shared" si="3"/>
        <v>1437371.3394060165</v>
      </c>
      <c r="Q19" s="579">
        <f t="shared" si="3"/>
        <v>33437.331656206094</v>
      </c>
      <c r="R19" s="541">
        <f t="shared" si="3"/>
        <v>1470808.6710622227</v>
      </c>
    </row>
    <row r="20" spans="1:22" ht="15" customHeight="1">
      <c r="A20" s="482" t="s">
        <v>75</v>
      </c>
      <c r="B20" s="359">
        <f>SUM(B12:B14)</f>
        <v>0</v>
      </c>
      <c r="C20" s="377">
        <f>SUM(C12:C14)</f>
        <v>0</v>
      </c>
      <c r="D20" s="359">
        <f t="shared" ref="D20:J20" si="4">SUM(D12:D14)</f>
        <v>0</v>
      </c>
      <c r="E20" s="377">
        <f t="shared" si="4"/>
        <v>0</v>
      </c>
      <c r="F20" s="359">
        <f t="shared" si="4"/>
        <v>0</v>
      </c>
      <c r="G20" s="377">
        <f t="shared" si="4"/>
        <v>0</v>
      </c>
      <c r="H20" s="359">
        <f t="shared" si="4"/>
        <v>0</v>
      </c>
      <c r="I20" s="377">
        <f t="shared" si="4"/>
        <v>0</v>
      </c>
      <c r="J20" s="359">
        <f t="shared" si="4"/>
        <v>0</v>
      </c>
      <c r="K20" s="377">
        <f>SUM(K12:K14)</f>
        <v>0</v>
      </c>
      <c r="L20" s="359">
        <f t="shared" ref="L20:R20" si="5">SUM(L12:L14)</f>
        <v>0</v>
      </c>
      <c r="M20" s="377">
        <f t="shared" si="5"/>
        <v>0</v>
      </c>
      <c r="N20" s="359">
        <f t="shared" si="5"/>
        <v>0</v>
      </c>
      <c r="O20" s="359">
        <f t="shared" si="5"/>
        <v>0</v>
      </c>
      <c r="P20" s="391">
        <f t="shared" si="5"/>
        <v>0</v>
      </c>
      <c r="Q20" s="391">
        <f t="shared" si="5"/>
        <v>0</v>
      </c>
      <c r="R20" s="483">
        <f t="shared" si="5"/>
        <v>0</v>
      </c>
    </row>
    <row r="21" spans="1:22" ht="15" customHeight="1">
      <c r="A21" s="484" t="s">
        <v>64</v>
      </c>
      <c r="B21" s="378">
        <f>SUM(B15:B17)</f>
        <v>0</v>
      </c>
      <c r="C21" s="379">
        <f>SUM(C15:C17)</f>
        <v>0</v>
      </c>
      <c r="D21" s="378">
        <f t="shared" ref="D21:J21" si="6">SUM(D15:D17)</f>
        <v>0</v>
      </c>
      <c r="E21" s="379">
        <f t="shared" si="6"/>
        <v>0</v>
      </c>
      <c r="F21" s="378">
        <f t="shared" si="6"/>
        <v>0</v>
      </c>
      <c r="G21" s="379">
        <f t="shared" si="6"/>
        <v>0</v>
      </c>
      <c r="H21" s="378">
        <f t="shared" si="6"/>
        <v>0</v>
      </c>
      <c r="I21" s="379">
        <f t="shared" si="6"/>
        <v>0</v>
      </c>
      <c r="J21" s="378">
        <f t="shared" si="6"/>
        <v>0</v>
      </c>
      <c r="K21" s="379">
        <f>SUM(K15:K17)</f>
        <v>0</v>
      </c>
      <c r="L21" s="378">
        <f t="shared" ref="L21:R21" si="7">SUM(L15:L17)</f>
        <v>0</v>
      </c>
      <c r="M21" s="379">
        <f t="shared" si="7"/>
        <v>0</v>
      </c>
      <c r="N21" s="378">
        <f t="shared" si="7"/>
        <v>0</v>
      </c>
      <c r="O21" s="360">
        <f t="shared" si="7"/>
        <v>0</v>
      </c>
      <c r="P21" s="392">
        <f t="shared" si="7"/>
        <v>0</v>
      </c>
      <c r="Q21" s="392">
        <f t="shared" si="7"/>
        <v>0</v>
      </c>
      <c r="R21" s="378">
        <f t="shared" si="7"/>
        <v>0</v>
      </c>
    </row>
    <row r="22" spans="1:22" ht="15" customHeight="1">
      <c r="A22" s="475" t="s">
        <v>65</v>
      </c>
      <c r="B22" s="85">
        <f>SUM(B6:B11)</f>
        <v>150034.90433999998</v>
      </c>
      <c r="C22" s="153">
        <f>SUM(C6:C11)</f>
        <v>566233.59999999998</v>
      </c>
      <c r="D22" s="85">
        <f t="shared" ref="D22:J22" si="8">SUM(D6:D11)</f>
        <v>117473.4</v>
      </c>
      <c r="E22" s="153">
        <f t="shared" si="8"/>
        <v>180457.10000000003</v>
      </c>
      <c r="F22" s="85">
        <f t="shared" si="8"/>
        <v>175705.60000000001</v>
      </c>
      <c r="G22" s="153">
        <f t="shared" si="8"/>
        <v>481162.96899999992</v>
      </c>
      <c r="H22" s="85">
        <f t="shared" si="8"/>
        <v>251402.1</v>
      </c>
      <c r="I22" s="153">
        <f t="shared" si="8"/>
        <v>200223.7</v>
      </c>
      <c r="J22" s="85">
        <f t="shared" si="8"/>
        <v>198747.2</v>
      </c>
      <c r="K22" s="153">
        <f>SUM(K6:K11)</f>
        <v>456146.39737297397</v>
      </c>
      <c r="L22" s="85">
        <f t="shared" ref="L22:R22" si="9">SUM(L6:L11)</f>
        <v>564129.86400000006</v>
      </c>
      <c r="M22" s="153">
        <f t="shared" si="9"/>
        <v>752953.82199999993</v>
      </c>
      <c r="N22" s="85">
        <f t="shared" si="9"/>
        <v>177101.15066000001</v>
      </c>
      <c r="O22" s="576">
        <f t="shared" si="9"/>
        <v>229600.2</v>
      </c>
      <c r="P22" s="581">
        <f t="shared" si="9"/>
        <v>4501372.0073729744</v>
      </c>
      <c r="Q22" s="581">
        <f t="shared" si="9"/>
        <v>80846.846256146193</v>
      </c>
      <c r="R22" s="577">
        <f t="shared" si="9"/>
        <v>4582218.8536291197</v>
      </c>
    </row>
    <row r="23" spans="1:22" ht="15" customHeight="1">
      <c r="A23" s="479" t="s">
        <v>66</v>
      </c>
      <c r="B23" s="127">
        <f>SUM(B12:B17)</f>
        <v>0</v>
      </c>
      <c r="C23" s="128">
        <f>SUM(C12:C17)</f>
        <v>0</v>
      </c>
      <c r="D23" s="127">
        <f t="shared" ref="D23:J23" si="10">SUM(D12:D17)</f>
        <v>0</v>
      </c>
      <c r="E23" s="128">
        <f t="shared" si="10"/>
        <v>0</v>
      </c>
      <c r="F23" s="127">
        <f t="shared" si="10"/>
        <v>0</v>
      </c>
      <c r="G23" s="128">
        <f t="shared" si="10"/>
        <v>0</v>
      </c>
      <c r="H23" s="127">
        <f t="shared" si="10"/>
        <v>0</v>
      </c>
      <c r="I23" s="128">
        <f t="shared" si="10"/>
        <v>0</v>
      </c>
      <c r="J23" s="127">
        <f t="shared" si="10"/>
        <v>0</v>
      </c>
      <c r="K23" s="128">
        <f>SUM(K12:K17)</f>
        <v>0</v>
      </c>
      <c r="L23" s="127">
        <f t="shared" ref="L23:R23" si="11">SUM(L12:L17)</f>
        <v>0</v>
      </c>
      <c r="M23" s="128">
        <f t="shared" si="11"/>
        <v>0</v>
      </c>
      <c r="N23" s="127">
        <f t="shared" si="11"/>
        <v>0</v>
      </c>
      <c r="O23" s="84">
        <f t="shared" si="11"/>
        <v>0</v>
      </c>
      <c r="P23" s="152">
        <f t="shared" si="11"/>
        <v>0</v>
      </c>
      <c r="Q23" s="152">
        <f t="shared" si="11"/>
        <v>0</v>
      </c>
      <c r="R23" s="127">
        <f t="shared" si="11"/>
        <v>0</v>
      </c>
    </row>
    <row r="24" spans="1:22" ht="15" customHeight="1">
      <c r="A24" s="485" t="s">
        <v>239</v>
      </c>
      <c r="B24" s="380">
        <f>SUM(B6:B17)</f>
        <v>150034.90433999998</v>
      </c>
      <c r="C24" s="381">
        <f>SUM(C6:C17)</f>
        <v>566233.59999999998</v>
      </c>
      <c r="D24" s="380">
        <f t="shared" ref="D24:J24" si="12">SUM(D6:D17)</f>
        <v>117473.4</v>
      </c>
      <c r="E24" s="381">
        <f t="shared" si="12"/>
        <v>180457.10000000003</v>
      </c>
      <c r="F24" s="380">
        <f t="shared" si="12"/>
        <v>175705.60000000001</v>
      </c>
      <c r="G24" s="381">
        <f t="shared" si="12"/>
        <v>481162.96899999992</v>
      </c>
      <c r="H24" s="380">
        <f t="shared" si="12"/>
        <v>251402.1</v>
      </c>
      <c r="I24" s="381">
        <f t="shared" si="12"/>
        <v>200223.7</v>
      </c>
      <c r="J24" s="380">
        <f t="shared" si="12"/>
        <v>198747.2</v>
      </c>
      <c r="K24" s="381">
        <f>SUM(K6:K17)</f>
        <v>456146.39737297397</v>
      </c>
      <c r="L24" s="380">
        <f t="shared" ref="L24:R24" si="13">SUM(L6:L17)</f>
        <v>564129.86400000006</v>
      </c>
      <c r="M24" s="381">
        <f t="shared" si="13"/>
        <v>752953.82199999993</v>
      </c>
      <c r="N24" s="380">
        <f t="shared" si="13"/>
        <v>177101.15066000001</v>
      </c>
      <c r="O24" s="361">
        <f t="shared" si="13"/>
        <v>229600.2</v>
      </c>
      <c r="P24" s="393">
        <f t="shared" si="13"/>
        <v>4501372.0073729744</v>
      </c>
      <c r="Q24" s="393">
        <f t="shared" si="13"/>
        <v>80846.846256146193</v>
      </c>
      <c r="R24" s="380">
        <f t="shared" si="13"/>
        <v>4582218.8536291197</v>
      </c>
    </row>
    <row r="26" spans="1:22" ht="12" customHeight="1">
      <c r="A26" s="167"/>
      <c r="B26" s="167"/>
      <c r="C26" s="167"/>
      <c r="H26" s="167"/>
      <c r="I26" s="167"/>
      <c r="J26" s="167"/>
      <c r="K26" s="167"/>
      <c r="O26" s="167"/>
      <c r="P26" s="167"/>
      <c r="Q26" s="167"/>
      <c r="R26" s="167"/>
    </row>
    <row r="27" spans="1:22" ht="12" customHeight="1">
      <c r="E27" s="83"/>
      <c r="F27" s="83"/>
      <c r="G27" s="83"/>
      <c r="H27" s="83"/>
      <c r="L27" s="83"/>
      <c r="M27" s="83"/>
      <c r="N27" s="83"/>
    </row>
    <row r="28" spans="1:22" ht="12" customHeight="1">
      <c r="E28" s="83"/>
      <c r="F28" s="83"/>
      <c r="G28" s="83"/>
      <c r="L28" s="83"/>
      <c r="M28" s="83"/>
      <c r="N28" s="83"/>
    </row>
    <row r="29" spans="1:22" ht="12" customHeight="1">
      <c r="E29" s="83"/>
      <c r="F29" s="83"/>
      <c r="G29" s="83"/>
      <c r="L29" s="83"/>
      <c r="M29" s="83"/>
      <c r="N29" s="83"/>
    </row>
    <row r="30" spans="1:22" ht="12" customHeight="1">
      <c r="E30" s="83"/>
      <c r="F30" s="83"/>
      <c r="G30" s="83"/>
      <c r="L30" s="83"/>
      <c r="M30" s="83"/>
      <c r="N30" s="83"/>
    </row>
    <row r="31" spans="1:22" ht="12" customHeight="1">
      <c r="E31" s="83"/>
      <c r="F31" s="83"/>
      <c r="G31" s="83"/>
      <c r="L31" s="83"/>
      <c r="M31" s="83"/>
      <c r="N31" s="83"/>
    </row>
    <row r="32" spans="1:22" ht="12" customHeight="1">
      <c r="E32" s="83"/>
      <c r="F32" s="83"/>
      <c r="G32" s="83"/>
      <c r="L32" s="83"/>
      <c r="M32" s="83"/>
      <c r="N32" s="83"/>
    </row>
    <row r="33" spans="1:22" ht="12" customHeight="1">
      <c r="E33" s="83"/>
      <c r="F33" s="83"/>
      <c r="G33" s="83"/>
      <c r="L33" s="83"/>
      <c r="M33" s="83"/>
      <c r="N33" s="83"/>
    </row>
    <row r="34" spans="1:22" ht="12" customHeight="1">
      <c r="E34" s="83"/>
      <c r="F34" s="83"/>
      <c r="G34" s="83"/>
      <c r="L34" s="83"/>
      <c r="M34" s="83"/>
      <c r="N34" s="83"/>
    </row>
    <row r="35" spans="1:22" ht="35.1" customHeight="1">
      <c r="A35" s="618">
        <f>'3.1'!D4</f>
        <v>2020</v>
      </c>
      <c r="B35" s="618"/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</row>
    <row r="36" spans="1:22" ht="35.1" customHeight="1">
      <c r="A36" s="630" t="s">
        <v>298</v>
      </c>
      <c r="B36" s="630"/>
      <c r="C36" s="630"/>
      <c r="D36" s="630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</row>
    <row r="37" spans="1:22" ht="63" customHeight="1">
      <c r="A37" s="474" t="s">
        <v>225</v>
      </c>
      <c r="B37" s="340" t="s">
        <v>81</v>
      </c>
      <c r="C37" s="341" t="s">
        <v>82</v>
      </c>
      <c r="D37" s="340" t="s">
        <v>83</v>
      </c>
      <c r="E37" s="341" t="s">
        <v>110</v>
      </c>
      <c r="F37" s="340" t="s">
        <v>84</v>
      </c>
      <c r="G37" s="341" t="s">
        <v>85</v>
      </c>
      <c r="H37" s="340" t="s">
        <v>86</v>
      </c>
      <c r="I37" s="341" t="s">
        <v>87</v>
      </c>
      <c r="J37" s="340" t="s">
        <v>88</v>
      </c>
      <c r="K37" s="341" t="s">
        <v>89</v>
      </c>
      <c r="L37" s="340" t="s">
        <v>90</v>
      </c>
      <c r="M37" s="341" t="s">
        <v>91</v>
      </c>
      <c r="N37" s="340" t="s">
        <v>92</v>
      </c>
      <c r="O37" s="567" t="s">
        <v>93</v>
      </c>
      <c r="P37" s="342" t="s">
        <v>94</v>
      </c>
      <c r="Q37" s="342" t="s">
        <v>115</v>
      </c>
      <c r="R37" s="340" t="s">
        <v>95</v>
      </c>
    </row>
    <row r="38" spans="1:22" ht="15" customHeight="1">
      <c r="A38" s="475" t="s">
        <v>227</v>
      </c>
      <c r="B38" s="85">
        <v>424649.31256000005</v>
      </c>
      <c r="C38" s="153">
        <v>1778844.0229299997</v>
      </c>
      <c r="D38" s="86">
        <v>318357.36405999993</v>
      </c>
      <c r="E38" s="129">
        <v>543572.99534000002</v>
      </c>
      <c r="F38" s="86">
        <v>524670.94915</v>
      </c>
      <c r="G38" s="129">
        <v>1313192.8052100001</v>
      </c>
      <c r="H38" s="86">
        <v>733370.05391000025</v>
      </c>
      <c r="I38" s="129">
        <v>571780.30686999997</v>
      </c>
      <c r="J38" s="86">
        <v>567551.08626000001</v>
      </c>
      <c r="K38" s="153">
        <v>1433674.4752399998</v>
      </c>
      <c r="L38" s="85">
        <v>1575338.4152670004</v>
      </c>
      <c r="M38" s="129">
        <v>1825311.7626800002</v>
      </c>
      <c r="N38" s="86">
        <v>525242.36111000006</v>
      </c>
      <c r="O38" s="456">
        <v>661771.71803000011</v>
      </c>
      <c r="P38" s="154">
        <v>12797327.628617</v>
      </c>
      <c r="Q38" s="154">
        <v>178527.00508158907</v>
      </c>
      <c r="R38" s="476">
        <v>12975854.633698588</v>
      </c>
      <c r="S38" s="82"/>
      <c r="T38" s="223"/>
      <c r="U38" s="223"/>
      <c r="V38" s="223"/>
    </row>
    <row r="39" spans="1:22" ht="15" customHeight="1">
      <c r="A39" s="477" t="s">
        <v>228</v>
      </c>
      <c r="B39" s="85">
        <v>337720.14080999995</v>
      </c>
      <c r="C39" s="130">
        <v>1375923.1065699998</v>
      </c>
      <c r="D39" s="86">
        <v>264383.17333999998</v>
      </c>
      <c r="E39" s="130">
        <v>431319.45529000001</v>
      </c>
      <c r="F39" s="86">
        <v>422730.90457999997</v>
      </c>
      <c r="G39" s="130">
        <v>1055540.2489500002</v>
      </c>
      <c r="H39" s="86">
        <v>579061.60311999999</v>
      </c>
      <c r="I39" s="130">
        <v>456957.47151</v>
      </c>
      <c r="J39" s="86">
        <v>464618.5895099999</v>
      </c>
      <c r="K39" s="155">
        <v>1115360.26703</v>
      </c>
      <c r="L39" s="86">
        <v>1252450.4476620001</v>
      </c>
      <c r="M39" s="130">
        <v>1540772.2284200001</v>
      </c>
      <c r="N39" s="86">
        <v>419069.5065800001</v>
      </c>
      <c r="O39" s="86">
        <v>524927.76309000014</v>
      </c>
      <c r="P39" s="156">
        <v>10240834.906462001</v>
      </c>
      <c r="Q39" s="156">
        <v>163970.75077099999</v>
      </c>
      <c r="R39" s="478">
        <v>10404805.657233</v>
      </c>
      <c r="S39" s="72"/>
      <c r="T39" s="223"/>
      <c r="U39" s="223"/>
      <c r="V39" s="223"/>
    </row>
    <row r="40" spans="1:22" ht="15" customHeight="1">
      <c r="A40" s="479" t="s">
        <v>229</v>
      </c>
      <c r="B40" s="131">
        <v>336169.35251</v>
      </c>
      <c r="C40" s="132">
        <v>1275687.4818099998</v>
      </c>
      <c r="D40" s="133">
        <v>252174.67328999998</v>
      </c>
      <c r="E40" s="132">
        <v>392340.85375000007</v>
      </c>
      <c r="F40" s="133">
        <v>395545.29865999985</v>
      </c>
      <c r="G40" s="132">
        <v>1012560.6422699997</v>
      </c>
      <c r="H40" s="133">
        <v>545467.98785000003</v>
      </c>
      <c r="I40" s="132">
        <v>424670.94115999993</v>
      </c>
      <c r="J40" s="133">
        <v>445115.37797999993</v>
      </c>
      <c r="K40" s="157">
        <v>1050725.39261202</v>
      </c>
      <c r="L40" s="133">
        <v>1225990.7522960003</v>
      </c>
      <c r="M40" s="132">
        <v>1399005.5731799998</v>
      </c>
      <c r="N40" s="133">
        <v>393843.69148000004</v>
      </c>
      <c r="O40" s="87">
        <v>491867.20951000013</v>
      </c>
      <c r="P40" s="158">
        <v>9641165.2283580191</v>
      </c>
      <c r="Q40" s="158">
        <v>163379.42770399994</v>
      </c>
      <c r="R40" s="133">
        <v>9804544.65606202</v>
      </c>
      <c r="S40" s="222"/>
      <c r="T40" s="223"/>
      <c r="U40" s="223"/>
      <c r="V40" s="223"/>
    </row>
    <row r="41" spans="1:22" ht="15" customHeight="1">
      <c r="A41" s="475" t="s">
        <v>230</v>
      </c>
      <c r="B41" s="85">
        <v>209533.18440999999</v>
      </c>
      <c r="C41" s="129">
        <v>732582.40233000007</v>
      </c>
      <c r="D41" s="86">
        <v>168839.58278999999</v>
      </c>
      <c r="E41" s="129">
        <v>224743.36313000001</v>
      </c>
      <c r="F41" s="86">
        <v>222638.25701000003</v>
      </c>
      <c r="G41" s="129">
        <v>678098.75861000014</v>
      </c>
      <c r="H41" s="86">
        <v>338552.83009999996</v>
      </c>
      <c r="I41" s="129">
        <v>275894.52731999999</v>
      </c>
      <c r="J41" s="86">
        <v>270857.75691</v>
      </c>
      <c r="K41" s="153">
        <v>581117.86046600004</v>
      </c>
      <c r="L41" s="86">
        <v>805923.41086199996</v>
      </c>
      <c r="M41" s="129">
        <v>979646.8345600001</v>
      </c>
      <c r="N41" s="86">
        <v>236203.76584000001</v>
      </c>
      <c r="O41" s="456">
        <v>292846.8869199999</v>
      </c>
      <c r="P41" s="154">
        <v>6017479.4212580007</v>
      </c>
      <c r="Q41" s="154">
        <v>121814.40689900001</v>
      </c>
      <c r="R41" s="476">
        <v>6139293.8281570002</v>
      </c>
      <c r="S41" s="72"/>
      <c r="T41" s="223"/>
      <c r="U41" s="223"/>
      <c r="V41" s="223"/>
    </row>
    <row r="42" spans="1:22" ht="15" customHeight="1">
      <c r="A42" s="477" t="s">
        <v>231</v>
      </c>
      <c r="B42" s="85">
        <v>170717.46171</v>
      </c>
      <c r="C42" s="130">
        <v>533124.88332000002</v>
      </c>
      <c r="D42" s="86">
        <v>141781.23664000005</v>
      </c>
      <c r="E42" s="130">
        <v>197247.39175000001</v>
      </c>
      <c r="F42" s="86">
        <v>188916.02929999999</v>
      </c>
      <c r="G42" s="130">
        <v>601496.37173999997</v>
      </c>
      <c r="H42" s="86">
        <v>285521.22130000003</v>
      </c>
      <c r="I42" s="130">
        <v>234192.76239000002</v>
      </c>
      <c r="J42" s="86">
        <v>216284.49739999999</v>
      </c>
      <c r="K42" s="155">
        <v>442173.26541601116</v>
      </c>
      <c r="L42" s="86">
        <v>655860.92920499993</v>
      </c>
      <c r="M42" s="130">
        <v>1006116.2790099998</v>
      </c>
      <c r="N42" s="86">
        <v>185252.19768000001</v>
      </c>
      <c r="O42" s="86">
        <v>272480.22115</v>
      </c>
      <c r="P42" s="156">
        <v>5131164.7480110107</v>
      </c>
      <c r="Q42" s="156">
        <v>127952.95073500001</v>
      </c>
      <c r="R42" s="478">
        <v>5259117.6987460107</v>
      </c>
      <c r="S42" s="72"/>
      <c r="T42" s="223"/>
      <c r="U42" s="223"/>
      <c r="V42" s="223"/>
    </row>
    <row r="43" spans="1:22" ht="15" customHeight="1">
      <c r="A43" s="479" t="s">
        <v>232</v>
      </c>
      <c r="B43" s="131">
        <v>124052.32879</v>
      </c>
      <c r="C43" s="132">
        <v>346481.67340000015</v>
      </c>
      <c r="D43" s="133">
        <v>108333.1029</v>
      </c>
      <c r="E43" s="132">
        <v>136697.94030999998</v>
      </c>
      <c r="F43" s="133">
        <v>120657.56075999995</v>
      </c>
      <c r="G43" s="132">
        <v>473792.52699999989</v>
      </c>
      <c r="H43" s="133">
        <v>201204.99601000003</v>
      </c>
      <c r="I43" s="132">
        <v>173535.47270000004</v>
      </c>
      <c r="J43" s="133">
        <v>156754.97903000002</v>
      </c>
      <c r="K43" s="157">
        <v>241490.16324398125</v>
      </c>
      <c r="L43" s="133">
        <v>505623.69508799998</v>
      </c>
      <c r="M43" s="132">
        <v>1287228.0359199999</v>
      </c>
      <c r="N43" s="133">
        <v>130698.27300000002</v>
      </c>
      <c r="O43" s="87">
        <v>206691.91996999996</v>
      </c>
      <c r="P43" s="158">
        <v>4213242.6681219814</v>
      </c>
      <c r="Q43" s="158">
        <v>108241.09503999997</v>
      </c>
      <c r="R43" s="133">
        <v>4321483.7631619815</v>
      </c>
      <c r="S43" s="72"/>
      <c r="T43" s="223"/>
      <c r="U43" s="223"/>
      <c r="V43" s="223"/>
    </row>
    <row r="44" spans="1:22" ht="15" customHeight="1">
      <c r="A44" s="475" t="s">
        <v>233</v>
      </c>
      <c r="B44" s="85"/>
      <c r="C44" s="129"/>
      <c r="D44" s="86"/>
      <c r="E44" s="129"/>
      <c r="F44" s="86"/>
      <c r="G44" s="129"/>
      <c r="H44" s="86"/>
      <c r="I44" s="129"/>
      <c r="J44" s="86"/>
      <c r="K44" s="153"/>
      <c r="L44" s="86"/>
      <c r="M44" s="129"/>
      <c r="N44" s="86"/>
      <c r="O44" s="456"/>
      <c r="P44" s="154"/>
      <c r="Q44" s="154"/>
      <c r="R44" s="476"/>
      <c r="S44" s="72"/>
      <c r="T44" s="223"/>
      <c r="U44" s="223"/>
      <c r="V44" s="223"/>
    </row>
    <row r="45" spans="1:22" ht="15" customHeight="1">
      <c r="A45" s="477" t="s">
        <v>234</v>
      </c>
      <c r="B45" s="85"/>
      <c r="C45" s="130"/>
      <c r="D45" s="86"/>
      <c r="E45" s="130"/>
      <c r="F45" s="86"/>
      <c r="G45" s="130"/>
      <c r="H45" s="86"/>
      <c r="I45" s="130"/>
      <c r="J45" s="86"/>
      <c r="K45" s="155"/>
      <c r="L45" s="86"/>
      <c r="M45" s="130"/>
      <c r="N45" s="86"/>
      <c r="O45" s="86"/>
      <c r="P45" s="156"/>
      <c r="Q45" s="156"/>
      <c r="R45" s="478"/>
      <c r="S45" s="72"/>
      <c r="T45" s="223"/>
      <c r="U45" s="223"/>
      <c r="V45" s="223"/>
    </row>
    <row r="46" spans="1:22" ht="15" customHeight="1">
      <c r="A46" s="479" t="s">
        <v>235</v>
      </c>
      <c r="B46" s="131"/>
      <c r="C46" s="132"/>
      <c r="D46" s="133"/>
      <c r="E46" s="132"/>
      <c r="F46" s="133"/>
      <c r="G46" s="132"/>
      <c r="H46" s="133"/>
      <c r="I46" s="132"/>
      <c r="J46" s="133"/>
      <c r="K46" s="157"/>
      <c r="L46" s="133"/>
      <c r="M46" s="132"/>
      <c r="N46" s="133"/>
      <c r="O46" s="87"/>
      <c r="P46" s="158"/>
      <c r="Q46" s="158"/>
      <c r="R46" s="133"/>
      <c r="S46" s="72"/>
      <c r="T46" s="223"/>
      <c r="U46" s="223"/>
      <c r="V46" s="223"/>
    </row>
    <row r="47" spans="1:22" ht="15" customHeight="1">
      <c r="A47" s="475" t="s">
        <v>236</v>
      </c>
      <c r="B47" s="85"/>
      <c r="C47" s="129"/>
      <c r="D47" s="86"/>
      <c r="E47" s="129"/>
      <c r="F47" s="86"/>
      <c r="G47" s="129"/>
      <c r="H47" s="86"/>
      <c r="I47" s="129"/>
      <c r="J47" s="86"/>
      <c r="K47" s="153"/>
      <c r="L47" s="86"/>
      <c r="M47" s="129"/>
      <c r="N47" s="86"/>
      <c r="O47" s="456"/>
      <c r="P47" s="154"/>
      <c r="Q47" s="154"/>
      <c r="R47" s="476"/>
      <c r="S47" s="72"/>
      <c r="T47" s="223"/>
      <c r="U47" s="223"/>
      <c r="V47" s="223"/>
    </row>
    <row r="48" spans="1:22" ht="15" customHeight="1">
      <c r="A48" s="477" t="s">
        <v>237</v>
      </c>
      <c r="B48" s="85"/>
      <c r="C48" s="130"/>
      <c r="D48" s="86"/>
      <c r="E48" s="130"/>
      <c r="F48" s="86"/>
      <c r="G48" s="130"/>
      <c r="H48" s="86"/>
      <c r="I48" s="130"/>
      <c r="J48" s="86"/>
      <c r="K48" s="155"/>
      <c r="L48" s="86"/>
      <c r="M48" s="130"/>
      <c r="N48" s="86"/>
      <c r="O48" s="86"/>
      <c r="P48" s="156"/>
      <c r="Q48" s="156"/>
      <c r="R48" s="478"/>
      <c r="S48" s="72"/>
      <c r="T48" s="223"/>
      <c r="U48" s="223"/>
      <c r="V48" s="223"/>
    </row>
    <row r="49" spans="1:22" ht="15" customHeight="1">
      <c r="A49" s="479" t="s">
        <v>238</v>
      </c>
      <c r="B49" s="131"/>
      <c r="C49" s="132"/>
      <c r="D49" s="133"/>
      <c r="E49" s="132"/>
      <c r="F49" s="133"/>
      <c r="G49" s="132"/>
      <c r="H49" s="133"/>
      <c r="I49" s="132"/>
      <c r="J49" s="133"/>
      <c r="K49" s="157"/>
      <c r="L49" s="133"/>
      <c r="M49" s="132"/>
      <c r="N49" s="133"/>
      <c r="O49" s="87"/>
      <c r="P49" s="158"/>
      <c r="Q49" s="158"/>
      <c r="R49" s="133"/>
      <c r="S49" s="72"/>
      <c r="T49" s="223"/>
      <c r="U49" s="223"/>
      <c r="V49" s="223"/>
    </row>
    <row r="50" spans="1:22" ht="15" customHeight="1">
      <c r="A50" s="480" t="s">
        <v>54</v>
      </c>
      <c r="B50" s="358">
        <f>SUM(B38:B40)</f>
        <v>1098538.8058799999</v>
      </c>
      <c r="C50" s="376">
        <f>SUM(C38:C40)</f>
        <v>4430454.6113099996</v>
      </c>
      <c r="D50" s="358">
        <f t="shared" ref="D50:J50" si="14">SUM(D38:D40)</f>
        <v>834915.21068999986</v>
      </c>
      <c r="E50" s="376">
        <f t="shared" si="14"/>
        <v>1367233.3043800001</v>
      </c>
      <c r="F50" s="358">
        <f t="shared" si="14"/>
        <v>1342947.1523899999</v>
      </c>
      <c r="G50" s="376">
        <f t="shared" si="14"/>
        <v>3381293.69643</v>
      </c>
      <c r="H50" s="358">
        <f t="shared" si="14"/>
        <v>1857899.6448800005</v>
      </c>
      <c r="I50" s="376">
        <f t="shared" si="14"/>
        <v>1453408.71954</v>
      </c>
      <c r="J50" s="358">
        <f t="shared" si="14"/>
        <v>1477285.0537499997</v>
      </c>
      <c r="K50" s="376">
        <f>SUM(K38:K40)</f>
        <v>3599760.1348820198</v>
      </c>
      <c r="L50" s="358">
        <f t="shared" ref="L50:R50" si="15">SUM(L38:L40)</f>
        <v>4053779.6152250008</v>
      </c>
      <c r="M50" s="376">
        <f t="shared" si="15"/>
        <v>4765089.5642799996</v>
      </c>
      <c r="N50" s="358">
        <f t="shared" si="15"/>
        <v>1338155.5591700003</v>
      </c>
      <c r="O50" s="460">
        <f t="shared" si="15"/>
        <v>1678566.6906300003</v>
      </c>
      <c r="P50" s="390">
        <f t="shared" si="15"/>
        <v>32679327.763437022</v>
      </c>
      <c r="Q50" s="390">
        <f t="shared" si="15"/>
        <v>505877.18355658895</v>
      </c>
      <c r="R50" s="481">
        <f t="shared" si="15"/>
        <v>33185204.946993612</v>
      </c>
    </row>
    <row r="51" spans="1:22" ht="15" customHeight="1">
      <c r="A51" s="482" t="s">
        <v>63</v>
      </c>
      <c r="B51" s="358">
        <f>SUM(B41:B43)</f>
        <v>504302.97490999999</v>
      </c>
      <c r="C51" s="580">
        <f>SUM(C41:C43)</f>
        <v>1612188.9590500002</v>
      </c>
      <c r="D51" s="358">
        <f t="shared" ref="D51:J51" si="16">SUM(D41:D43)</f>
        <v>418953.92233000003</v>
      </c>
      <c r="E51" s="580">
        <f t="shared" si="16"/>
        <v>558688.69519</v>
      </c>
      <c r="F51" s="358">
        <f t="shared" si="16"/>
        <v>532211.8470699999</v>
      </c>
      <c r="G51" s="580">
        <f t="shared" si="16"/>
        <v>1753387.65735</v>
      </c>
      <c r="H51" s="358">
        <f t="shared" si="16"/>
        <v>825279.04741</v>
      </c>
      <c r="I51" s="580">
        <f t="shared" si="16"/>
        <v>683622.76241000008</v>
      </c>
      <c r="J51" s="358">
        <f t="shared" si="16"/>
        <v>643897.23334000004</v>
      </c>
      <c r="K51" s="580">
        <f>SUM(K41:K43)</f>
        <v>1264781.2891259925</v>
      </c>
      <c r="L51" s="358">
        <f t="shared" ref="L51:R51" si="17">SUM(L41:L43)</f>
        <v>1967408.0351549999</v>
      </c>
      <c r="M51" s="580">
        <f t="shared" si="17"/>
        <v>3272991.1494899997</v>
      </c>
      <c r="N51" s="358">
        <f t="shared" si="17"/>
        <v>552154.23652000003</v>
      </c>
      <c r="O51" s="358">
        <f t="shared" si="17"/>
        <v>772019.02803999977</v>
      </c>
      <c r="P51" s="579">
        <f t="shared" si="17"/>
        <v>15361886.837390993</v>
      </c>
      <c r="Q51" s="579">
        <f t="shared" si="17"/>
        <v>358008.452674</v>
      </c>
      <c r="R51" s="541">
        <f t="shared" si="17"/>
        <v>15719895.290064992</v>
      </c>
    </row>
    <row r="52" spans="1:22" ht="15" customHeight="1">
      <c r="A52" s="482" t="s">
        <v>75</v>
      </c>
      <c r="B52" s="359">
        <f>SUM(B44:B46)</f>
        <v>0</v>
      </c>
      <c r="C52" s="377">
        <f>SUM(C44:C46)</f>
        <v>0</v>
      </c>
      <c r="D52" s="359">
        <f t="shared" ref="D52:J52" si="18">SUM(D44:D46)</f>
        <v>0</v>
      </c>
      <c r="E52" s="377">
        <f t="shared" si="18"/>
        <v>0</v>
      </c>
      <c r="F52" s="359">
        <f t="shared" si="18"/>
        <v>0</v>
      </c>
      <c r="G52" s="377">
        <f t="shared" si="18"/>
        <v>0</v>
      </c>
      <c r="H52" s="359">
        <f t="shared" si="18"/>
        <v>0</v>
      </c>
      <c r="I52" s="377">
        <f t="shared" si="18"/>
        <v>0</v>
      </c>
      <c r="J52" s="359">
        <f t="shared" si="18"/>
        <v>0</v>
      </c>
      <c r="K52" s="377">
        <f>SUM(K44:K46)</f>
        <v>0</v>
      </c>
      <c r="L52" s="359">
        <f t="shared" ref="L52:R52" si="19">SUM(L44:L46)</f>
        <v>0</v>
      </c>
      <c r="M52" s="377">
        <f t="shared" si="19"/>
        <v>0</v>
      </c>
      <c r="N52" s="359">
        <f t="shared" si="19"/>
        <v>0</v>
      </c>
      <c r="O52" s="359">
        <f t="shared" si="19"/>
        <v>0</v>
      </c>
      <c r="P52" s="391">
        <f t="shared" si="19"/>
        <v>0</v>
      </c>
      <c r="Q52" s="391">
        <f t="shared" si="19"/>
        <v>0</v>
      </c>
      <c r="R52" s="483">
        <f t="shared" si="19"/>
        <v>0</v>
      </c>
    </row>
    <row r="53" spans="1:22" ht="15" customHeight="1">
      <c r="A53" s="484" t="s">
        <v>64</v>
      </c>
      <c r="B53" s="378">
        <f>SUM(B47:B49)</f>
        <v>0</v>
      </c>
      <c r="C53" s="379">
        <f>SUM(C47:C49)</f>
        <v>0</v>
      </c>
      <c r="D53" s="378">
        <f t="shared" ref="D53:J53" si="20">SUM(D47:D49)</f>
        <v>0</v>
      </c>
      <c r="E53" s="379">
        <f t="shared" si="20"/>
        <v>0</v>
      </c>
      <c r="F53" s="378">
        <f t="shared" si="20"/>
        <v>0</v>
      </c>
      <c r="G53" s="379">
        <f t="shared" si="20"/>
        <v>0</v>
      </c>
      <c r="H53" s="378">
        <f t="shared" si="20"/>
        <v>0</v>
      </c>
      <c r="I53" s="379">
        <f t="shared" si="20"/>
        <v>0</v>
      </c>
      <c r="J53" s="378">
        <f t="shared" si="20"/>
        <v>0</v>
      </c>
      <c r="K53" s="379">
        <f>SUM(K47:K49)</f>
        <v>0</v>
      </c>
      <c r="L53" s="378">
        <f t="shared" ref="L53:R53" si="21">SUM(L47:L49)</f>
        <v>0</v>
      </c>
      <c r="M53" s="379">
        <f t="shared" si="21"/>
        <v>0</v>
      </c>
      <c r="N53" s="378">
        <f t="shared" si="21"/>
        <v>0</v>
      </c>
      <c r="O53" s="360">
        <f t="shared" si="21"/>
        <v>0</v>
      </c>
      <c r="P53" s="392">
        <f t="shared" si="21"/>
        <v>0</v>
      </c>
      <c r="Q53" s="392">
        <f t="shared" si="21"/>
        <v>0</v>
      </c>
      <c r="R53" s="378">
        <f t="shared" si="21"/>
        <v>0</v>
      </c>
    </row>
    <row r="54" spans="1:22" ht="15" customHeight="1">
      <c r="A54" s="475" t="s">
        <v>65</v>
      </c>
      <c r="B54" s="85">
        <f>SUM(B38:B43)</f>
        <v>1602841.7807899998</v>
      </c>
      <c r="C54" s="153">
        <f>SUM(C38:C43)</f>
        <v>6042643.5703599993</v>
      </c>
      <c r="D54" s="85">
        <f t="shared" ref="D54:J54" si="22">SUM(D38:D43)</f>
        <v>1253869.1330200001</v>
      </c>
      <c r="E54" s="153">
        <f t="shared" si="22"/>
        <v>1925921.99957</v>
      </c>
      <c r="F54" s="85">
        <f t="shared" si="22"/>
        <v>1875158.9994600001</v>
      </c>
      <c r="G54" s="153">
        <f t="shared" si="22"/>
        <v>5134681.3537800005</v>
      </c>
      <c r="H54" s="85">
        <f t="shared" si="22"/>
        <v>2683178.6922900002</v>
      </c>
      <c r="I54" s="153">
        <f t="shared" si="22"/>
        <v>2137031.4819499999</v>
      </c>
      <c r="J54" s="85">
        <f t="shared" si="22"/>
        <v>2121182.2870899998</v>
      </c>
      <c r="K54" s="153">
        <f>SUM(K38:K43)</f>
        <v>4864541.4240080118</v>
      </c>
      <c r="L54" s="85">
        <f t="shared" ref="L54:R54" si="23">SUM(L38:L43)</f>
        <v>6021187.6503800014</v>
      </c>
      <c r="M54" s="153">
        <f t="shared" si="23"/>
        <v>8038080.7137699993</v>
      </c>
      <c r="N54" s="85">
        <f t="shared" si="23"/>
        <v>1890309.7956900003</v>
      </c>
      <c r="O54" s="576">
        <f t="shared" si="23"/>
        <v>2450585.7186700003</v>
      </c>
      <c r="P54" s="581">
        <f t="shared" si="23"/>
        <v>48041214.600828007</v>
      </c>
      <c r="Q54" s="581">
        <f t="shared" si="23"/>
        <v>863885.63623058889</v>
      </c>
      <c r="R54" s="577">
        <f t="shared" si="23"/>
        <v>48905100.237058602</v>
      </c>
    </row>
    <row r="55" spans="1:22" ht="15" customHeight="1">
      <c r="A55" s="479" t="s">
        <v>66</v>
      </c>
      <c r="B55" s="127">
        <f>SUM(B44:B49)</f>
        <v>0</v>
      </c>
      <c r="C55" s="128">
        <f>SUM(C44:C49)</f>
        <v>0</v>
      </c>
      <c r="D55" s="127">
        <f t="shared" ref="D55:J55" si="24">SUM(D44:D49)</f>
        <v>0</v>
      </c>
      <c r="E55" s="128">
        <f t="shared" si="24"/>
        <v>0</v>
      </c>
      <c r="F55" s="127">
        <f t="shared" si="24"/>
        <v>0</v>
      </c>
      <c r="G55" s="128">
        <f t="shared" si="24"/>
        <v>0</v>
      </c>
      <c r="H55" s="127">
        <f t="shared" si="24"/>
        <v>0</v>
      </c>
      <c r="I55" s="128">
        <f t="shared" si="24"/>
        <v>0</v>
      </c>
      <c r="J55" s="127">
        <f t="shared" si="24"/>
        <v>0</v>
      </c>
      <c r="K55" s="128">
        <f>SUM(K44:K49)</f>
        <v>0</v>
      </c>
      <c r="L55" s="127">
        <f t="shared" ref="L55:R55" si="25">SUM(L44:L49)</f>
        <v>0</v>
      </c>
      <c r="M55" s="128">
        <f t="shared" si="25"/>
        <v>0</v>
      </c>
      <c r="N55" s="127">
        <f t="shared" si="25"/>
        <v>0</v>
      </c>
      <c r="O55" s="84">
        <f t="shared" si="25"/>
        <v>0</v>
      </c>
      <c r="P55" s="152">
        <f t="shared" si="25"/>
        <v>0</v>
      </c>
      <c r="Q55" s="152">
        <f t="shared" si="25"/>
        <v>0</v>
      </c>
      <c r="R55" s="127">
        <f t="shared" si="25"/>
        <v>0</v>
      </c>
    </row>
    <row r="56" spans="1:22" ht="15" customHeight="1">
      <c r="A56" s="485" t="s">
        <v>239</v>
      </c>
      <c r="B56" s="380">
        <f>SUM(B38:B49)</f>
        <v>1602841.7807899998</v>
      </c>
      <c r="C56" s="381">
        <f>SUM(C38:C49)</f>
        <v>6042643.5703599993</v>
      </c>
      <c r="D56" s="380">
        <f t="shared" ref="D56:J56" si="26">SUM(D38:D49)</f>
        <v>1253869.1330200001</v>
      </c>
      <c r="E56" s="381">
        <f t="shared" si="26"/>
        <v>1925921.99957</v>
      </c>
      <c r="F56" s="380">
        <f t="shared" si="26"/>
        <v>1875158.9994600001</v>
      </c>
      <c r="G56" s="381">
        <f t="shared" si="26"/>
        <v>5134681.3537800005</v>
      </c>
      <c r="H56" s="380">
        <f t="shared" si="26"/>
        <v>2683178.6922900002</v>
      </c>
      <c r="I56" s="381">
        <f t="shared" si="26"/>
        <v>2137031.4819499999</v>
      </c>
      <c r="J56" s="380">
        <f t="shared" si="26"/>
        <v>2121182.2870899998</v>
      </c>
      <c r="K56" s="381">
        <f>SUM(K38:K49)</f>
        <v>4864541.4240080118</v>
      </c>
      <c r="L56" s="380">
        <f t="shared" ref="L56:R56" si="27">SUM(L38:L49)</f>
        <v>6021187.6503800014</v>
      </c>
      <c r="M56" s="381">
        <f t="shared" si="27"/>
        <v>8038080.7137699993</v>
      </c>
      <c r="N56" s="380">
        <f t="shared" si="27"/>
        <v>1890309.7956900003</v>
      </c>
      <c r="O56" s="361">
        <f t="shared" si="27"/>
        <v>2450585.7186700003</v>
      </c>
      <c r="P56" s="393">
        <f t="shared" si="27"/>
        <v>48041214.600828007</v>
      </c>
      <c r="Q56" s="393">
        <f t="shared" si="27"/>
        <v>863885.63623058889</v>
      </c>
      <c r="R56" s="380">
        <f t="shared" si="27"/>
        <v>48905100.237058602</v>
      </c>
    </row>
    <row r="57" spans="1:22" ht="12" customHeight="1">
      <c r="E57" s="83"/>
      <c r="F57" s="83"/>
      <c r="G57" s="83"/>
      <c r="L57" s="83"/>
      <c r="M57" s="83"/>
      <c r="N57" s="83"/>
    </row>
    <row r="58" spans="1:22" ht="12" customHeight="1">
      <c r="E58" s="83"/>
      <c r="F58" s="83"/>
      <c r="G58" s="83"/>
      <c r="L58" s="83"/>
      <c r="M58" s="83"/>
      <c r="N58" s="83"/>
    </row>
    <row r="59" spans="1:22" ht="12" customHeight="1">
      <c r="E59" s="83"/>
      <c r="F59" s="83"/>
      <c r="G59" s="83"/>
      <c r="L59" s="83"/>
      <c r="M59" s="83"/>
      <c r="N59" s="83"/>
    </row>
    <row r="60" spans="1:22" ht="12" customHeight="1">
      <c r="E60" s="83"/>
      <c r="F60" s="83"/>
      <c r="G60" s="83"/>
      <c r="L60" s="83"/>
      <c r="M60" s="83"/>
      <c r="N60" s="83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6.42578125" style="159" customWidth="1"/>
    <col min="2" max="6" width="4.7109375" style="159" customWidth="1"/>
    <col min="7" max="9" width="4.85546875" style="159" customWidth="1"/>
    <col min="10" max="14" width="4.7109375" style="159" customWidth="1"/>
    <col min="15" max="15" width="3.7109375" style="159" customWidth="1"/>
    <col min="16" max="19" width="4.7109375" style="159" customWidth="1"/>
    <col min="20" max="20" width="3.7109375" style="159" customWidth="1"/>
    <col min="21" max="21" width="5" style="159" customWidth="1"/>
    <col min="22" max="16384" width="9.140625" style="159"/>
  </cols>
  <sheetData>
    <row r="1" spans="1:20" ht="18.75">
      <c r="A1" s="261" t="s">
        <v>318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</row>
    <row r="2" spans="1:20" ht="15" customHeight="1">
      <c r="E2" s="262"/>
      <c r="F2" s="262"/>
    </row>
    <row r="3" spans="1:20" ht="15" customHeight="1">
      <c r="A3" s="716" t="s">
        <v>273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</row>
    <row r="4" spans="1:20" ht="15" customHeight="1">
      <c r="A4" s="247"/>
      <c r="C4" s="248"/>
      <c r="D4" s="248"/>
      <c r="E4" s="248"/>
      <c r="F4" s="248"/>
      <c r="G4" s="248"/>
      <c r="H4" s="228"/>
      <c r="I4" s="228"/>
    </row>
    <row r="5" spans="1:20" ht="15" customHeight="1">
      <c r="A5" s="247"/>
      <c r="C5" s="248"/>
      <c r="D5" s="248"/>
      <c r="E5" s="248"/>
      <c r="F5" s="248"/>
      <c r="G5" s="248"/>
      <c r="H5" s="228"/>
      <c r="I5" s="228"/>
    </row>
    <row r="6" spans="1:20" ht="15" customHeight="1">
      <c r="A6" s="247"/>
      <c r="B6" s="249"/>
      <c r="C6" s="249"/>
      <c r="D6" s="248"/>
      <c r="E6" s="248"/>
      <c r="F6" s="248"/>
      <c r="G6" s="249"/>
      <c r="H6" s="81"/>
      <c r="I6" s="228"/>
    </row>
    <row r="7" spans="1:20" ht="15" customHeight="1">
      <c r="A7" s="247"/>
      <c r="B7" s="249"/>
      <c r="C7" s="249"/>
      <c r="D7" s="248"/>
      <c r="E7" s="248"/>
      <c r="F7" s="248"/>
      <c r="G7" s="249"/>
      <c r="H7" s="81"/>
      <c r="I7" s="228"/>
    </row>
    <row r="8" spans="1:20" ht="15" customHeight="1">
      <c r="A8" s="247"/>
      <c r="B8" s="249"/>
      <c r="C8" s="249"/>
      <c r="D8" s="248"/>
      <c r="E8" s="248"/>
      <c r="F8" s="248"/>
      <c r="G8" s="249"/>
      <c r="H8" s="81"/>
      <c r="I8" s="228"/>
    </row>
    <row r="9" spans="1:20" ht="15" customHeight="1">
      <c r="A9" s="247"/>
      <c r="B9" s="248"/>
      <c r="C9" s="248"/>
      <c r="D9" s="248"/>
      <c r="E9" s="248"/>
      <c r="F9" s="248"/>
      <c r="G9" s="249"/>
      <c r="H9" s="81"/>
      <c r="I9" s="228"/>
    </row>
    <row r="10" spans="1:20" ht="15" customHeight="1">
      <c r="A10" s="247"/>
      <c r="B10" s="248"/>
      <c r="C10" s="248"/>
      <c r="D10" s="248"/>
      <c r="E10" s="248"/>
      <c r="F10" s="248"/>
      <c r="G10" s="248"/>
      <c r="H10" s="228"/>
      <c r="I10" s="228"/>
    </row>
    <row r="11" spans="1:20" ht="15" customHeight="1">
      <c r="A11" s="247"/>
      <c r="B11" s="248"/>
      <c r="C11" s="248"/>
      <c r="D11" s="248"/>
      <c r="E11" s="248"/>
      <c r="F11" s="248"/>
      <c r="G11" s="248"/>
      <c r="H11" s="228"/>
      <c r="I11" s="228"/>
    </row>
    <row r="12" spans="1:20" ht="15" customHeight="1">
      <c r="A12" s="247"/>
      <c r="B12" s="248"/>
      <c r="C12" s="248"/>
      <c r="D12" s="248"/>
      <c r="E12" s="248"/>
      <c r="F12" s="248"/>
      <c r="G12" s="248"/>
      <c r="H12" s="228"/>
      <c r="I12" s="228"/>
    </row>
    <row r="13" spans="1:20" ht="15" customHeight="1">
      <c r="A13" s="247"/>
      <c r="B13" s="248"/>
      <c r="C13" s="248"/>
      <c r="D13" s="248"/>
      <c r="E13" s="248"/>
      <c r="F13" s="248"/>
      <c r="G13" s="248"/>
      <c r="H13" s="228"/>
      <c r="I13" s="228"/>
    </row>
    <row r="14" spans="1:20" ht="15" customHeight="1">
      <c r="A14" s="247"/>
      <c r="B14" s="248"/>
      <c r="C14" s="248"/>
      <c r="D14" s="248"/>
      <c r="E14" s="248"/>
      <c r="F14" s="248"/>
      <c r="G14" s="248"/>
      <c r="H14" s="250"/>
      <c r="I14" s="250"/>
    </row>
    <row r="15" spans="1:20" ht="15" customHeight="1">
      <c r="A15" s="3"/>
      <c r="B15" s="3"/>
      <c r="C15" s="3"/>
      <c r="D15" s="3"/>
      <c r="E15" s="3"/>
      <c r="F15" s="3"/>
      <c r="G15" s="2"/>
      <c r="H15" s="251"/>
      <c r="I15" s="251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5" customHeight="1">
      <c r="B21" s="183" t="s">
        <v>108</v>
      </c>
      <c r="C21" s="183"/>
      <c r="D21" s="183"/>
      <c r="E21" s="3"/>
      <c r="F21" s="2"/>
      <c r="G21" s="2"/>
      <c r="H21" s="2"/>
    </row>
    <row r="22" spans="1:21" ht="12.95" customHeight="1">
      <c r="B22" s="183" t="s">
        <v>100</v>
      </c>
      <c r="C22" s="183"/>
      <c r="D22" s="183"/>
      <c r="G22" s="717" t="s">
        <v>260</v>
      </c>
      <c r="H22" s="717"/>
      <c r="I22" s="717"/>
      <c r="K22" s="717" t="s">
        <v>119</v>
      </c>
      <c r="L22" s="717"/>
      <c r="M22" s="717"/>
      <c r="N22" s="717"/>
      <c r="P22" s="717" t="s">
        <v>263</v>
      </c>
      <c r="Q22" s="717"/>
      <c r="R22" s="717"/>
      <c r="S22" s="717"/>
      <c r="T22" s="717"/>
      <c r="U22" s="717"/>
    </row>
    <row r="23" spans="1:21" ht="12.95" customHeight="1">
      <c r="B23" s="183" t="s">
        <v>101</v>
      </c>
      <c r="C23" s="183"/>
      <c r="D23" s="183"/>
      <c r="G23" s="717" t="s">
        <v>261</v>
      </c>
      <c r="H23" s="717"/>
      <c r="I23" s="717"/>
      <c r="K23" s="718" t="s">
        <v>118</v>
      </c>
      <c r="L23" s="718"/>
      <c r="M23" s="718"/>
      <c r="N23" s="718"/>
      <c r="P23" s="717" t="s">
        <v>264</v>
      </c>
      <c r="Q23" s="717"/>
      <c r="R23" s="717"/>
      <c r="S23" s="717"/>
      <c r="T23" s="717"/>
      <c r="U23" s="717"/>
    </row>
    <row r="24" spans="1:21" ht="12.95" customHeight="1">
      <c r="B24" s="183" t="s">
        <v>102</v>
      </c>
      <c r="C24" s="183"/>
      <c r="D24" s="183"/>
      <c r="G24" s="717" t="s">
        <v>262</v>
      </c>
      <c r="H24" s="717"/>
      <c r="I24" s="717"/>
      <c r="K24" s="718"/>
      <c r="L24" s="718"/>
      <c r="M24" s="718"/>
      <c r="N24" s="718"/>
      <c r="P24" s="718" t="s">
        <v>265</v>
      </c>
      <c r="Q24" s="718"/>
      <c r="R24" s="718"/>
      <c r="S24" s="718"/>
      <c r="T24" s="718"/>
      <c r="U24" s="718"/>
    </row>
    <row r="25" spans="1:21" ht="15" customHeight="1">
      <c r="A25" s="3"/>
      <c r="B25" s="3"/>
      <c r="C25" s="3"/>
      <c r="D25" s="3"/>
      <c r="E25" s="3"/>
      <c r="F25" s="3"/>
      <c r="H25" s="252"/>
      <c r="I25" s="252"/>
      <c r="P25" s="718"/>
      <c r="Q25" s="718"/>
      <c r="R25" s="718"/>
      <c r="S25" s="718"/>
      <c r="T25" s="718"/>
      <c r="U25" s="718"/>
    </row>
    <row r="26" spans="1:21" ht="15" customHeight="1">
      <c r="A26" s="719"/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  <c r="O26" s="719"/>
      <c r="P26" s="719"/>
      <c r="Q26" s="719"/>
      <c r="R26" s="719"/>
      <c r="S26" s="719"/>
      <c r="T26" s="719"/>
    </row>
    <row r="27" spans="1:21" ht="15" customHeight="1">
      <c r="A27" s="720" t="s">
        <v>274</v>
      </c>
      <c r="B27" s="720"/>
      <c r="C27" s="720"/>
      <c r="D27" s="720"/>
      <c r="E27" s="720"/>
      <c r="F27" s="720"/>
      <c r="G27" s="720"/>
      <c r="H27" s="720"/>
      <c r="I27" s="720"/>
      <c r="J27" s="720"/>
      <c r="K27" s="720"/>
      <c r="L27" s="720"/>
      <c r="M27" s="720"/>
      <c r="N27" s="720"/>
      <c r="O27" s="720"/>
      <c r="P27" s="720"/>
      <c r="Q27" s="720"/>
      <c r="R27" s="720"/>
      <c r="S27" s="720"/>
      <c r="T27" s="720"/>
    </row>
    <row r="28" spans="1:21" ht="15" customHeight="1">
      <c r="A28" s="163"/>
      <c r="B28" s="163"/>
      <c r="C28" s="253"/>
      <c r="D28" s="253"/>
      <c r="E28" s="253"/>
      <c r="F28" s="253"/>
      <c r="G28" s="254"/>
      <c r="H28" s="255"/>
      <c r="I28" s="255"/>
      <c r="J28" s="170"/>
    </row>
    <row r="29" spans="1:21" ht="15" customHeight="1" thickBot="1">
      <c r="B29" s="721" t="s">
        <v>218</v>
      </c>
      <c r="C29" s="721"/>
      <c r="D29" s="721"/>
      <c r="E29" s="721"/>
      <c r="F29" s="180"/>
      <c r="G29" s="181"/>
      <c r="K29" s="179"/>
      <c r="P29" s="721" t="s">
        <v>219</v>
      </c>
      <c r="Q29" s="721"/>
      <c r="R29" s="721"/>
      <c r="S29" s="721"/>
    </row>
    <row r="30" spans="1:21" ht="15" customHeight="1" thickBot="1">
      <c r="B30" s="721"/>
      <c r="C30" s="721"/>
      <c r="D30" s="721"/>
      <c r="E30" s="721"/>
      <c r="F30" s="194"/>
      <c r="G30" s="194"/>
      <c r="I30" s="722" t="s">
        <v>118</v>
      </c>
      <c r="J30" s="723"/>
      <c r="K30" s="723"/>
      <c r="L30" s="724"/>
      <c r="P30" s="721"/>
      <c r="Q30" s="721"/>
      <c r="R30" s="721"/>
      <c r="S30" s="721"/>
    </row>
    <row r="31" spans="1:21" ht="15" customHeight="1">
      <c r="A31" s="182"/>
      <c r="B31" s="721"/>
      <c r="C31" s="721"/>
      <c r="D31" s="721"/>
      <c r="E31" s="721"/>
      <c r="F31" s="163"/>
      <c r="G31" s="163"/>
      <c r="H31" s="163"/>
      <c r="I31" s="178"/>
      <c r="J31" s="179"/>
      <c r="K31" s="179"/>
      <c r="L31" s="178"/>
      <c r="P31" s="721"/>
      <c r="Q31" s="721"/>
      <c r="R31" s="721"/>
      <c r="S31" s="721"/>
    </row>
    <row r="32" spans="1:21" ht="15" customHeight="1">
      <c r="A32" s="713"/>
      <c r="B32" s="713"/>
      <c r="C32" s="175"/>
      <c r="D32" s="175"/>
      <c r="E32" s="714"/>
      <c r="F32" s="715"/>
      <c r="G32" s="81"/>
      <c r="H32" s="162"/>
      <c r="I32" s="176"/>
      <c r="J32" s="170"/>
    </row>
    <row r="33" spans="1:20" ht="15" customHeight="1">
      <c r="C33" s="177"/>
      <c r="D33" s="162"/>
      <c r="E33" s="715"/>
      <c r="F33" s="715"/>
      <c r="G33" s="194"/>
      <c r="H33" s="176"/>
      <c r="I33" s="176"/>
      <c r="J33" s="170"/>
    </row>
    <row r="34" spans="1:20" ht="15" customHeight="1">
      <c r="B34" s="725" t="s">
        <v>52</v>
      </c>
      <c r="C34" s="725"/>
      <c r="D34" s="725"/>
      <c r="E34" s="725"/>
      <c r="F34" s="194"/>
      <c r="G34" s="173"/>
      <c r="H34" s="173"/>
      <c r="I34" s="162"/>
      <c r="J34" s="162"/>
    </row>
    <row r="35" spans="1:20" ht="15" customHeight="1">
      <c r="A35" s="160"/>
      <c r="B35" s="725"/>
      <c r="C35" s="725"/>
      <c r="D35" s="725"/>
      <c r="E35" s="725"/>
      <c r="F35" s="174"/>
      <c r="G35" s="174"/>
      <c r="I35" s="726" t="s">
        <v>119</v>
      </c>
      <c r="J35" s="727"/>
      <c r="K35" s="727"/>
      <c r="L35" s="728"/>
    </row>
    <row r="36" spans="1:20" ht="15" customHeight="1">
      <c r="A36" s="163"/>
      <c r="B36" s="725"/>
      <c r="C36" s="725"/>
      <c r="D36" s="725"/>
      <c r="E36" s="725"/>
      <c r="F36" s="162"/>
      <c r="G36" s="162"/>
      <c r="I36" s="729" t="s">
        <v>120</v>
      </c>
      <c r="J36" s="721"/>
      <c r="K36" s="721"/>
      <c r="L36" s="730"/>
    </row>
    <row r="37" spans="1:20" ht="15" customHeight="1">
      <c r="C37" s="172"/>
      <c r="D37" s="162"/>
      <c r="E37" s="162"/>
      <c r="F37" s="162"/>
      <c r="G37" s="162"/>
      <c r="I37" s="729"/>
      <c r="J37" s="721"/>
      <c r="K37" s="721"/>
      <c r="L37" s="730"/>
      <c r="P37" s="721" t="s">
        <v>113</v>
      </c>
      <c r="Q37" s="721"/>
      <c r="R37" s="721"/>
      <c r="S37" s="721"/>
    </row>
    <row r="38" spans="1:20" ht="15" customHeight="1">
      <c r="B38" s="725" t="s">
        <v>53</v>
      </c>
      <c r="C38" s="725"/>
      <c r="D38" s="725"/>
      <c r="E38" s="725"/>
      <c r="F38" s="162"/>
      <c r="G38" s="162"/>
      <c r="I38" s="731"/>
      <c r="J38" s="732"/>
      <c r="K38" s="732"/>
      <c r="L38" s="733"/>
      <c r="P38" s="721"/>
      <c r="Q38" s="721"/>
      <c r="R38" s="721"/>
      <c r="S38" s="721"/>
    </row>
    <row r="39" spans="1:20" ht="15" customHeight="1">
      <c r="A39" s="160"/>
      <c r="B39" s="725"/>
      <c r="C39" s="725"/>
      <c r="D39" s="725"/>
      <c r="E39" s="725"/>
      <c r="F39" s="171"/>
      <c r="G39" s="162"/>
      <c r="J39" s="170"/>
      <c r="R39" s="162"/>
      <c r="S39" s="162"/>
    </row>
    <row r="40" spans="1:20" ht="15" customHeight="1">
      <c r="A40" s="160"/>
      <c r="B40" s="725"/>
      <c r="C40" s="725"/>
      <c r="D40" s="725"/>
      <c r="E40" s="725"/>
      <c r="F40" s="162"/>
      <c r="G40" s="165"/>
      <c r="J40" s="162"/>
      <c r="O40" s="263"/>
      <c r="P40" s="263"/>
      <c r="Q40" s="263"/>
      <c r="R40" s="264"/>
      <c r="S40" s="264"/>
      <c r="T40" s="263"/>
    </row>
    <row r="41" spans="1:20" ht="15" customHeight="1">
      <c r="A41" s="160"/>
      <c r="B41" s="195"/>
      <c r="C41" s="195"/>
      <c r="D41" s="195"/>
      <c r="E41" s="195"/>
      <c r="F41" s="162"/>
      <c r="G41" s="165"/>
      <c r="J41" s="162"/>
      <c r="O41" s="263"/>
      <c r="P41" s="752" t="s">
        <v>116</v>
      </c>
      <c r="Q41" s="752"/>
      <c r="R41" s="752"/>
      <c r="S41" s="752"/>
      <c r="T41" s="737" t="s">
        <v>23</v>
      </c>
    </row>
    <row r="42" spans="1:20" ht="15" customHeight="1">
      <c r="A42" s="713"/>
      <c r="B42" s="713"/>
      <c r="C42" s="169"/>
      <c r="D42" s="162"/>
      <c r="E42" s="162"/>
      <c r="F42" s="162"/>
      <c r="G42" s="165"/>
      <c r="J42" s="170"/>
      <c r="O42" s="263"/>
      <c r="P42" s="721" t="s">
        <v>121</v>
      </c>
      <c r="Q42" s="721"/>
      <c r="R42" s="721"/>
      <c r="S42" s="721"/>
      <c r="T42" s="737"/>
    </row>
    <row r="43" spans="1:20" ht="15" customHeight="1">
      <c r="B43" s="738" t="s">
        <v>122</v>
      </c>
      <c r="C43" s="738"/>
      <c r="D43" s="738"/>
      <c r="E43" s="738"/>
      <c r="F43" s="162"/>
      <c r="G43" s="162"/>
      <c r="O43" s="263"/>
      <c r="P43" s="721"/>
      <c r="Q43" s="721"/>
      <c r="R43" s="721"/>
      <c r="S43" s="721"/>
      <c r="T43" s="737"/>
    </row>
    <row r="44" spans="1:20" ht="15" customHeight="1">
      <c r="B44" s="738"/>
      <c r="C44" s="738"/>
      <c r="D44" s="738"/>
      <c r="E44" s="738"/>
      <c r="F44" s="194"/>
      <c r="G44" s="194"/>
      <c r="I44" s="739" t="s">
        <v>123</v>
      </c>
      <c r="J44" s="740"/>
      <c r="K44" s="740"/>
      <c r="L44" s="741"/>
      <c r="O44" s="263"/>
      <c r="P44" s="742" t="s">
        <v>221</v>
      </c>
      <c r="Q44" s="742"/>
      <c r="R44" s="742"/>
      <c r="S44" s="742"/>
      <c r="T44" s="737"/>
    </row>
    <row r="45" spans="1:20" ht="15" customHeight="1" thickBot="1">
      <c r="A45" s="168"/>
      <c r="F45" s="162"/>
      <c r="G45" s="162"/>
      <c r="I45" s="743" t="s">
        <v>317</v>
      </c>
      <c r="J45" s="744"/>
      <c r="K45" s="744"/>
      <c r="L45" s="745"/>
      <c r="O45" s="263"/>
      <c r="P45" s="742"/>
      <c r="Q45" s="742"/>
      <c r="R45" s="742"/>
      <c r="S45" s="742"/>
      <c r="T45" s="737"/>
    </row>
    <row r="46" spans="1:20" ht="15" customHeight="1" thickBot="1">
      <c r="A46" s="168"/>
      <c r="B46" s="168"/>
      <c r="C46" s="749" t="s">
        <v>124</v>
      </c>
      <c r="D46" s="750"/>
      <c r="E46" s="750"/>
      <c r="F46" s="751"/>
      <c r="I46" s="743"/>
      <c r="J46" s="744"/>
      <c r="K46" s="744"/>
      <c r="L46" s="745"/>
      <c r="O46" s="263"/>
      <c r="P46" s="744" t="s">
        <v>220</v>
      </c>
      <c r="Q46" s="744"/>
      <c r="R46" s="744"/>
      <c r="S46" s="744"/>
      <c r="T46" s="737"/>
    </row>
    <row r="47" spans="1:20" ht="15" customHeight="1">
      <c r="F47" s="162"/>
      <c r="G47" s="162"/>
      <c r="I47" s="746"/>
      <c r="J47" s="747"/>
      <c r="K47" s="747"/>
      <c r="L47" s="748"/>
      <c r="O47" s="263"/>
      <c r="P47" s="744"/>
      <c r="Q47" s="744"/>
      <c r="R47" s="744"/>
      <c r="S47" s="744"/>
      <c r="T47" s="737"/>
    </row>
    <row r="48" spans="1:20" ht="15" customHeight="1">
      <c r="B48" s="738" t="s">
        <v>125</v>
      </c>
      <c r="C48" s="738"/>
      <c r="D48" s="738"/>
      <c r="E48" s="738"/>
      <c r="G48" s="165"/>
      <c r="J48" s="166"/>
      <c r="O48" s="263"/>
      <c r="P48" s="744"/>
      <c r="Q48" s="744"/>
      <c r="R48" s="744"/>
      <c r="S48" s="744"/>
      <c r="T48" s="737"/>
    </row>
    <row r="49" spans="1:20" ht="15" customHeight="1">
      <c r="A49" s="167"/>
      <c r="B49" s="738"/>
      <c r="C49" s="738"/>
      <c r="D49" s="738"/>
      <c r="E49" s="738"/>
      <c r="G49" s="165"/>
      <c r="J49" s="166"/>
      <c r="O49" s="263"/>
      <c r="P49" s="744"/>
      <c r="Q49" s="744"/>
      <c r="R49" s="744"/>
      <c r="S49" s="744"/>
      <c r="T49" s="737"/>
    </row>
    <row r="50" spans="1:20" ht="15" customHeight="1">
      <c r="A50" s="160"/>
      <c r="B50" s="160"/>
      <c r="D50" s="161"/>
      <c r="E50" s="162"/>
      <c r="F50" s="162"/>
      <c r="G50" s="163"/>
      <c r="H50" s="2"/>
      <c r="I50" s="734" t="s">
        <v>126</v>
      </c>
      <c r="J50" s="734"/>
      <c r="K50" s="734"/>
      <c r="L50" s="734"/>
      <c r="O50" s="263"/>
      <c r="P50" s="735" t="s">
        <v>127</v>
      </c>
      <c r="Q50" s="735"/>
      <c r="R50" s="735"/>
      <c r="S50" s="735"/>
      <c r="T50" s="737"/>
    </row>
    <row r="51" spans="1:20" ht="15" customHeight="1">
      <c r="A51" s="160"/>
      <c r="B51" s="160"/>
      <c r="D51" s="162"/>
      <c r="E51" s="162"/>
      <c r="F51" s="162"/>
      <c r="G51" s="162"/>
      <c r="H51" s="164"/>
      <c r="I51" s="734"/>
      <c r="J51" s="734"/>
      <c r="K51" s="734"/>
      <c r="L51" s="734"/>
      <c r="O51" s="263"/>
      <c r="P51" s="735"/>
      <c r="Q51" s="735"/>
      <c r="R51" s="735"/>
      <c r="S51" s="735"/>
      <c r="T51" s="737"/>
    </row>
    <row r="52" spans="1:20" ht="15" customHeight="1">
      <c r="B52" s="736" t="s">
        <v>128</v>
      </c>
      <c r="C52" s="736"/>
      <c r="D52" s="736"/>
      <c r="E52" s="736"/>
      <c r="O52" s="263"/>
      <c r="P52" s="736" t="s">
        <v>69</v>
      </c>
      <c r="Q52" s="736"/>
      <c r="R52" s="736"/>
      <c r="S52" s="736"/>
      <c r="T52" s="737"/>
    </row>
    <row r="53" spans="1:20" ht="15" customHeight="1">
      <c r="B53" s="736"/>
      <c r="C53" s="736"/>
      <c r="D53" s="736"/>
      <c r="E53" s="736"/>
      <c r="O53" s="263"/>
      <c r="P53" s="736"/>
      <c r="Q53" s="736"/>
      <c r="R53" s="736"/>
      <c r="S53" s="736"/>
      <c r="T53" s="737"/>
    </row>
    <row r="54" spans="1:20" ht="15" customHeight="1">
      <c r="O54" s="263"/>
      <c r="P54" s="263"/>
      <c r="Q54" s="263"/>
      <c r="R54" s="263"/>
      <c r="S54" s="263"/>
      <c r="T54" s="263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  <mergeCell ref="B34:E36"/>
    <mergeCell ref="I35:L35"/>
    <mergeCell ref="I36:L38"/>
    <mergeCell ref="P37:S38"/>
    <mergeCell ref="B38:E40"/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42"/>
  <sheetViews>
    <sheetView showGridLines="0" zoomScaleNormal="100" zoomScaleSheetLayoutView="100" workbookViewId="0"/>
  </sheetViews>
  <sheetFormatPr defaultColWidth="9.140625" defaultRowHeight="11.25"/>
  <cols>
    <col min="1" max="1" width="18.42578125" style="184" customWidth="1"/>
    <col min="2" max="2" width="81" style="212" customWidth="1"/>
    <col min="3" max="3" width="9.140625" style="81"/>
    <col min="4" max="4" width="11.7109375" style="81" customWidth="1"/>
    <col min="5" max="6" width="9.140625" style="81"/>
    <col min="7" max="7" width="11.7109375" style="81" customWidth="1"/>
    <col min="8" max="16384" width="9.140625" style="81"/>
  </cols>
  <sheetData>
    <row r="1" spans="1:2" ht="18.75">
      <c r="A1" s="26" t="s">
        <v>222</v>
      </c>
      <c r="B1" s="214"/>
    </row>
    <row r="2" spans="1:2" ht="6" customHeight="1">
      <c r="B2" s="214"/>
    </row>
    <row r="3" spans="1:2" ht="39.950000000000003" customHeight="1">
      <c r="A3" s="27" t="s">
        <v>135</v>
      </c>
      <c r="B3" s="196" t="s">
        <v>223</v>
      </c>
    </row>
    <row r="4" spans="1:2" ht="24.95" customHeight="1">
      <c r="A4" s="28" t="s">
        <v>112</v>
      </c>
      <c r="B4" s="29" t="s">
        <v>147</v>
      </c>
    </row>
    <row r="5" spans="1:2" ht="24.95" customHeight="1">
      <c r="A5" s="28" t="s">
        <v>148</v>
      </c>
      <c r="B5" s="19" t="s">
        <v>149</v>
      </c>
    </row>
    <row r="6" spans="1:2" ht="24.95" customHeight="1">
      <c r="A6" s="28" t="s">
        <v>7</v>
      </c>
      <c r="B6" s="29" t="s">
        <v>150</v>
      </c>
    </row>
    <row r="7" spans="1:2" ht="24.95" customHeight="1">
      <c r="A7" s="28" t="s">
        <v>151</v>
      </c>
      <c r="B7" s="29" t="s">
        <v>152</v>
      </c>
    </row>
    <row r="8" spans="1:2" ht="24.95" customHeight="1">
      <c r="A8" s="28" t="s">
        <v>153</v>
      </c>
      <c r="B8" s="29" t="s">
        <v>154</v>
      </c>
    </row>
    <row r="9" spans="1:2" ht="24.95" customHeight="1">
      <c r="A9" s="28" t="s">
        <v>22</v>
      </c>
      <c r="B9" s="29" t="s">
        <v>155</v>
      </c>
    </row>
    <row r="10" spans="1:2" ht="24.95" customHeight="1">
      <c r="A10" s="28" t="s">
        <v>104</v>
      </c>
      <c r="B10" s="21" t="s">
        <v>156</v>
      </c>
    </row>
    <row r="11" spans="1:2" ht="24.95" customHeight="1">
      <c r="A11" s="28" t="s">
        <v>157</v>
      </c>
      <c r="B11" s="29" t="s">
        <v>158</v>
      </c>
    </row>
    <row r="12" spans="1:2" ht="24.95" customHeight="1">
      <c r="A12" s="28" t="s">
        <v>105</v>
      </c>
      <c r="B12" s="29" t="s">
        <v>159</v>
      </c>
    </row>
    <row r="13" spans="1:2" ht="24.95" customHeight="1">
      <c r="A13" s="28" t="s">
        <v>160</v>
      </c>
      <c r="B13" s="29" t="s">
        <v>161</v>
      </c>
    </row>
    <row r="14" spans="1:2" ht="24.95" customHeight="1">
      <c r="A14" s="28" t="s">
        <v>162</v>
      </c>
      <c r="B14" s="29" t="s">
        <v>163</v>
      </c>
    </row>
    <row r="15" spans="1:2" ht="24.95" customHeight="1">
      <c r="A15" s="28" t="s">
        <v>56</v>
      </c>
      <c r="B15" s="29" t="s">
        <v>164</v>
      </c>
    </row>
    <row r="16" spans="1:2" ht="24.95" customHeight="1">
      <c r="A16" s="28" t="s">
        <v>6</v>
      </c>
      <c r="B16" s="29" t="s">
        <v>165</v>
      </c>
    </row>
    <row r="17" spans="1:2" ht="24.95" customHeight="1">
      <c r="A17" s="28" t="s">
        <v>77</v>
      </c>
      <c r="B17" s="29" t="s">
        <v>166</v>
      </c>
    </row>
    <row r="18" spans="1:2" ht="24.95" customHeight="1">
      <c r="A18" s="28" t="s">
        <v>167</v>
      </c>
      <c r="B18" s="29" t="s">
        <v>168</v>
      </c>
    </row>
    <row r="19" spans="1:2" ht="24.95" customHeight="1">
      <c r="A19" s="28" t="s">
        <v>169</v>
      </c>
      <c r="B19" s="20" t="s">
        <v>170</v>
      </c>
    </row>
    <row r="20" spans="1:2" ht="24.95" customHeight="1">
      <c r="A20" s="27" t="s">
        <v>171</v>
      </c>
      <c r="B20" s="20" t="s">
        <v>172</v>
      </c>
    </row>
    <row r="21" spans="1:2" ht="24.75" customHeight="1">
      <c r="A21" s="28" t="s">
        <v>173</v>
      </c>
      <c r="B21" s="19" t="s">
        <v>174</v>
      </c>
    </row>
    <row r="22" spans="1:2" ht="24.95" customHeight="1">
      <c r="A22" s="28" t="s">
        <v>36</v>
      </c>
      <c r="B22" s="22" t="s">
        <v>175</v>
      </c>
    </row>
    <row r="23" spans="1:2" ht="24.95" customHeight="1">
      <c r="A23" s="28" t="s">
        <v>176</v>
      </c>
      <c r="B23" s="20" t="s">
        <v>177</v>
      </c>
    </row>
    <row r="24" spans="1:2" ht="24.95" customHeight="1">
      <c r="A24" s="28" t="s">
        <v>178</v>
      </c>
      <c r="B24" s="29" t="s">
        <v>179</v>
      </c>
    </row>
    <row r="25" spans="1:2" ht="24.95" customHeight="1">
      <c r="A25" s="28" t="s">
        <v>208</v>
      </c>
      <c r="B25" s="29" t="s">
        <v>209</v>
      </c>
    </row>
    <row r="26" spans="1:2" ht="24.75" customHeight="1">
      <c r="A26" s="28" t="s">
        <v>180</v>
      </c>
      <c r="B26" s="29" t="s">
        <v>181</v>
      </c>
    </row>
    <row r="27" spans="1:2" ht="24.95" customHeight="1">
      <c r="A27" s="28" t="s">
        <v>21</v>
      </c>
      <c r="B27" s="30" t="s">
        <v>182</v>
      </c>
    </row>
    <row r="28" spans="1:2" ht="24.95" customHeight="1">
      <c r="A28" s="28" t="s">
        <v>183</v>
      </c>
      <c r="B28" s="29" t="s">
        <v>184</v>
      </c>
    </row>
    <row r="29" spans="1:2" ht="24.95" customHeight="1">
      <c r="A29" s="28" t="s">
        <v>185</v>
      </c>
      <c r="B29" s="29" t="s">
        <v>186</v>
      </c>
    </row>
    <row r="30" spans="1:2" ht="24.75" customHeight="1">
      <c r="A30" s="28" t="s">
        <v>187</v>
      </c>
      <c r="B30" s="29" t="s">
        <v>188</v>
      </c>
    </row>
    <row r="31" spans="1:2" ht="24.95" customHeight="1">
      <c r="A31" s="28" t="s">
        <v>189</v>
      </c>
      <c r="B31" s="19" t="s">
        <v>206</v>
      </c>
    </row>
    <row r="32" spans="1:2" ht="24.95" customHeight="1">
      <c r="A32" s="28" t="s">
        <v>190</v>
      </c>
      <c r="B32" s="29" t="s">
        <v>191</v>
      </c>
    </row>
    <row r="33" spans="1:2" ht="24.95" customHeight="1">
      <c r="A33" s="28" t="s">
        <v>192</v>
      </c>
      <c r="B33" s="29" t="s">
        <v>193</v>
      </c>
    </row>
    <row r="34" spans="1:2" ht="24.95" customHeight="1">
      <c r="A34" s="28" t="s">
        <v>194</v>
      </c>
      <c r="B34" s="20" t="s">
        <v>195</v>
      </c>
    </row>
    <row r="35" spans="1:2" ht="24.95" customHeight="1">
      <c r="A35" s="28" t="s">
        <v>5</v>
      </c>
      <c r="B35" s="29" t="s">
        <v>196</v>
      </c>
    </row>
    <row r="36" spans="1:2" ht="24.95" customHeight="1">
      <c r="A36" s="28" t="s">
        <v>4</v>
      </c>
      <c r="B36" s="29" t="s">
        <v>197</v>
      </c>
    </row>
    <row r="37" spans="1:2" ht="24.95" customHeight="1">
      <c r="A37" s="28" t="s">
        <v>198</v>
      </c>
      <c r="B37" s="29" t="s">
        <v>199</v>
      </c>
    </row>
    <row r="38" spans="1:2" ht="24.95" customHeight="1">
      <c r="A38" s="28" t="s">
        <v>35</v>
      </c>
      <c r="B38" s="29" t="s">
        <v>200</v>
      </c>
    </row>
    <row r="39" spans="1:2" ht="24.95" customHeight="1">
      <c r="A39" s="28" t="s">
        <v>201</v>
      </c>
      <c r="B39" s="20" t="s">
        <v>202</v>
      </c>
    </row>
    <row r="40" spans="1:2" ht="24.95" customHeight="1">
      <c r="A40" s="28" t="s">
        <v>203</v>
      </c>
      <c r="B40" s="29" t="s">
        <v>204</v>
      </c>
    </row>
    <row r="41" spans="1:2" ht="24.95" customHeight="1">
      <c r="A41" s="213"/>
      <c r="B41" s="206"/>
    </row>
    <row r="42" spans="1:2" ht="24.95" customHeight="1">
      <c r="A42" s="213"/>
      <c r="B42" s="211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71"/>
  <sheetViews>
    <sheetView showGridLines="0" topLeftCell="A22" zoomScaleNormal="100" zoomScaleSheetLayoutView="100" workbookViewId="0">
      <selection activeCell="E23" sqref="E23"/>
    </sheetView>
  </sheetViews>
  <sheetFormatPr defaultColWidth="9.140625" defaultRowHeight="11.25"/>
  <cols>
    <col min="1" max="1" width="90.28515625" style="162" customWidth="1"/>
    <col min="2" max="2" width="9.140625" style="185" customWidth="1"/>
    <col min="3" max="4" width="9.140625" style="162" customWidth="1"/>
    <col min="5" max="5" width="9.140625" style="162"/>
    <col min="6" max="6" width="9.140625" style="162" customWidth="1"/>
    <col min="7" max="8" width="9.140625" style="162"/>
    <col min="9" max="9" width="9.140625" style="162" customWidth="1"/>
    <col min="10" max="16384" width="9.140625" style="162"/>
  </cols>
  <sheetData>
    <row r="1" spans="1:4" ht="18.75">
      <c r="A1" s="25" t="s">
        <v>205</v>
      </c>
      <c r="C1" s="191"/>
      <c r="D1" s="191"/>
    </row>
    <row r="2" spans="1:4" s="161" customFormat="1" ht="6" customHeight="1">
      <c r="A2" s="209"/>
      <c r="B2" s="209"/>
      <c r="C2" s="209"/>
      <c r="D2" s="209"/>
    </row>
    <row r="3" spans="1:4">
      <c r="A3" s="586" t="s">
        <v>309</v>
      </c>
      <c r="B3" s="587"/>
    </row>
    <row r="4" spans="1:4">
      <c r="A4" s="587"/>
      <c r="B4" s="587"/>
    </row>
    <row r="5" spans="1:4">
      <c r="A5" s="587"/>
      <c r="B5" s="587"/>
      <c r="C5" s="205"/>
      <c r="D5" s="205"/>
    </row>
    <row r="6" spans="1:4">
      <c r="A6" s="587"/>
      <c r="B6" s="587"/>
      <c r="C6" s="205"/>
      <c r="D6" s="205"/>
    </row>
    <row r="7" spans="1:4">
      <c r="A7" s="587"/>
      <c r="B7" s="587"/>
      <c r="C7" s="187"/>
      <c r="D7" s="186"/>
    </row>
    <row r="8" spans="1:4">
      <c r="A8" s="587"/>
      <c r="B8" s="587"/>
      <c r="C8" s="205"/>
      <c r="D8" s="205"/>
    </row>
    <row r="9" spans="1:4">
      <c r="A9" s="587"/>
      <c r="B9" s="587"/>
      <c r="C9" s="205"/>
      <c r="D9" s="205"/>
    </row>
    <row r="10" spans="1:4">
      <c r="A10" s="587"/>
      <c r="B10" s="587"/>
      <c r="C10" s="205"/>
      <c r="D10" s="205"/>
    </row>
    <row r="11" spans="1:4">
      <c r="A11" s="587"/>
      <c r="B11" s="587"/>
      <c r="C11" s="205"/>
      <c r="D11" s="205"/>
    </row>
    <row r="12" spans="1:4">
      <c r="A12" s="587"/>
      <c r="B12" s="587"/>
      <c r="C12" s="205"/>
      <c r="D12" s="205"/>
    </row>
    <row r="13" spans="1:4">
      <c r="A13" s="587"/>
      <c r="B13" s="587"/>
      <c r="C13" s="205"/>
      <c r="D13" s="205"/>
    </row>
    <row r="14" spans="1:4">
      <c r="A14" s="587"/>
      <c r="B14" s="587"/>
      <c r="C14" s="186"/>
      <c r="D14" s="186"/>
    </row>
    <row r="15" spans="1:4">
      <c r="A15" s="587"/>
      <c r="B15" s="587"/>
      <c r="C15" s="205"/>
      <c r="D15" s="205"/>
    </row>
    <row r="16" spans="1:4">
      <c r="A16" s="587"/>
      <c r="B16" s="587"/>
      <c r="C16" s="205"/>
      <c r="D16" s="205"/>
    </row>
    <row r="17" spans="1:6">
      <c r="A17" s="587"/>
      <c r="B17" s="587"/>
      <c r="C17" s="205"/>
      <c r="D17" s="205"/>
    </row>
    <row r="18" spans="1:6">
      <c r="A18" s="587"/>
      <c r="B18" s="587"/>
      <c r="C18" s="186"/>
      <c r="D18" s="186"/>
      <c r="F18" s="185"/>
    </row>
    <row r="19" spans="1:6">
      <c r="A19" s="587"/>
      <c r="B19" s="587"/>
      <c r="C19" s="205"/>
      <c r="D19" s="205"/>
      <c r="F19" s="185"/>
    </row>
    <row r="20" spans="1:6">
      <c r="A20" s="587"/>
      <c r="B20" s="587"/>
      <c r="C20" s="205"/>
      <c r="D20" s="205"/>
      <c r="F20" s="185"/>
    </row>
    <row r="21" spans="1:6">
      <c r="A21" s="587"/>
      <c r="B21" s="587"/>
      <c r="C21" s="205"/>
      <c r="D21" s="205"/>
      <c r="F21" s="185"/>
    </row>
    <row r="22" spans="1:6">
      <c r="A22" s="587"/>
      <c r="B22" s="587"/>
      <c r="C22" s="205"/>
      <c r="D22" s="205"/>
      <c r="F22" s="185"/>
    </row>
    <row r="23" spans="1:6">
      <c r="A23" s="587"/>
      <c r="B23" s="587"/>
      <c r="C23" s="186"/>
      <c r="D23" s="186"/>
      <c r="F23" s="185"/>
    </row>
    <row r="24" spans="1:6">
      <c r="A24" s="587"/>
      <c r="B24" s="587"/>
      <c r="C24" s="186"/>
      <c r="D24" s="186"/>
      <c r="F24" s="185"/>
    </row>
    <row r="25" spans="1:6">
      <c r="A25" s="587"/>
      <c r="B25" s="587"/>
      <c r="C25" s="205"/>
      <c r="D25" s="205"/>
      <c r="F25" s="185"/>
    </row>
    <row r="26" spans="1:6">
      <c r="A26" s="587"/>
      <c r="B26" s="587"/>
      <c r="C26" s="205"/>
      <c r="D26" s="205"/>
      <c r="F26" s="185"/>
    </row>
    <row r="27" spans="1:6">
      <c r="A27" s="587"/>
      <c r="B27" s="587"/>
      <c r="C27" s="186"/>
      <c r="D27" s="186"/>
      <c r="F27" s="185"/>
    </row>
    <row r="28" spans="1:6">
      <c r="A28" s="587"/>
      <c r="B28" s="587"/>
      <c r="C28" s="188"/>
      <c r="D28" s="188"/>
      <c r="F28" s="185"/>
    </row>
    <row r="29" spans="1:6">
      <c r="A29" s="587"/>
      <c r="B29" s="587"/>
      <c r="C29" s="205"/>
      <c r="D29" s="205"/>
      <c r="F29" s="185"/>
    </row>
    <row r="30" spans="1:6">
      <c r="A30" s="587"/>
      <c r="B30" s="587"/>
      <c r="C30" s="205"/>
      <c r="D30" s="205"/>
    </row>
    <row r="31" spans="1:6">
      <c r="A31" s="587"/>
      <c r="B31" s="587"/>
      <c r="C31" s="205"/>
      <c r="D31" s="205"/>
    </row>
    <row r="32" spans="1:6">
      <c r="A32" s="587"/>
      <c r="B32" s="587"/>
      <c r="C32" s="205"/>
      <c r="D32" s="205"/>
    </row>
    <row r="33" spans="1:4">
      <c r="A33" s="587"/>
      <c r="B33" s="587"/>
      <c r="C33" s="205"/>
      <c r="D33" s="205"/>
    </row>
    <row r="34" spans="1:4">
      <c r="A34" s="587"/>
      <c r="B34" s="587"/>
      <c r="C34" s="205"/>
      <c r="D34" s="205"/>
    </row>
    <row r="35" spans="1:4">
      <c r="A35" s="587"/>
      <c r="B35" s="587"/>
      <c r="C35" s="205"/>
      <c r="D35" s="205"/>
    </row>
    <row r="36" spans="1:4">
      <c r="A36" s="587"/>
      <c r="B36" s="587"/>
      <c r="C36" s="205"/>
      <c r="D36" s="205"/>
    </row>
    <row r="37" spans="1:4">
      <c r="A37" s="587"/>
      <c r="B37" s="587"/>
      <c r="C37" s="206"/>
      <c r="D37" s="206"/>
    </row>
    <row r="38" spans="1:4">
      <c r="A38" s="587"/>
      <c r="B38" s="587"/>
    </row>
    <row r="39" spans="1:4">
      <c r="A39" s="587"/>
      <c r="B39" s="587"/>
    </row>
    <row r="40" spans="1:4">
      <c r="A40" s="587"/>
      <c r="B40" s="587"/>
    </row>
    <row r="41" spans="1:4">
      <c r="A41" s="587"/>
      <c r="B41" s="587"/>
    </row>
    <row r="42" spans="1:4">
      <c r="A42" s="587"/>
      <c r="B42" s="587"/>
    </row>
    <row r="43" spans="1:4">
      <c r="A43" s="587"/>
      <c r="B43" s="587"/>
    </row>
    <row r="44" spans="1:4">
      <c r="A44" s="587"/>
      <c r="B44" s="587"/>
    </row>
    <row r="45" spans="1:4">
      <c r="A45" s="587"/>
      <c r="B45" s="587"/>
    </row>
    <row r="46" spans="1:4">
      <c r="A46" s="587"/>
      <c r="B46" s="587"/>
    </row>
    <row r="47" spans="1:4">
      <c r="A47" s="587"/>
      <c r="B47" s="587"/>
    </row>
    <row r="48" spans="1:4">
      <c r="A48" s="587"/>
      <c r="B48" s="587"/>
    </row>
    <row r="49" spans="1:2">
      <c r="A49" s="587"/>
      <c r="B49" s="587"/>
    </row>
    <row r="50" spans="1:2">
      <c r="A50" s="587"/>
      <c r="B50" s="587"/>
    </row>
    <row r="51" spans="1:2">
      <c r="A51" s="587"/>
      <c r="B51" s="587"/>
    </row>
    <row r="52" spans="1:2">
      <c r="A52" s="587"/>
      <c r="B52" s="587"/>
    </row>
    <row r="53" spans="1:2">
      <c r="A53" s="587"/>
      <c r="B53" s="587"/>
    </row>
    <row r="54" spans="1:2">
      <c r="A54" s="587"/>
      <c r="B54" s="587"/>
    </row>
    <row r="55" spans="1:2">
      <c r="A55" s="587"/>
      <c r="B55" s="587"/>
    </row>
    <row r="56" spans="1:2">
      <c r="A56" s="587"/>
      <c r="B56" s="587"/>
    </row>
    <row r="57" spans="1:2">
      <c r="A57" s="587"/>
      <c r="B57" s="587"/>
    </row>
    <row r="58" spans="1:2">
      <c r="A58" s="587"/>
      <c r="B58" s="587"/>
    </row>
    <row r="59" spans="1:2">
      <c r="A59" s="587"/>
      <c r="B59" s="587"/>
    </row>
    <row r="60" spans="1:2">
      <c r="A60" s="587"/>
      <c r="B60" s="587"/>
    </row>
    <row r="61" spans="1:2">
      <c r="A61" s="587"/>
      <c r="B61" s="587"/>
    </row>
    <row r="62" spans="1:2">
      <c r="A62" s="587"/>
      <c r="B62" s="587"/>
    </row>
    <row r="63" spans="1:2">
      <c r="A63" s="587"/>
      <c r="B63" s="587"/>
    </row>
    <row r="64" spans="1:2">
      <c r="A64" s="587"/>
      <c r="B64" s="587"/>
    </row>
    <row r="65" spans="1:2">
      <c r="A65" s="587"/>
      <c r="B65" s="587"/>
    </row>
    <row r="66" spans="1:2">
      <c r="A66" s="587"/>
      <c r="B66" s="587"/>
    </row>
    <row r="67" spans="1:2">
      <c r="A67" s="587"/>
      <c r="B67" s="587"/>
    </row>
    <row r="68" spans="1:2">
      <c r="A68" s="587"/>
      <c r="B68" s="587"/>
    </row>
    <row r="69" spans="1:2">
      <c r="A69" s="587"/>
      <c r="B69" s="587"/>
    </row>
    <row r="70" spans="1:2">
      <c r="A70" s="587"/>
      <c r="B70" s="587"/>
    </row>
    <row r="71" spans="1:2">
      <c r="A71" s="587"/>
      <c r="B71" s="587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P57"/>
  <sheetViews>
    <sheetView showGridLines="0" topLeftCell="A13" zoomScaleNormal="100" zoomScaleSheetLayoutView="100" workbookViewId="0">
      <selection activeCell="C63" sqref="C63"/>
    </sheetView>
  </sheetViews>
  <sheetFormatPr defaultColWidth="9.140625" defaultRowHeight="11.25"/>
  <cols>
    <col min="1" max="1" width="9.5703125" style="32" customWidth="1"/>
    <col min="2" max="2" width="8.42578125" style="32" customWidth="1"/>
    <col min="3" max="3" width="12.28515625" style="32" customWidth="1"/>
    <col min="4" max="6" width="8.28515625" style="32" customWidth="1"/>
    <col min="7" max="7" width="9.7109375" style="32" customWidth="1"/>
    <col min="8" max="10" width="8.28515625" style="32" customWidth="1"/>
    <col min="11" max="11" width="9.7109375" style="32" customWidth="1"/>
    <col min="12" max="16384" width="9.140625" style="32"/>
  </cols>
  <sheetData>
    <row r="1" spans="1:16" ht="18.75">
      <c r="A1" s="31" t="s">
        <v>134</v>
      </c>
    </row>
    <row r="2" spans="1:16" ht="15.75">
      <c r="A2" s="601" t="s">
        <v>136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</row>
    <row r="3" spans="1:16" ht="6" customHeight="1">
      <c r="A3" s="33"/>
      <c r="B3" s="33"/>
      <c r="C3" s="34"/>
      <c r="D3" s="602"/>
      <c r="E3" s="603"/>
      <c r="F3" s="603"/>
      <c r="G3" s="603"/>
      <c r="H3" s="603"/>
      <c r="I3" s="603"/>
      <c r="J3" s="603"/>
      <c r="K3" s="603"/>
    </row>
    <row r="4" spans="1:16" ht="20.25" customHeight="1">
      <c r="A4" s="414"/>
      <c r="B4" s="414"/>
      <c r="C4" s="489"/>
      <c r="D4" s="607">
        <v>2020</v>
      </c>
      <c r="E4" s="608"/>
      <c r="F4" s="608"/>
      <c r="G4" s="608"/>
      <c r="H4" s="608"/>
      <c r="I4" s="608"/>
      <c r="J4" s="608"/>
      <c r="K4" s="608"/>
    </row>
    <row r="5" spans="1:16" s="46" customFormat="1" ht="20.100000000000001" customHeight="1">
      <c r="A5" s="293"/>
      <c r="B5" s="293"/>
      <c r="C5" s="293"/>
      <c r="D5" s="604" t="s">
        <v>288</v>
      </c>
      <c r="E5" s="605"/>
      <c r="F5" s="605"/>
      <c r="G5" s="606"/>
      <c r="H5" s="604" t="s">
        <v>289</v>
      </c>
      <c r="I5" s="605"/>
      <c r="J5" s="605"/>
      <c r="K5" s="605"/>
    </row>
    <row r="6" spans="1:16" ht="20.100000000000001" customHeight="1">
      <c r="A6" s="486"/>
      <c r="B6" s="486"/>
      <c r="C6" s="486"/>
      <c r="D6" s="488" t="s">
        <v>230</v>
      </c>
      <c r="E6" s="487" t="s">
        <v>231</v>
      </c>
      <c r="F6" s="487" t="s">
        <v>232</v>
      </c>
      <c r="G6" s="495" t="s">
        <v>63</v>
      </c>
      <c r="H6" s="488" t="str">
        <f>D6</f>
        <v>Duben</v>
      </c>
      <c r="I6" s="487" t="str">
        <f>E6</f>
        <v>Květen</v>
      </c>
      <c r="J6" s="487" t="str">
        <f>F6</f>
        <v>Červen</v>
      </c>
      <c r="K6" s="500" t="str">
        <f>G6</f>
        <v>II. čtvrtletí</v>
      </c>
    </row>
    <row r="7" spans="1:16" ht="15" customHeight="1">
      <c r="A7" s="589" t="s">
        <v>55</v>
      </c>
      <c r="B7" s="597" t="s">
        <v>25</v>
      </c>
      <c r="C7" s="490" t="s">
        <v>27</v>
      </c>
      <c r="D7" s="493">
        <v>3422654.2156345616</v>
      </c>
      <c r="E7" s="35">
        <v>3370801.638358477</v>
      </c>
      <c r="F7" s="35">
        <v>3904092.4594366499</v>
      </c>
      <c r="G7" s="496">
        <f>SUM(D7:F7)</f>
        <v>10697548.313429689</v>
      </c>
      <c r="H7" s="35">
        <v>36516324.641999997</v>
      </c>
      <c r="I7" s="35">
        <v>35968542.326000005</v>
      </c>
      <c r="J7" s="35">
        <v>41719906.258092001</v>
      </c>
      <c r="K7" s="501">
        <f>SUM(H7:J7)</f>
        <v>114204773.226092</v>
      </c>
      <c r="L7" s="47"/>
      <c r="M7" s="47"/>
      <c r="N7" s="47"/>
      <c r="O7" s="47"/>
      <c r="P7" s="47"/>
    </row>
    <row r="8" spans="1:16" ht="15" customHeight="1">
      <c r="A8" s="589"/>
      <c r="B8" s="597"/>
      <c r="C8" s="490" t="s">
        <v>28</v>
      </c>
      <c r="D8" s="493">
        <v>121.73023411173514</v>
      </c>
      <c r="E8" s="35">
        <v>107.95439372445377</v>
      </c>
      <c r="F8" s="35">
        <v>43.029693996512172</v>
      </c>
      <c r="G8" s="496">
        <f>SUM(D8:F8)</f>
        <v>272.71432183270105</v>
      </c>
      <c r="H8" s="35">
        <v>1278.3466679999999</v>
      </c>
      <c r="I8" s="35">
        <v>1133.5716310000005</v>
      </c>
      <c r="J8" s="35">
        <v>451.85543599999983</v>
      </c>
      <c r="K8" s="501">
        <f t="shared" ref="K8:K48" si="0">SUM(H8:J8)</f>
        <v>2863.7737350000002</v>
      </c>
      <c r="L8" s="47"/>
      <c r="M8" s="47"/>
      <c r="N8" s="47"/>
      <c r="O8" s="47"/>
      <c r="P8" s="47"/>
    </row>
    <row r="9" spans="1:16" ht="15" customHeight="1">
      <c r="A9" s="589"/>
      <c r="B9" s="598"/>
      <c r="C9" s="491" t="s">
        <v>29</v>
      </c>
      <c r="D9" s="44">
        <v>3422775.9458686733</v>
      </c>
      <c r="E9" s="36">
        <v>3370909.5927522015</v>
      </c>
      <c r="F9" s="36">
        <v>3904135.4891306465</v>
      </c>
      <c r="G9" s="497">
        <f t="shared" ref="G9" si="1">SUM(D9:F9)</f>
        <v>10697821.02775152</v>
      </c>
      <c r="H9" s="44">
        <v>36517602.988667995</v>
      </c>
      <c r="I9" s="36">
        <v>35969675.897631004</v>
      </c>
      <c r="J9" s="36">
        <v>41720358.113527998</v>
      </c>
      <c r="K9" s="502">
        <f t="shared" si="0"/>
        <v>114207636.999827</v>
      </c>
      <c r="L9" s="47"/>
      <c r="M9" s="47"/>
      <c r="N9" s="47"/>
      <c r="O9" s="47"/>
      <c r="P9" s="47"/>
    </row>
    <row r="10" spans="1:16" ht="15" customHeight="1">
      <c r="A10" s="589"/>
      <c r="B10" s="596" t="s">
        <v>26</v>
      </c>
      <c r="C10" s="492" t="s">
        <v>27</v>
      </c>
      <c r="D10" s="493">
        <v>2686772.4179765796</v>
      </c>
      <c r="E10" s="35">
        <v>2341302.8621162577</v>
      </c>
      <c r="F10" s="494">
        <v>2954987.4564827522</v>
      </c>
      <c r="G10" s="498">
        <f>SUM(D10:F10)</f>
        <v>7983062.7365755895</v>
      </c>
      <c r="H10" s="35">
        <v>28681680.806000002</v>
      </c>
      <c r="I10" s="35">
        <v>24973474.823183</v>
      </c>
      <c r="J10" s="494">
        <v>31577097.953000002</v>
      </c>
      <c r="K10" s="503">
        <f t="shared" si="0"/>
        <v>85232253.582183003</v>
      </c>
      <c r="L10" s="47"/>
      <c r="M10" s="47"/>
      <c r="N10" s="47"/>
      <c r="O10" s="47"/>
      <c r="P10" s="47"/>
    </row>
    <row r="11" spans="1:16" ht="15" customHeight="1">
      <c r="A11" s="589"/>
      <c r="B11" s="597"/>
      <c r="C11" s="490" t="s">
        <v>28</v>
      </c>
      <c r="D11" s="493">
        <v>22.400975906325662</v>
      </c>
      <c r="E11" s="35">
        <v>18.283689233696723</v>
      </c>
      <c r="F11" s="35">
        <v>13.373781585112715</v>
      </c>
      <c r="G11" s="496">
        <f>SUM(D11:F11)</f>
        <v>54.058446725135106</v>
      </c>
      <c r="H11" s="35">
        <v>239.22179080000001</v>
      </c>
      <c r="I11" s="35">
        <v>195.3455908</v>
      </c>
      <c r="J11" s="35">
        <v>143.24910550000001</v>
      </c>
      <c r="K11" s="501">
        <f t="shared" si="0"/>
        <v>577.81648710000002</v>
      </c>
      <c r="L11" s="47"/>
      <c r="M11" s="47"/>
      <c r="N11" s="47"/>
      <c r="O11" s="47"/>
      <c r="P11" s="47"/>
    </row>
    <row r="12" spans="1:16" ht="15" customHeight="1">
      <c r="A12" s="589"/>
      <c r="B12" s="598"/>
      <c r="C12" s="491" t="s">
        <v>29</v>
      </c>
      <c r="D12" s="44">
        <v>2686794.8189524859</v>
      </c>
      <c r="E12" s="36">
        <v>2341321.1458054911</v>
      </c>
      <c r="F12" s="36">
        <v>2955000.8302643374</v>
      </c>
      <c r="G12" s="497">
        <f t="shared" ref="G12" si="2">SUM(D12:F12)</f>
        <v>7983116.7950223144</v>
      </c>
      <c r="H12" s="44">
        <v>28681920.027790803</v>
      </c>
      <c r="I12" s="36">
        <v>24973670.1687738</v>
      </c>
      <c r="J12" s="36">
        <v>31577241.2021055</v>
      </c>
      <c r="K12" s="502">
        <f t="shared" si="0"/>
        <v>85232831.398670107</v>
      </c>
      <c r="L12" s="47"/>
      <c r="M12" s="47"/>
      <c r="N12" s="47"/>
      <c r="O12" s="47"/>
      <c r="P12" s="47"/>
    </row>
    <row r="13" spans="1:16" ht="15" customHeight="1">
      <c r="A13" s="589"/>
      <c r="B13" s="593" t="s">
        <v>58</v>
      </c>
      <c r="C13" s="492" t="s">
        <v>27</v>
      </c>
      <c r="D13" s="493">
        <v>735881.79765798198</v>
      </c>
      <c r="E13" s="35">
        <v>1029498.7762422194</v>
      </c>
      <c r="F13" s="494">
        <v>949105.0029538977</v>
      </c>
      <c r="G13" s="498">
        <f>SUM(D13:F13)</f>
        <v>2714485.5768540991</v>
      </c>
      <c r="H13" s="35">
        <v>7834643.8359999955</v>
      </c>
      <c r="I13" s="35">
        <v>10995067.502817005</v>
      </c>
      <c r="J13" s="494">
        <v>10142808.305091999</v>
      </c>
      <c r="K13" s="503">
        <f t="shared" si="0"/>
        <v>28972519.643909</v>
      </c>
      <c r="L13" s="47"/>
      <c r="M13" s="47"/>
      <c r="N13" s="47"/>
      <c r="O13" s="47"/>
      <c r="P13" s="47"/>
    </row>
    <row r="14" spans="1:16" ht="15" customHeight="1">
      <c r="A14" s="589"/>
      <c r="B14" s="597"/>
      <c r="C14" s="490" t="s">
        <v>28</v>
      </c>
      <c r="D14" s="493">
        <v>99.329258205409474</v>
      </c>
      <c r="E14" s="35">
        <v>89.670704490757046</v>
      </c>
      <c r="F14" s="35">
        <v>29.655912411399456</v>
      </c>
      <c r="G14" s="496">
        <f>SUM(D14:F14)</f>
        <v>218.65587510756598</v>
      </c>
      <c r="H14" s="35">
        <v>1039.1248771999999</v>
      </c>
      <c r="I14" s="35">
        <v>938.22604020000051</v>
      </c>
      <c r="J14" s="35">
        <v>308.60633049999979</v>
      </c>
      <c r="K14" s="501">
        <f t="shared" si="0"/>
        <v>2285.9572479000003</v>
      </c>
      <c r="L14" s="47"/>
      <c r="M14" s="47"/>
      <c r="N14" s="47"/>
      <c r="O14" s="47"/>
      <c r="P14" s="47"/>
    </row>
    <row r="15" spans="1:16" ht="15" customHeight="1">
      <c r="A15" s="590"/>
      <c r="B15" s="598"/>
      <c r="C15" s="491" t="s">
        <v>29</v>
      </c>
      <c r="D15" s="44">
        <v>735981.12691618735</v>
      </c>
      <c r="E15" s="36">
        <v>1029588.4469467101</v>
      </c>
      <c r="F15" s="36">
        <v>949134.6588663091</v>
      </c>
      <c r="G15" s="497">
        <f t="shared" ref="G15:G52" si="3">SUM(D15:F15)</f>
        <v>2714704.2327292068</v>
      </c>
      <c r="H15" s="44">
        <v>7835682.9608771959</v>
      </c>
      <c r="I15" s="36">
        <v>10996005.728857204</v>
      </c>
      <c r="J15" s="36">
        <v>10143116.9114225</v>
      </c>
      <c r="K15" s="502">
        <f t="shared" si="0"/>
        <v>28974805.601156898</v>
      </c>
      <c r="L15" s="47"/>
      <c r="M15" s="47"/>
      <c r="N15" s="47"/>
      <c r="O15" s="47"/>
      <c r="P15" s="47"/>
    </row>
    <row r="16" spans="1:16" ht="15" customHeight="1">
      <c r="A16" s="589" t="s">
        <v>207</v>
      </c>
      <c r="B16" s="597" t="s">
        <v>30</v>
      </c>
      <c r="C16" s="490" t="s">
        <v>105</v>
      </c>
      <c r="D16" s="493">
        <v>34928.81</v>
      </c>
      <c r="E16" s="35">
        <v>0</v>
      </c>
      <c r="F16" s="35">
        <v>10552.137000000001</v>
      </c>
      <c r="G16" s="496">
        <f t="shared" si="3"/>
        <v>45480.947</v>
      </c>
      <c r="H16" s="35">
        <v>372276.23700000002</v>
      </c>
      <c r="I16" s="35">
        <v>0</v>
      </c>
      <c r="J16" s="35">
        <v>112762.181</v>
      </c>
      <c r="K16" s="501">
        <f t="shared" si="0"/>
        <v>485038.41800000001</v>
      </c>
      <c r="L16" s="47"/>
      <c r="M16" s="47"/>
      <c r="N16" s="47"/>
      <c r="O16" s="47"/>
      <c r="P16" s="47"/>
    </row>
    <row r="17" spans="1:16" ht="15" customHeight="1">
      <c r="A17" s="589"/>
      <c r="B17" s="597"/>
      <c r="C17" s="490" t="s">
        <v>56</v>
      </c>
      <c r="D17" s="493">
        <v>10431.514999999999</v>
      </c>
      <c r="E17" s="35">
        <v>6798.5789999999997</v>
      </c>
      <c r="F17" s="35">
        <v>0</v>
      </c>
      <c r="G17" s="496">
        <f>SUM(D17:F17)</f>
        <v>17230.093999999997</v>
      </c>
      <c r="H17" s="35">
        <v>111541.125</v>
      </c>
      <c r="I17" s="35">
        <v>72548.455000000002</v>
      </c>
      <c r="J17" s="35">
        <v>0</v>
      </c>
      <c r="K17" s="501">
        <f t="shared" si="0"/>
        <v>184089.58000000002</v>
      </c>
      <c r="L17" s="47"/>
      <c r="M17" s="47"/>
      <c r="N17" s="47"/>
      <c r="O17" s="47"/>
      <c r="P17" s="47"/>
    </row>
    <row r="18" spans="1:16" ht="15" customHeight="1">
      <c r="A18" s="589"/>
      <c r="B18" s="597"/>
      <c r="C18" s="490" t="s">
        <v>77</v>
      </c>
      <c r="D18" s="493">
        <v>0</v>
      </c>
      <c r="E18" s="35">
        <v>0</v>
      </c>
      <c r="F18" s="35">
        <v>0</v>
      </c>
      <c r="G18" s="496">
        <f>SUM(D18:F18)</f>
        <v>0</v>
      </c>
      <c r="H18" s="35">
        <v>0</v>
      </c>
      <c r="I18" s="35">
        <v>0</v>
      </c>
      <c r="J18" s="35">
        <v>0</v>
      </c>
      <c r="K18" s="501">
        <f t="shared" si="0"/>
        <v>0</v>
      </c>
      <c r="L18" s="47"/>
      <c r="M18" s="47"/>
      <c r="N18" s="47"/>
      <c r="O18" s="47"/>
      <c r="P18" s="47"/>
    </row>
    <row r="19" spans="1:16" ht="15" customHeight="1">
      <c r="A19" s="589"/>
      <c r="B19" s="598"/>
      <c r="C19" s="491" t="s">
        <v>29</v>
      </c>
      <c r="D19" s="44">
        <v>45360.324999999997</v>
      </c>
      <c r="E19" s="36">
        <v>6798.5789999999997</v>
      </c>
      <c r="F19" s="36">
        <v>10552.137000000001</v>
      </c>
      <c r="G19" s="497">
        <f>SUM(D19:F19)</f>
        <v>62711.040999999997</v>
      </c>
      <c r="H19" s="44">
        <v>483817.36200000002</v>
      </c>
      <c r="I19" s="36">
        <v>72548.455000000002</v>
      </c>
      <c r="J19" s="36">
        <v>112762.181</v>
      </c>
      <c r="K19" s="502">
        <f>SUM(H19:J19)</f>
        <v>669127.99800000002</v>
      </c>
      <c r="L19" s="47"/>
      <c r="M19" s="47"/>
      <c r="N19" s="47"/>
      <c r="O19" s="47"/>
      <c r="P19" s="47"/>
    </row>
    <row r="20" spans="1:16" ht="15" customHeight="1">
      <c r="A20" s="589"/>
      <c r="B20" s="596" t="s">
        <v>31</v>
      </c>
      <c r="C20" s="492" t="s">
        <v>105</v>
      </c>
      <c r="D20" s="493">
        <v>199853.59099999999</v>
      </c>
      <c r="E20" s="35">
        <v>531862.5797</v>
      </c>
      <c r="F20" s="494">
        <v>490571.79800000001</v>
      </c>
      <c r="G20" s="498">
        <f t="shared" si="3"/>
        <v>1222287.9687000001</v>
      </c>
      <c r="H20" s="35">
        <v>2133608.1844099998</v>
      </c>
      <c r="I20" s="35">
        <v>5679451.5318564</v>
      </c>
      <c r="J20" s="494">
        <v>5255074.5975229992</v>
      </c>
      <c r="K20" s="503">
        <f t="shared" si="0"/>
        <v>13068134.313789397</v>
      </c>
      <c r="L20" s="47"/>
      <c r="M20" s="47"/>
      <c r="N20" s="47"/>
      <c r="O20" s="47"/>
      <c r="P20" s="47"/>
    </row>
    <row r="21" spans="1:16" ht="15" customHeight="1">
      <c r="A21" s="589"/>
      <c r="B21" s="597"/>
      <c r="C21" s="490" t="s">
        <v>56</v>
      </c>
      <c r="D21" s="493">
        <v>16095.707</v>
      </c>
      <c r="E21" s="35">
        <v>17647.453999999998</v>
      </c>
      <c r="F21" s="35">
        <v>22847.469999999998</v>
      </c>
      <c r="G21" s="496">
        <f t="shared" si="3"/>
        <v>56590.630999999994</v>
      </c>
      <c r="H21" s="35">
        <v>171861.95499999999</v>
      </c>
      <c r="I21" s="35">
        <v>188328.05599999998</v>
      </c>
      <c r="J21" s="35">
        <v>244858.323</v>
      </c>
      <c r="K21" s="501">
        <f t="shared" si="0"/>
        <v>605048.33399999992</v>
      </c>
      <c r="L21" s="47"/>
      <c r="M21" s="47"/>
      <c r="N21" s="47"/>
      <c r="O21" s="47"/>
      <c r="P21" s="47"/>
    </row>
    <row r="22" spans="1:16" ht="15" customHeight="1">
      <c r="A22" s="589"/>
      <c r="B22" s="597"/>
      <c r="C22" s="490" t="s">
        <v>77</v>
      </c>
      <c r="D22" s="493">
        <v>0</v>
      </c>
      <c r="E22" s="35">
        <v>5751.2940000000017</v>
      </c>
      <c r="F22" s="35">
        <v>48820.850000000006</v>
      </c>
      <c r="G22" s="496">
        <f t="shared" si="3"/>
        <v>54572.144000000008</v>
      </c>
      <c r="H22" s="35">
        <v>0</v>
      </c>
      <c r="I22" s="35">
        <v>61392.708000000013</v>
      </c>
      <c r="J22" s="35">
        <v>523039.40300000005</v>
      </c>
      <c r="K22" s="501">
        <f t="shared" si="0"/>
        <v>584432.11100000003</v>
      </c>
      <c r="L22" s="47"/>
      <c r="M22" s="47"/>
      <c r="N22" s="47"/>
      <c r="O22" s="47"/>
      <c r="P22" s="47"/>
    </row>
    <row r="23" spans="1:16" ht="15" customHeight="1">
      <c r="A23" s="589"/>
      <c r="B23" s="598"/>
      <c r="C23" s="491" t="s">
        <v>29</v>
      </c>
      <c r="D23" s="44">
        <v>215949.29799999998</v>
      </c>
      <c r="E23" s="36">
        <v>555261.32770000002</v>
      </c>
      <c r="F23" s="36">
        <v>562240.11800000002</v>
      </c>
      <c r="G23" s="497">
        <f t="shared" si="3"/>
        <v>1333450.7437</v>
      </c>
      <c r="H23" s="44">
        <v>2305470.1394099998</v>
      </c>
      <c r="I23" s="36">
        <v>5929172.2958563995</v>
      </c>
      <c r="J23" s="36">
        <v>6022972.323522999</v>
      </c>
      <c r="K23" s="502">
        <f t="shared" si="0"/>
        <v>14257614.758789398</v>
      </c>
      <c r="L23" s="47"/>
      <c r="M23" s="47"/>
      <c r="N23" s="47"/>
      <c r="O23" s="47"/>
      <c r="P23" s="47"/>
    </row>
    <row r="24" spans="1:16" ht="15" customHeight="1">
      <c r="A24" s="589"/>
      <c r="B24" s="593" t="s">
        <v>59</v>
      </c>
      <c r="C24" s="492" t="s">
        <v>105</v>
      </c>
      <c r="D24" s="493">
        <v>-164924.78099999999</v>
      </c>
      <c r="E24" s="35">
        <v>-531862.5797</v>
      </c>
      <c r="F24" s="494">
        <v>-480019.66100000002</v>
      </c>
      <c r="G24" s="498">
        <f t="shared" si="3"/>
        <v>-1176807.0216999999</v>
      </c>
      <c r="H24" s="35">
        <v>-1761331.9474099998</v>
      </c>
      <c r="I24" s="35">
        <v>-5679451.5318564</v>
      </c>
      <c r="J24" s="494">
        <v>-5142312.4165229993</v>
      </c>
      <c r="K24" s="503">
        <f t="shared" si="0"/>
        <v>-12583095.8957894</v>
      </c>
      <c r="L24" s="47"/>
      <c r="M24" s="47"/>
      <c r="N24" s="47"/>
      <c r="O24" s="47"/>
      <c r="P24" s="47"/>
    </row>
    <row r="25" spans="1:16" ht="15" customHeight="1">
      <c r="A25" s="589"/>
      <c r="B25" s="597"/>
      <c r="C25" s="490" t="s">
        <v>56</v>
      </c>
      <c r="D25" s="493">
        <v>-5664.1920000000009</v>
      </c>
      <c r="E25" s="35">
        <v>-10848.874999999998</v>
      </c>
      <c r="F25" s="35">
        <v>-22847.469999999998</v>
      </c>
      <c r="G25" s="496">
        <f t="shared" si="3"/>
        <v>-39360.536999999997</v>
      </c>
      <c r="H25" s="35">
        <v>-60320.829999999987</v>
      </c>
      <c r="I25" s="35">
        <v>-115779.60099999998</v>
      </c>
      <c r="J25" s="35">
        <v>-244858.323</v>
      </c>
      <c r="K25" s="501">
        <f t="shared" si="0"/>
        <v>-420958.75399999996</v>
      </c>
      <c r="L25" s="47"/>
      <c r="M25" s="47"/>
      <c r="N25" s="47"/>
      <c r="O25" s="47"/>
      <c r="P25" s="47"/>
    </row>
    <row r="26" spans="1:16" ht="15" customHeight="1">
      <c r="A26" s="589"/>
      <c r="B26" s="597"/>
      <c r="C26" s="490" t="s">
        <v>77</v>
      </c>
      <c r="D26" s="493">
        <v>0</v>
      </c>
      <c r="E26" s="35">
        <v>-5751.2940000000017</v>
      </c>
      <c r="F26" s="35">
        <v>-48820.850000000006</v>
      </c>
      <c r="G26" s="496">
        <f t="shared" si="3"/>
        <v>-54572.144000000008</v>
      </c>
      <c r="H26" s="35">
        <v>0</v>
      </c>
      <c r="I26" s="35">
        <v>-61392.708000000013</v>
      </c>
      <c r="J26" s="35">
        <v>-523039.40300000005</v>
      </c>
      <c r="K26" s="501">
        <f t="shared" si="0"/>
        <v>-584432.11100000003</v>
      </c>
      <c r="L26" s="47"/>
      <c r="M26" s="47"/>
      <c r="N26" s="47"/>
      <c r="O26" s="47"/>
      <c r="P26" s="47"/>
    </row>
    <row r="27" spans="1:16" ht="15" customHeight="1">
      <c r="A27" s="589"/>
      <c r="B27" s="598"/>
      <c r="C27" s="491" t="s">
        <v>29</v>
      </c>
      <c r="D27" s="44">
        <v>-170588.973</v>
      </c>
      <c r="E27" s="36">
        <v>-548462.7487</v>
      </c>
      <c r="F27" s="36">
        <v>-551687.98100000003</v>
      </c>
      <c r="G27" s="497">
        <f t="shared" si="3"/>
        <v>-1270739.7027</v>
      </c>
      <c r="H27" s="44">
        <v>-1821652.7774099999</v>
      </c>
      <c r="I27" s="36">
        <v>-5856623.8408563994</v>
      </c>
      <c r="J27" s="36">
        <v>-5910210.1425229991</v>
      </c>
      <c r="K27" s="502">
        <f t="shared" si="0"/>
        <v>-13588486.760789398</v>
      </c>
      <c r="L27" s="47"/>
      <c r="M27" s="47"/>
      <c r="N27" s="47"/>
      <c r="O27" s="47"/>
      <c r="P27" s="47"/>
    </row>
    <row r="28" spans="1:16" ht="15" customHeight="1">
      <c r="A28" s="590"/>
      <c r="B28" s="599" t="s">
        <v>61</v>
      </c>
      <c r="C28" s="600"/>
      <c r="D28" s="45">
        <v>1617634.7906107698</v>
      </c>
      <c r="E28" s="37">
        <v>2165485.0156107699</v>
      </c>
      <c r="F28" s="37">
        <v>2716695.1646107696</v>
      </c>
      <c r="G28" s="499">
        <f>F28</f>
        <v>2716695.1646107696</v>
      </c>
      <c r="H28" s="45">
        <v>17422884.475895789</v>
      </c>
      <c r="I28" s="37">
        <v>23272911.315853789</v>
      </c>
      <c r="J28" s="37">
        <v>29177875.801436786</v>
      </c>
      <c r="K28" s="504">
        <f>J28</f>
        <v>29177875.801436786</v>
      </c>
      <c r="L28" s="47"/>
      <c r="M28" s="47"/>
      <c r="N28" s="47"/>
      <c r="O28" s="47"/>
      <c r="P28" s="47"/>
    </row>
    <row r="29" spans="1:16" ht="15" customHeight="1">
      <c r="A29" s="589" t="s">
        <v>57</v>
      </c>
      <c r="B29" s="591" t="s">
        <v>310</v>
      </c>
      <c r="C29" s="490" t="s">
        <v>32</v>
      </c>
      <c r="D29" s="493">
        <v>8906.9510000000009</v>
      </c>
      <c r="E29" s="35">
        <v>8764.1430000000018</v>
      </c>
      <c r="F29" s="35">
        <v>8531.8050000000003</v>
      </c>
      <c r="G29" s="496">
        <f t="shared" si="3"/>
        <v>26202.899000000005</v>
      </c>
      <c r="H29" s="35">
        <v>97157.3711606</v>
      </c>
      <c r="I29" s="35">
        <v>95913.339569000003</v>
      </c>
      <c r="J29" s="35">
        <v>93491.733140499986</v>
      </c>
      <c r="K29" s="501">
        <f t="shared" si="0"/>
        <v>286562.44387009996</v>
      </c>
      <c r="L29" s="47"/>
      <c r="M29" s="47"/>
      <c r="N29" s="47"/>
      <c r="O29" s="47"/>
      <c r="P29" s="47"/>
    </row>
    <row r="30" spans="1:16" ht="15" customHeight="1">
      <c r="A30" s="589"/>
      <c r="B30" s="591"/>
      <c r="C30" s="490" t="s">
        <v>35</v>
      </c>
      <c r="D30" s="493">
        <v>401.37299999999982</v>
      </c>
      <c r="E30" s="35">
        <v>378.11400000000003</v>
      </c>
      <c r="F30" s="35">
        <v>369.0839999999971</v>
      </c>
      <c r="G30" s="496">
        <f t="shared" si="3"/>
        <v>1148.570999999997</v>
      </c>
      <c r="H30" s="35">
        <v>4470.4806000000244</v>
      </c>
      <c r="I30" s="35">
        <v>4203.7350000000042</v>
      </c>
      <c r="J30" s="35">
        <v>4236.3765999999778</v>
      </c>
      <c r="K30" s="501">
        <f t="shared" si="0"/>
        <v>12910.592200000006</v>
      </c>
      <c r="L30" s="47"/>
      <c r="M30" s="47"/>
      <c r="N30" s="47"/>
      <c r="O30" s="47"/>
      <c r="P30" s="47"/>
    </row>
    <row r="31" spans="1:16" ht="15" customHeight="1">
      <c r="A31" s="589"/>
      <c r="B31" s="592"/>
      <c r="C31" s="491" t="s">
        <v>29</v>
      </c>
      <c r="D31" s="44">
        <v>9308.3240000000005</v>
      </c>
      <c r="E31" s="36">
        <v>9142.2570000000014</v>
      </c>
      <c r="F31" s="36">
        <v>8900.8889999999974</v>
      </c>
      <c r="G31" s="497">
        <f t="shared" si="3"/>
        <v>27351.47</v>
      </c>
      <c r="H31" s="44">
        <v>101627.85176060002</v>
      </c>
      <c r="I31" s="36">
        <v>100117.074569</v>
      </c>
      <c r="J31" s="36">
        <v>97728.10974049996</v>
      </c>
      <c r="K31" s="502">
        <f t="shared" si="0"/>
        <v>299473.03607010003</v>
      </c>
      <c r="L31" s="47"/>
      <c r="M31" s="47"/>
      <c r="N31" s="47"/>
      <c r="O31" s="47"/>
      <c r="P31" s="47"/>
    </row>
    <row r="32" spans="1:16" ht="15" customHeight="1">
      <c r="A32" s="589"/>
      <c r="B32" s="593" t="s">
        <v>311</v>
      </c>
      <c r="C32" s="492" t="s">
        <v>32</v>
      </c>
      <c r="D32" s="493">
        <v>997.77499999999998</v>
      </c>
      <c r="E32" s="35">
        <v>983.55200000000002</v>
      </c>
      <c r="F32" s="494">
        <v>844.77599999999995</v>
      </c>
      <c r="G32" s="498">
        <f t="shared" si="3"/>
        <v>2826.1030000000001</v>
      </c>
      <c r="H32" s="35">
        <v>10440.486999999999</v>
      </c>
      <c r="I32" s="35">
        <v>10358.312</v>
      </c>
      <c r="J32" s="494">
        <v>8832.4840000000004</v>
      </c>
      <c r="K32" s="503">
        <f t="shared" si="0"/>
        <v>29631.282999999999</v>
      </c>
      <c r="L32" s="47"/>
      <c r="M32" s="47"/>
      <c r="N32" s="47"/>
      <c r="O32" s="47"/>
      <c r="P32" s="47"/>
    </row>
    <row r="33" spans="1:16" ht="15" customHeight="1">
      <c r="A33" s="589"/>
      <c r="B33" s="591"/>
      <c r="C33" s="490" t="s">
        <v>35</v>
      </c>
      <c r="D33" s="493">
        <v>0</v>
      </c>
      <c r="E33" s="35">
        <v>0</v>
      </c>
      <c r="F33" s="35">
        <v>0</v>
      </c>
      <c r="G33" s="496">
        <f t="shared" si="3"/>
        <v>0</v>
      </c>
      <c r="H33" s="35">
        <v>0</v>
      </c>
      <c r="I33" s="35">
        <v>0</v>
      </c>
      <c r="J33" s="35">
        <v>0</v>
      </c>
      <c r="K33" s="501">
        <f t="shared" si="0"/>
        <v>0</v>
      </c>
      <c r="L33" s="47"/>
      <c r="M33" s="47"/>
      <c r="N33" s="47"/>
      <c r="O33" s="47"/>
      <c r="P33" s="47"/>
    </row>
    <row r="34" spans="1:16" ht="15" customHeight="1">
      <c r="A34" s="589"/>
      <c r="B34" s="592"/>
      <c r="C34" s="491" t="s">
        <v>29</v>
      </c>
      <c r="D34" s="44">
        <v>997.77499999999998</v>
      </c>
      <c r="E34" s="36">
        <v>983.55200000000002</v>
      </c>
      <c r="F34" s="36">
        <v>844.77599999999995</v>
      </c>
      <c r="G34" s="497">
        <f t="shared" si="3"/>
        <v>2826.1030000000001</v>
      </c>
      <c r="H34" s="44">
        <v>10440.486999999999</v>
      </c>
      <c r="I34" s="36">
        <v>10358.312</v>
      </c>
      <c r="J34" s="36">
        <v>8832.4840000000004</v>
      </c>
      <c r="K34" s="502">
        <f t="shared" si="0"/>
        <v>29631.282999999999</v>
      </c>
      <c r="L34" s="47"/>
      <c r="M34" s="47"/>
      <c r="N34" s="47"/>
      <c r="O34" s="47"/>
      <c r="P34" s="47"/>
    </row>
    <row r="35" spans="1:16" ht="15" customHeight="1">
      <c r="A35" s="589"/>
      <c r="B35" s="593" t="s">
        <v>29</v>
      </c>
      <c r="C35" s="492" t="s">
        <v>32</v>
      </c>
      <c r="D35" s="493">
        <v>9904.7260000000006</v>
      </c>
      <c r="E35" s="35">
        <v>9747.6950000000015</v>
      </c>
      <c r="F35" s="494">
        <v>9376.5810000000001</v>
      </c>
      <c r="G35" s="498">
        <f t="shared" si="3"/>
        <v>29029.002</v>
      </c>
      <c r="H35" s="35">
        <v>107597.85816059999</v>
      </c>
      <c r="I35" s="35">
        <v>106271.65156900001</v>
      </c>
      <c r="J35" s="494">
        <v>102324.21714049998</v>
      </c>
      <c r="K35" s="503">
        <f t="shared" si="0"/>
        <v>316193.72687009996</v>
      </c>
      <c r="L35" s="47"/>
      <c r="M35" s="47"/>
      <c r="N35" s="47"/>
      <c r="O35" s="47"/>
      <c r="P35" s="47"/>
    </row>
    <row r="36" spans="1:16" ht="15" customHeight="1">
      <c r="A36" s="589"/>
      <c r="B36" s="591"/>
      <c r="C36" s="490" t="s">
        <v>35</v>
      </c>
      <c r="D36" s="493">
        <v>401.37299999999982</v>
      </c>
      <c r="E36" s="35">
        <v>378.11400000000003</v>
      </c>
      <c r="F36" s="35">
        <v>369.0839999999971</v>
      </c>
      <c r="G36" s="496">
        <f t="shared" si="3"/>
        <v>1148.570999999997</v>
      </c>
      <c r="H36" s="35">
        <v>4470.4806000000244</v>
      </c>
      <c r="I36" s="35">
        <v>4203.7350000000042</v>
      </c>
      <c r="J36" s="35">
        <v>4236.3765999999778</v>
      </c>
      <c r="K36" s="501">
        <f t="shared" si="0"/>
        <v>12910.592200000006</v>
      </c>
      <c r="L36" s="47"/>
      <c r="M36" s="47"/>
      <c r="N36" s="47"/>
      <c r="O36" s="47"/>
      <c r="P36" s="47"/>
    </row>
    <row r="37" spans="1:16" ht="15" customHeight="1">
      <c r="A37" s="590"/>
      <c r="B37" s="592"/>
      <c r="C37" s="491" t="s">
        <v>29</v>
      </c>
      <c r="D37" s="44">
        <v>10306.099</v>
      </c>
      <c r="E37" s="36">
        <v>10125.809000000001</v>
      </c>
      <c r="F37" s="36">
        <v>9745.6649999999972</v>
      </c>
      <c r="G37" s="497">
        <f t="shared" si="3"/>
        <v>30177.573</v>
      </c>
      <c r="H37" s="44">
        <v>112068.33876060002</v>
      </c>
      <c r="I37" s="36">
        <v>110475.38656900001</v>
      </c>
      <c r="J37" s="36">
        <v>106560.59374049996</v>
      </c>
      <c r="K37" s="502">
        <f t="shared" si="0"/>
        <v>329104.31907009997</v>
      </c>
      <c r="L37" s="47"/>
      <c r="M37" s="47"/>
      <c r="N37" s="47"/>
      <c r="O37" s="47"/>
      <c r="P37" s="47"/>
    </row>
    <row r="38" spans="1:16" ht="15" customHeight="1">
      <c r="A38" s="589" t="s">
        <v>76</v>
      </c>
      <c r="B38" s="591" t="s">
        <v>60</v>
      </c>
      <c r="C38" s="490" t="s">
        <v>80</v>
      </c>
      <c r="D38" s="493">
        <v>519808.23982311861</v>
      </c>
      <c r="E38" s="35">
        <v>422523.27863094036</v>
      </c>
      <c r="F38" s="35">
        <v>312944.58495195775</v>
      </c>
      <c r="G38" s="496">
        <f t="shared" si="3"/>
        <v>1255276.1034060167</v>
      </c>
      <c r="H38" s="35">
        <v>5550419.1173859993</v>
      </c>
      <c r="I38" s="35">
        <v>4513786.1419160105</v>
      </c>
      <c r="J38" s="35">
        <v>3351643.3627339806</v>
      </c>
      <c r="K38" s="501">
        <f t="shared" si="0"/>
        <v>13415848.62203599</v>
      </c>
      <c r="L38" s="47"/>
      <c r="M38" s="47"/>
      <c r="N38" s="47"/>
      <c r="O38" s="47"/>
      <c r="P38" s="47"/>
    </row>
    <row r="39" spans="1:16" ht="15" customHeight="1">
      <c r="A39" s="589"/>
      <c r="B39" s="591"/>
      <c r="C39" s="490" t="s">
        <v>33</v>
      </c>
      <c r="D39" s="493">
        <v>7811.4116759877206</v>
      </c>
      <c r="E39" s="35">
        <v>6143.9926821313184</v>
      </c>
      <c r="F39" s="35">
        <v>4948.7709980870577</v>
      </c>
      <c r="G39" s="496">
        <f t="shared" si="3"/>
        <v>18904.175356206095</v>
      </c>
      <c r="H39" s="35">
        <v>83400.946380000009</v>
      </c>
      <c r="I39" s="35">
        <v>65627.430100000012</v>
      </c>
      <c r="J39" s="35">
        <v>52999.806129999997</v>
      </c>
      <c r="K39" s="501">
        <f t="shared" si="0"/>
        <v>202028.18261000002</v>
      </c>
      <c r="L39" s="47"/>
      <c r="M39" s="47"/>
      <c r="N39" s="47"/>
      <c r="O39" s="47"/>
      <c r="P39" s="47"/>
    </row>
    <row r="40" spans="1:16" ht="15" customHeight="1">
      <c r="A40" s="589"/>
      <c r="B40" s="592"/>
      <c r="C40" s="491" t="s">
        <v>29</v>
      </c>
      <c r="D40" s="44">
        <v>527619.65149910632</v>
      </c>
      <c r="E40" s="36">
        <v>428667.27131307166</v>
      </c>
      <c r="F40" s="36">
        <v>317893.35595004482</v>
      </c>
      <c r="G40" s="497">
        <f t="shared" si="3"/>
        <v>1274180.2787622227</v>
      </c>
      <c r="H40" s="44">
        <v>5633820.0637659989</v>
      </c>
      <c r="I40" s="36">
        <v>4579413.572016011</v>
      </c>
      <c r="J40" s="36">
        <v>3404643.1688639806</v>
      </c>
      <c r="K40" s="502">
        <f t="shared" si="0"/>
        <v>13617876.804645991</v>
      </c>
      <c r="L40" s="47"/>
      <c r="M40" s="47"/>
      <c r="N40" s="47"/>
      <c r="O40" s="47"/>
      <c r="P40" s="47"/>
    </row>
    <row r="41" spans="1:16" ht="15" customHeight="1">
      <c r="A41" s="589"/>
      <c r="B41" s="593" t="s">
        <v>312</v>
      </c>
      <c r="C41" s="492" t="s">
        <v>80</v>
      </c>
      <c r="D41" s="493">
        <v>997.77499999999998</v>
      </c>
      <c r="E41" s="35">
        <v>970.50299999999993</v>
      </c>
      <c r="F41" s="494">
        <v>835.60500000000002</v>
      </c>
      <c r="G41" s="498">
        <f t="shared" si="3"/>
        <v>2803.8829999999998</v>
      </c>
      <c r="H41" s="35">
        <v>10440.486999999999</v>
      </c>
      <c r="I41" s="35">
        <v>10218.978999999999</v>
      </c>
      <c r="J41" s="494">
        <v>8734.523000000001</v>
      </c>
      <c r="K41" s="503">
        <f t="shared" si="0"/>
        <v>29393.989000000001</v>
      </c>
      <c r="L41" s="47"/>
      <c r="M41" s="47"/>
      <c r="N41" s="47"/>
      <c r="O41" s="47"/>
      <c r="P41" s="47"/>
    </row>
    <row r="42" spans="1:16" ht="15" customHeight="1">
      <c r="A42" s="589"/>
      <c r="B42" s="591"/>
      <c r="C42" s="490" t="s">
        <v>33</v>
      </c>
      <c r="D42" s="493">
        <v>0</v>
      </c>
      <c r="E42" s="35">
        <v>0</v>
      </c>
      <c r="F42" s="35">
        <v>0</v>
      </c>
      <c r="G42" s="496">
        <f t="shared" si="3"/>
        <v>0</v>
      </c>
      <c r="H42" s="35">
        <v>0</v>
      </c>
      <c r="I42" s="35">
        <v>0</v>
      </c>
      <c r="J42" s="35">
        <v>0</v>
      </c>
      <c r="K42" s="501">
        <f t="shared" si="0"/>
        <v>0</v>
      </c>
      <c r="L42" s="47"/>
      <c r="M42" s="47"/>
      <c r="N42" s="47"/>
      <c r="O42" s="47"/>
      <c r="P42" s="47"/>
    </row>
    <row r="43" spans="1:16" ht="15" customHeight="1">
      <c r="A43" s="589"/>
      <c r="B43" s="592"/>
      <c r="C43" s="491" t="s">
        <v>29</v>
      </c>
      <c r="D43" s="44">
        <v>997.77499999999998</v>
      </c>
      <c r="E43" s="36">
        <v>970.50299999999993</v>
      </c>
      <c r="F43" s="36">
        <v>835.60500000000002</v>
      </c>
      <c r="G43" s="497">
        <f t="shared" si="3"/>
        <v>2803.8829999999998</v>
      </c>
      <c r="H43" s="44">
        <v>10440.486999999999</v>
      </c>
      <c r="I43" s="36">
        <v>10218.978999999999</v>
      </c>
      <c r="J43" s="36">
        <v>8734.523000000001</v>
      </c>
      <c r="K43" s="502">
        <f t="shared" si="0"/>
        <v>29393.989000000001</v>
      </c>
      <c r="L43" s="47"/>
      <c r="M43" s="47"/>
      <c r="N43" s="47"/>
      <c r="O43" s="47"/>
      <c r="P43" s="47"/>
    </row>
    <row r="44" spans="1:16" ht="15" customHeight="1">
      <c r="A44" s="589"/>
      <c r="B44" s="594" t="s">
        <v>103</v>
      </c>
      <c r="C44" s="595"/>
      <c r="D44" s="45">
        <v>401.37299999999982</v>
      </c>
      <c r="E44" s="37">
        <v>378.11400000000003</v>
      </c>
      <c r="F44" s="37">
        <v>369.0839999999971</v>
      </c>
      <c r="G44" s="499">
        <f t="shared" si="3"/>
        <v>1148.570999999997</v>
      </c>
      <c r="H44" s="45">
        <v>4470.4806000000244</v>
      </c>
      <c r="I44" s="37">
        <v>4203.7350000000042</v>
      </c>
      <c r="J44" s="37">
        <v>4236.3765999999778</v>
      </c>
      <c r="K44" s="504">
        <f t="shared" si="0"/>
        <v>12910.592200000006</v>
      </c>
      <c r="L44" s="47"/>
      <c r="M44" s="47"/>
      <c r="N44" s="47"/>
      <c r="O44" s="47"/>
      <c r="P44" s="47"/>
    </row>
    <row r="45" spans="1:16" ht="15" customHeight="1">
      <c r="A45" s="589"/>
      <c r="B45" s="594" t="s">
        <v>99</v>
      </c>
      <c r="C45" s="595"/>
      <c r="D45" s="45">
        <v>42779.398000000001</v>
      </c>
      <c r="E45" s="37">
        <v>56885.201999999997</v>
      </c>
      <c r="F45" s="37">
        <v>79626.753000000012</v>
      </c>
      <c r="G45" s="499">
        <f t="shared" si="3"/>
        <v>179291.353</v>
      </c>
      <c r="H45" s="45">
        <v>456619.81687200005</v>
      </c>
      <c r="I45" s="37">
        <v>607159.627095</v>
      </c>
      <c r="J45" s="37">
        <v>852864.78238800005</v>
      </c>
      <c r="K45" s="504">
        <f t="shared" si="0"/>
        <v>1916644.2263550002</v>
      </c>
      <c r="L45" s="47"/>
      <c r="M45" s="47"/>
      <c r="N45" s="47"/>
      <c r="O45" s="47"/>
      <c r="P45" s="47"/>
    </row>
    <row r="46" spans="1:16" ht="15" customHeight="1">
      <c r="A46" s="589"/>
      <c r="B46" s="593" t="s">
        <v>34</v>
      </c>
      <c r="C46" s="492" t="s">
        <v>80</v>
      </c>
      <c r="D46" s="493">
        <v>563585.41282311862</v>
      </c>
      <c r="E46" s="35">
        <v>480378.98363094038</v>
      </c>
      <c r="F46" s="494">
        <v>393406.94295195775</v>
      </c>
      <c r="G46" s="498">
        <f t="shared" si="3"/>
        <v>1437371.3394060167</v>
      </c>
      <c r="H46" s="35">
        <v>6017479.4212579988</v>
      </c>
      <c r="I46" s="35">
        <v>5131164.7480110107</v>
      </c>
      <c r="J46" s="494">
        <v>4213242.6681219805</v>
      </c>
      <c r="K46" s="503">
        <f t="shared" si="0"/>
        <v>15361886.837390991</v>
      </c>
      <c r="L46" s="47"/>
      <c r="M46" s="47"/>
      <c r="N46" s="47"/>
      <c r="O46" s="47"/>
      <c r="P46" s="47"/>
    </row>
    <row r="47" spans="1:16" ht="15" customHeight="1">
      <c r="A47" s="589"/>
      <c r="B47" s="591"/>
      <c r="C47" s="490" t="s">
        <v>114</v>
      </c>
      <c r="D47" s="493">
        <v>11392.499975987719</v>
      </c>
      <c r="E47" s="35">
        <v>11966.024682131318</v>
      </c>
      <c r="F47" s="35">
        <v>10078.806998087055</v>
      </c>
      <c r="G47" s="496">
        <f t="shared" si="3"/>
        <v>33437.331656206094</v>
      </c>
      <c r="H47" s="35">
        <v>121814.40689900004</v>
      </c>
      <c r="I47" s="35">
        <v>127952.95073500001</v>
      </c>
      <c r="J47" s="35">
        <v>108241.09503999997</v>
      </c>
      <c r="K47" s="501">
        <f t="shared" si="0"/>
        <v>358008.452674</v>
      </c>
      <c r="L47" s="47"/>
      <c r="M47" s="47"/>
      <c r="N47" s="47"/>
      <c r="O47" s="47"/>
      <c r="P47" s="47"/>
    </row>
    <row r="48" spans="1:16" ht="15" customHeight="1">
      <c r="A48" s="590"/>
      <c r="B48" s="592"/>
      <c r="C48" s="491" t="s">
        <v>29</v>
      </c>
      <c r="D48" s="44">
        <v>574977.91279910633</v>
      </c>
      <c r="E48" s="36">
        <v>492345.00831307168</v>
      </c>
      <c r="F48" s="36">
        <v>403485.74995004479</v>
      </c>
      <c r="G48" s="497">
        <f>SUM(D48:F48)</f>
        <v>1470808.6710622227</v>
      </c>
      <c r="H48" s="44">
        <v>6139293.8281569984</v>
      </c>
      <c r="I48" s="36">
        <v>5259117.6987460107</v>
      </c>
      <c r="J48" s="36">
        <v>4321483.7631619805</v>
      </c>
      <c r="K48" s="502">
        <f t="shared" si="0"/>
        <v>15719895.290064991</v>
      </c>
      <c r="L48" s="47"/>
      <c r="M48" s="47"/>
      <c r="N48" s="47"/>
      <c r="O48" s="47"/>
      <c r="P48" s="47"/>
    </row>
    <row r="49" spans="1:16" ht="0.95" customHeight="1">
      <c r="A49" s="38"/>
      <c r="B49" s="39"/>
      <c r="C49" s="40"/>
      <c r="D49" s="35"/>
      <c r="E49" s="35"/>
      <c r="F49" s="35"/>
      <c r="G49" s="1"/>
      <c r="H49" s="35"/>
      <c r="I49" s="35"/>
      <c r="J49" s="35"/>
      <c r="K49" s="1"/>
      <c r="L49" s="47"/>
      <c r="M49" s="47"/>
      <c r="N49" s="47"/>
      <c r="O49" s="47"/>
      <c r="P49" s="47"/>
    </row>
    <row r="50" spans="1:16" ht="0.95" customHeight="1">
      <c r="A50" s="38"/>
      <c r="B50" s="39"/>
      <c r="C50" s="40"/>
      <c r="D50" s="35"/>
      <c r="E50" s="35"/>
      <c r="F50" s="35"/>
      <c r="G50" s="1"/>
      <c r="H50" s="35"/>
      <c r="I50" s="35"/>
      <c r="J50" s="35"/>
      <c r="K50" s="1"/>
      <c r="L50" s="47"/>
      <c r="M50" s="47"/>
      <c r="N50" s="47"/>
      <c r="O50" s="47"/>
      <c r="P50" s="47"/>
    </row>
    <row r="51" spans="1:16" ht="0.95" customHeight="1">
      <c r="A51" s="41"/>
      <c r="B51" s="42"/>
      <c r="C51" s="43"/>
      <c r="D51" s="36"/>
      <c r="E51" s="36"/>
      <c r="F51" s="36"/>
      <c r="G51" s="15"/>
      <c r="H51" s="36"/>
      <c r="I51" s="36"/>
      <c r="J51" s="36"/>
      <c r="K51" s="15"/>
      <c r="L51" s="47"/>
      <c r="M51" s="47"/>
      <c r="N51" s="47"/>
      <c r="O51" s="47"/>
      <c r="P51" s="47"/>
    </row>
    <row r="52" spans="1:16" ht="15" customHeight="1">
      <c r="A52" s="588" t="s">
        <v>135</v>
      </c>
      <c r="B52" s="588"/>
      <c r="C52" s="588"/>
      <c r="D52" s="45">
        <v>-720.34011708106846</v>
      </c>
      <c r="E52" s="37">
        <v>1093.5010663613211</v>
      </c>
      <c r="F52" s="37">
        <v>-3706.5929162642569</v>
      </c>
      <c r="G52" s="499">
        <f t="shared" si="3"/>
        <v>-3333.4319669840042</v>
      </c>
      <c r="H52" s="45">
        <v>13195.305929207243</v>
      </c>
      <c r="I52" s="37">
        <v>9260.4241762058809</v>
      </c>
      <c r="J52" s="37">
        <v>-17983.59947801847</v>
      </c>
      <c r="K52" s="504">
        <f>SUM(H52:J52)</f>
        <v>4472.1306273946539</v>
      </c>
      <c r="L52" s="47"/>
      <c r="M52" s="47"/>
      <c r="N52" s="47"/>
      <c r="O52" s="47"/>
      <c r="P52" s="47"/>
    </row>
    <row r="53" spans="1:16" ht="5.0999999999999996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M53" s="47"/>
    </row>
    <row r="54" spans="1:16">
      <c r="A54" s="753" t="s">
        <v>319</v>
      </c>
      <c r="B54" s="753"/>
      <c r="C54" s="753"/>
      <c r="D54" s="753"/>
      <c r="E54" s="753"/>
      <c r="F54" s="753"/>
      <c r="G54" s="753"/>
      <c r="H54" s="753"/>
      <c r="I54" s="753"/>
      <c r="J54" s="753"/>
      <c r="K54" s="753"/>
    </row>
    <row r="55" spans="1:16">
      <c r="A55" s="753"/>
      <c r="B55" s="753"/>
      <c r="C55" s="753"/>
      <c r="D55" s="753"/>
      <c r="E55" s="753"/>
      <c r="F55" s="753"/>
      <c r="G55" s="753"/>
      <c r="H55" s="753"/>
      <c r="I55" s="753"/>
      <c r="J55" s="753"/>
      <c r="K55" s="753"/>
    </row>
    <row r="56" spans="1:16">
      <c r="A56" s="753"/>
      <c r="B56" s="753"/>
      <c r="C56" s="753"/>
      <c r="D56" s="753"/>
      <c r="E56" s="753"/>
      <c r="F56" s="753"/>
      <c r="G56" s="753"/>
      <c r="H56" s="753"/>
      <c r="I56" s="753"/>
      <c r="J56" s="753"/>
      <c r="K56" s="753"/>
    </row>
    <row r="57" spans="1:16">
      <c r="A57" s="753"/>
      <c r="B57" s="753"/>
      <c r="C57" s="753"/>
      <c r="D57" s="753"/>
      <c r="E57" s="753"/>
      <c r="F57" s="753"/>
      <c r="G57" s="753"/>
      <c r="H57" s="753"/>
      <c r="I57" s="753"/>
      <c r="J57" s="753"/>
      <c r="K57" s="753"/>
    </row>
  </sheetData>
  <mergeCells count="26"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W44"/>
  <sheetViews>
    <sheetView showGridLines="0" zoomScaleNormal="100" zoomScaleSheetLayoutView="100" workbookViewId="0">
      <selection activeCell="A2" sqref="A2"/>
    </sheetView>
  </sheetViews>
  <sheetFormatPr defaultRowHeight="11.25"/>
  <cols>
    <col min="1" max="1" width="8.28515625" style="81" customWidth="1"/>
    <col min="2" max="7" width="7.28515625" style="81" customWidth="1"/>
    <col min="8" max="8" width="8" style="81" customWidth="1"/>
    <col min="9" max="9" width="8.28515625" style="81" customWidth="1"/>
    <col min="10" max="16" width="7.42578125" style="81" customWidth="1"/>
    <col min="17" max="17" width="8" style="81" customWidth="1"/>
    <col min="18" max="18" width="8.28515625" style="81" customWidth="1"/>
    <col min="19" max="19" width="7.42578125" style="81" customWidth="1"/>
    <col min="20" max="20" width="9.28515625" style="81" bestFit="1" customWidth="1"/>
    <col min="21" max="21" width="11.42578125" style="81" bestFit="1" customWidth="1"/>
    <col min="22" max="260" width="9.140625" style="81"/>
    <col min="261" max="273" width="10.7109375" style="81" customWidth="1"/>
    <col min="274" max="516" width="9.140625" style="81"/>
    <col min="517" max="529" width="10.7109375" style="81" customWidth="1"/>
    <col min="530" max="772" width="9.140625" style="81"/>
    <col min="773" max="785" width="10.7109375" style="81" customWidth="1"/>
    <col min="786" max="1028" width="9.140625" style="81"/>
    <col min="1029" max="1041" width="10.7109375" style="81" customWidth="1"/>
    <col min="1042" max="1284" width="9.140625" style="81"/>
    <col min="1285" max="1297" width="10.7109375" style="81" customWidth="1"/>
    <col min="1298" max="1540" width="9.140625" style="81"/>
    <col min="1541" max="1553" width="10.7109375" style="81" customWidth="1"/>
    <col min="1554" max="1796" width="9.140625" style="81"/>
    <col min="1797" max="1809" width="10.7109375" style="81" customWidth="1"/>
    <col min="1810" max="2052" width="9.140625" style="81"/>
    <col min="2053" max="2065" width="10.7109375" style="81" customWidth="1"/>
    <col min="2066" max="2308" width="9.140625" style="81"/>
    <col min="2309" max="2321" width="10.7109375" style="81" customWidth="1"/>
    <col min="2322" max="2564" width="9.140625" style="81"/>
    <col min="2565" max="2577" width="10.7109375" style="81" customWidth="1"/>
    <col min="2578" max="2820" width="9.140625" style="81"/>
    <col min="2821" max="2833" width="10.7109375" style="81" customWidth="1"/>
    <col min="2834" max="3076" width="9.140625" style="81"/>
    <col min="3077" max="3089" width="10.7109375" style="81" customWidth="1"/>
    <col min="3090" max="3332" width="9.140625" style="81"/>
    <col min="3333" max="3345" width="10.7109375" style="81" customWidth="1"/>
    <col min="3346" max="3588" width="9.140625" style="81"/>
    <col min="3589" max="3601" width="10.7109375" style="81" customWidth="1"/>
    <col min="3602" max="3844" width="9.140625" style="81"/>
    <col min="3845" max="3857" width="10.7109375" style="81" customWidth="1"/>
    <col min="3858" max="4100" width="9.140625" style="81"/>
    <col min="4101" max="4113" width="10.7109375" style="81" customWidth="1"/>
    <col min="4114" max="4356" width="9.140625" style="81"/>
    <col min="4357" max="4369" width="10.7109375" style="81" customWidth="1"/>
    <col min="4370" max="4612" width="9.140625" style="81"/>
    <col min="4613" max="4625" width="10.7109375" style="81" customWidth="1"/>
    <col min="4626" max="4868" width="9.140625" style="81"/>
    <col min="4869" max="4881" width="10.7109375" style="81" customWidth="1"/>
    <col min="4882" max="5124" width="9.140625" style="81"/>
    <col min="5125" max="5137" width="10.7109375" style="81" customWidth="1"/>
    <col min="5138" max="5380" width="9.140625" style="81"/>
    <col min="5381" max="5393" width="10.7109375" style="81" customWidth="1"/>
    <col min="5394" max="5636" width="9.140625" style="81"/>
    <col min="5637" max="5649" width="10.7109375" style="81" customWidth="1"/>
    <col min="5650" max="5892" width="9.140625" style="81"/>
    <col min="5893" max="5905" width="10.7109375" style="81" customWidth="1"/>
    <col min="5906" max="6148" width="9.140625" style="81"/>
    <col min="6149" max="6161" width="10.7109375" style="81" customWidth="1"/>
    <col min="6162" max="6404" width="9.140625" style="81"/>
    <col min="6405" max="6417" width="10.7109375" style="81" customWidth="1"/>
    <col min="6418" max="6660" width="9.140625" style="81"/>
    <col min="6661" max="6673" width="10.7109375" style="81" customWidth="1"/>
    <col min="6674" max="6916" width="9.140625" style="81"/>
    <col min="6917" max="6929" width="10.7109375" style="81" customWidth="1"/>
    <col min="6930" max="7172" width="9.140625" style="81"/>
    <col min="7173" max="7185" width="10.7109375" style="81" customWidth="1"/>
    <col min="7186" max="7428" width="9.140625" style="81"/>
    <col min="7429" max="7441" width="10.7109375" style="81" customWidth="1"/>
    <col min="7442" max="7684" width="9.140625" style="81"/>
    <col min="7685" max="7697" width="10.7109375" style="81" customWidth="1"/>
    <col min="7698" max="7940" width="9.140625" style="81"/>
    <col min="7941" max="7953" width="10.7109375" style="81" customWidth="1"/>
    <col min="7954" max="8196" width="9.140625" style="81"/>
    <col min="8197" max="8209" width="10.7109375" style="81" customWidth="1"/>
    <col min="8210" max="8452" width="9.140625" style="81"/>
    <col min="8453" max="8465" width="10.7109375" style="81" customWidth="1"/>
    <col min="8466" max="8708" width="9.140625" style="81"/>
    <col min="8709" max="8721" width="10.7109375" style="81" customWidth="1"/>
    <col min="8722" max="8964" width="9.140625" style="81"/>
    <col min="8965" max="8977" width="10.7109375" style="81" customWidth="1"/>
    <col min="8978" max="9220" width="9.140625" style="81"/>
    <col min="9221" max="9233" width="10.7109375" style="81" customWidth="1"/>
    <col min="9234" max="9476" width="9.140625" style="81"/>
    <col min="9477" max="9489" width="10.7109375" style="81" customWidth="1"/>
    <col min="9490" max="9732" width="9.140625" style="81"/>
    <col min="9733" max="9745" width="10.7109375" style="81" customWidth="1"/>
    <col min="9746" max="9988" width="9.140625" style="81"/>
    <col min="9989" max="10001" width="10.7109375" style="81" customWidth="1"/>
    <col min="10002" max="10244" width="9.140625" style="81"/>
    <col min="10245" max="10257" width="10.7109375" style="81" customWidth="1"/>
    <col min="10258" max="10500" width="9.140625" style="81"/>
    <col min="10501" max="10513" width="10.7109375" style="81" customWidth="1"/>
    <col min="10514" max="10756" width="9.140625" style="81"/>
    <col min="10757" max="10769" width="10.7109375" style="81" customWidth="1"/>
    <col min="10770" max="11012" width="9.140625" style="81"/>
    <col min="11013" max="11025" width="10.7109375" style="81" customWidth="1"/>
    <col min="11026" max="11268" width="9.140625" style="81"/>
    <col min="11269" max="11281" width="10.7109375" style="81" customWidth="1"/>
    <col min="11282" max="11524" width="9.140625" style="81"/>
    <col min="11525" max="11537" width="10.7109375" style="81" customWidth="1"/>
    <col min="11538" max="11780" width="9.140625" style="81"/>
    <col min="11781" max="11793" width="10.7109375" style="81" customWidth="1"/>
    <col min="11794" max="12036" width="9.140625" style="81"/>
    <col min="12037" max="12049" width="10.7109375" style="81" customWidth="1"/>
    <col min="12050" max="12292" width="9.140625" style="81"/>
    <col min="12293" max="12305" width="10.7109375" style="81" customWidth="1"/>
    <col min="12306" max="12548" width="9.140625" style="81"/>
    <col min="12549" max="12561" width="10.7109375" style="81" customWidth="1"/>
    <col min="12562" max="12804" width="9.140625" style="81"/>
    <col min="12805" max="12817" width="10.7109375" style="81" customWidth="1"/>
    <col min="12818" max="13060" width="9.140625" style="81"/>
    <col min="13061" max="13073" width="10.7109375" style="81" customWidth="1"/>
    <col min="13074" max="13316" width="9.140625" style="81"/>
    <col min="13317" max="13329" width="10.7109375" style="81" customWidth="1"/>
    <col min="13330" max="13572" width="9.140625" style="81"/>
    <col min="13573" max="13585" width="10.7109375" style="81" customWidth="1"/>
    <col min="13586" max="13828" width="9.140625" style="81"/>
    <col min="13829" max="13841" width="10.7109375" style="81" customWidth="1"/>
    <col min="13842" max="14084" width="9.140625" style="81"/>
    <col min="14085" max="14097" width="10.7109375" style="81" customWidth="1"/>
    <col min="14098" max="14340" width="9.140625" style="81"/>
    <col min="14341" max="14353" width="10.7109375" style="81" customWidth="1"/>
    <col min="14354" max="14596" width="9.140625" style="81"/>
    <col min="14597" max="14609" width="10.7109375" style="81" customWidth="1"/>
    <col min="14610" max="14852" width="9.140625" style="81"/>
    <col min="14853" max="14865" width="10.7109375" style="81" customWidth="1"/>
    <col min="14866" max="15108" width="9.140625" style="81"/>
    <col min="15109" max="15121" width="10.7109375" style="81" customWidth="1"/>
    <col min="15122" max="15364" width="9.140625" style="81"/>
    <col min="15365" max="15377" width="10.7109375" style="81" customWidth="1"/>
    <col min="15378" max="15620" width="9.140625" style="81"/>
    <col min="15621" max="15633" width="10.7109375" style="81" customWidth="1"/>
    <col min="15634" max="15876" width="9.140625" style="81"/>
    <col min="15877" max="15889" width="10.7109375" style="81" customWidth="1"/>
    <col min="15890" max="16132" width="9.140625" style="81"/>
    <col min="16133" max="16145" width="10.7109375" style="81" customWidth="1"/>
    <col min="16146" max="16384" width="9.140625" style="81"/>
  </cols>
  <sheetData>
    <row r="1" spans="1:23" ht="15.75">
      <c r="A1" s="609" t="s">
        <v>137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</row>
    <row r="2" spans="1:23" ht="6" customHeight="1">
      <c r="A2" s="220"/>
      <c r="B2" s="619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</row>
    <row r="3" spans="1:23" ht="15.95" customHeight="1">
      <c r="A3" s="514"/>
      <c r="B3" s="617">
        <v>2020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</row>
    <row r="4" spans="1:23" ht="15.95" customHeight="1">
      <c r="A4" s="505"/>
      <c r="B4" s="614" t="s">
        <v>290</v>
      </c>
      <c r="C4" s="615"/>
      <c r="D4" s="615"/>
      <c r="E4" s="615"/>
      <c r="F4" s="615"/>
      <c r="G4" s="615"/>
      <c r="H4" s="615"/>
      <c r="I4" s="615"/>
      <c r="J4" s="615"/>
      <c r="K4" s="614" t="s">
        <v>291</v>
      </c>
      <c r="L4" s="615"/>
      <c r="M4" s="615"/>
      <c r="N4" s="615"/>
      <c r="O4" s="615"/>
      <c r="P4" s="615"/>
      <c r="Q4" s="615"/>
      <c r="R4" s="615"/>
      <c r="S4" s="615"/>
    </row>
    <row r="5" spans="1:23" ht="22.5" customHeight="1">
      <c r="A5" s="399"/>
      <c r="B5" s="610" t="s">
        <v>279</v>
      </c>
      <c r="C5" s="610"/>
      <c r="D5" s="610"/>
      <c r="E5" s="610" t="s">
        <v>280</v>
      </c>
      <c r="F5" s="610"/>
      <c r="G5" s="610"/>
      <c r="H5" s="611" t="s">
        <v>276</v>
      </c>
      <c r="I5" s="612" t="s">
        <v>275</v>
      </c>
      <c r="J5" s="613" t="s">
        <v>76</v>
      </c>
      <c r="K5" s="610" t="s">
        <v>279</v>
      </c>
      <c r="L5" s="610"/>
      <c r="M5" s="610"/>
      <c r="N5" s="610" t="s">
        <v>280</v>
      </c>
      <c r="O5" s="610"/>
      <c r="P5" s="610"/>
      <c r="Q5" s="611" t="s">
        <v>276</v>
      </c>
      <c r="R5" s="612" t="s">
        <v>275</v>
      </c>
      <c r="S5" s="613" t="s">
        <v>76</v>
      </c>
    </row>
    <row r="6" spans="1:23" ht="22.5">
      <c r="A6" s="506" t="s">
        <v>225</v>
      </c>
      <c r="B6" s="277" t="s">
        <v>25</v>
      </c>
      <c r="C6" s="275" t="s">
        <v>26</v>
      </c>
      <c r="D6" s="276" t="s">
        <v>278</v>
      </c>
      <c r="E6" s="277" t="s">
        <v>30</v>
      </c>
      <c r="F6" s="275" t="s">
        <v>31</v>
      </c>
      <c r="G6" s="276" t="s">
        <v>277</v>
      </c>
      <c r="H6" s="611"/>
      <c r="I6" s="612"/>
      <c r="J6" s="613"/>
      <c r="K6" s="277" t="s">
        <v>25</v>
      </c>
      <c r="L6" s="275" t="s">
        <v>26</v>
      </c>
      <c r="M6" s="276" t="s">
        <v>278</v>
      </c>
      <c r="N6" s="277" t="s">
        <v>30</v>
      </c>
      <c r="O6" s="275" t="s">
        <v>31</v>
      </c>
      <c r="P6" s="276" t="s">
        <v>277</v>
      </c>
      <c r="Q6" s="611"/>
      <c r="R6" s="612"/>
      <c r="S6" s="613"/>
    </row>
    <row r="7" spans="1:23" ht="12" customHeight="1">
      <c r="A7" s="507" t="s">
        <v>227</v>
      </c>
      <c r="B7" s="515">
        <v>3953.8865949906567</v>
      </c>
      <c r="C7" s="53">
        <v>3516.6692237756142</v>
      </c>
      <c r="D7" s="54">
        <v>437.21737121504248</v>
      </c>
      <c r="E7" s="55">
        <v>767.78891500000009</v>
      </c>
      <c r="F7" s="55">
        <v>6.014875</v>
      </c>
      <c r="G7" s="54">
        <v>761.77404000000013</v>
      </c>
      <c r="H7" s="56">
        <v>11.890776000000002</v>
      </c>
      <c r="I7" s="56">
        <v>5.8499372380566781</v>
      </c>
      <c r="J7" s="415">
        <v>1216.7321244530995</v>
      </c>
      <c r="K7" s="515">
        <v>42183.138369978005</v>
      </c>
      <c r="L7" s="53">
        <v>37543.585314870594</v>
      </c>
      <c r="M7" s="54">
        <v>4639.5530551074116</v>
      </c>
      <c r="N7" s="55">
        <v>8186.5665289999988</v>
      </c>
      <c r="O7" s="55">
        <v>64.090819008000011</v>
      </c>
      <c r="P7" s="54">
        <v>8122.4757099919989</v>
      </c>
      <c r="Q7" s="56">
        <v>129.09734872128908</v>
      </c>
      <c r="R7" s="56">
        <v>84.728519877893845</v>
      </c>
      <c r="S7" s="415">
        <v>12975.854633698587</v>
      </c>
      <c r="T7" s="82"/>
      <c r="U7" s="223"/>
      <c r="V7" s="223"/>
      <c r="W7" s="223"/>
    </row>
    <row r="8" spans="1:23" ht="12" customHeight="1">
      <c r="A8" s="508" t="s">
        <v>228</v>
      </c>
      <c r="B8" s="515">
        <v>3589.3981260973706</v>
      </c>
      <c r="C8" s="55">
        <v>3031.6268481559036</v>
      </c>
      <c r="D8" s="57">
        <v>557.77127794146691</v>
      </c>
      <c r="E8" s="55">
        <v>420.143348</v>
      </c>
      <c r="F8" s="55">
        <v>10.880583999999999</v>
      </c>
      <c r="G8" s="57">
        <v>409.262764</v>
      </c>
      <c r="H8" s="58">
        <v>9.500826</v>
      </c>
      <c r="I8" s="58">
        <v>-0.99360805426619481</v>
      </c>
      <c r="J8" s="416">
        <v>975.54125988720057</v>
      </c>
      <c r="K8" s="515">
        <v>38291.228500172001</v>
      </c>
      <c r="L8" s="55">
        <v>32361.506620486001</v>
      </c>
      <c r="M8" s="57">
        <v>5929.7218796859997</v>
      </c>
      <c r="N8" s="55">
        <v>4480.3231770000002</v>
      </c>
      <c r="O8" s="55">
        <v>115.94922629299998</v>
      </c>
      <c r="P8" s="57">
        <v>4364.3739507070004</v>
      </c>
      <c r="Q8" s="58">
        <v>103.08738785320001</v>
      </c>
      <c r="R8" s="58">
        <v>7.6224389867950233</v>
      </c>
      <c r="S8" s="416">
        <v>10404.805657232999</v>
      </c>
      <c r="T8" s="72"/>
      <c r="U8" s="223"/>
      <c r="V8" s="223"/>
      <c r="W8" s="223"/>
    </row>
    <row r="9" spans="1:23" ht="12" customHeight="1">
      <c r="A9" s="509" t="s">
        <v>229</v>
      </c>
      <c r="B9" s="516">
        <v>3721.6796563444259</v>
      </c>
      <c r="C9" s="59">
        <v>3462.2777269387129</v>
      </c>
      <c r="D9" s="60">
        <v>259.40192940571296</v>
      </c>
      <c r="E9" s="61">
        <v>650.70495800000003</v>
      </c>
      <c r="F9" s="59">
        <v>8.513103000000001</v>
      </c>
      <c r="G9" s="60">
        <v>642.19185500000003</v>
      </c>
      <c r="H9" s="62">
        <v>10.715971999999999</v>
      </c>
      <c r="I9" s="62">
        <v>6.8270418208847987</v>
      </c>
      <c r="J9" s="61">
        <v>919.13679822659776</v>
      </c>
      <c r="K9" s="516">
        <v>39706.615106039004</v>
      </c>
      <c r="L9" s="59">
        <v>36957.915197742404</v>
      </c>
      <c r="M9" s="60">
        <v>2748.6999082965995</v>
      </c>
      <c r="N9" s="61">
        <v>6937.1927379999997</v>
      </c>
      <c r="O9" s="59">
        <v>90.695045359999995</v>
      </c>
      <c r="P9" s="60">
        <v>6846.4976926399995</v>
      </c>
      <c r="Q9" s="62">
        <v>116.35571955129998</v>
      </c>
      <c r="R9" s="62">
        <v>92.991335574120285</v>
      </c>
      <c r="S9" s="61">
        <v>9804.5446560620203</v>
      </c>
      <c r="T9" s="222"/>
      <c r="U9" s="223"/>
      <c r="V9" s="223"/>
      <c r="W9" s="223"/>
    </row>
    <row r="10" spans="1:23" ht="12" customHeight="1">
      <c r="A10" s="507" t="s">
        <v>230</v>
      </c>
      <c r="B10" s="515">
        <v>3422.7759458686733</v>
      </c>
      <c r="C10" s="55">
        <v>2686.7948189524859</v>
      </c>
      <c r="D10" s="54">
        <v>735.98112691618735</v>
      </c>
      <c r="E10" s="55">
        <v>45.360324999999996</v>
      </c>
      <c r="F10" s="55">
        <v>215.94929799999997</v>
      </c>
      <c r="G10" s="54">
        <v>-170.58897299999998</v>
      </c>
      <c r="H10" s="56">
        <v>10.306099</v>
      </c>
      <c r="I10" s="56">
        <v>-0.72034011708106849</v>
      </c>
      <c r="J10" s="415">
        <v>574.97791279910632</v>
      </c>
      <c r="K10" s="515">
        <v>36517.602988667997</v>
      </c>
      <c r="L10" s="55">
        <v>28681.920027790802</v>
      </c>
      <c r="M10" s="54">
        <v>7835.682960877195</v>
      </c>
      <c r="N10" s="55">
        <v>483.817362</v>
      </c>
      <c r="O10" s="55">
        <v>2305.4701394099998</v>
      </c>
      <c r="P10" s="54">
        <v>-1821.6527774099998</v>
      </c>
      <c r="Q10" s="56">
        <v>112.06833876060001</v>
      </c>
      <c r="R10" s="56">
        <v>13.195305929207244</v>
      </c>
      <c r="S10" s="415">
        <v>6139.2938281569986</v>
      </c>
      <c r="T10" s="72"/>
      <c r="U10" s="223"/>
      <c r="V10" s="223"/>
      <c r="W10" s="223"/>
    </row>
    <row r="11" spans="1:23" ht="12" customHeight="1">
      <c r="A11" s="508" t="s">
        <v>231</v>
      </c>
      <c r="B11" s="515">
        <v>3370.9095927522017</v>
      </c>
      <c r="C11" s="55">
        <v>2341.3211458054911</v>
      </c>
      <c r="D11" s="57">
        <v>1029.5884469467105</v>
      </c>
      <c r="E11" s="55">
        <v>6.7985790000000001</v>
      </c>
      <c r="F11" s="55">
        <v>555.26132770000004</v>
      </c>
      <c r="G11" s="57">
        <v>-548.46274870000002</v>
      </c>
      <c r="H11" s="58">
        <v>10.125809</v>
      </c>
      <c r="I11" s="58">
        <v>1.0935010663613212</v>
      </c>
      <c r="J11" s="416">
        <v>492.34500831307167</v>
      </c>
      <c r="K11" s="515">
        <v>35969.675897631001</v>
      </c>
      <c r="L11" s="55">
        <v>24973.670168773799</v>
      </c>
      <c r="M11" s="57">
        <v>10996.005728857202</v>
      </c>
      <c r="N11" s="55">
        <v>72.548455000000004</v>
      </c>
      <c r="O11" s="55">
        <v>5929.1722958563996</v>
      </c>
      <c r="P11" s="57">
        <v>-5856.6238408563995</v>
      </c>
      <c r="Q11" s="58">
        <v>110.47538656900001</v>
      </c>
      <c r="R11" s="58">
        <v>9.2604241762058805</v>
      </c>
      <c r="S11" s="416">
        <v>5259.1176987460103</v>
      </c>
      <c r="T11" s="72"/>
      <c r="U11" s="223"/>
      <c r="V11" s="223"/>
      <c r="W11" s="223"/>
    </row>
    <row r="12" spans="1:23" ht="12" customHeight="1">
      <c r="A12" s="509" t="s">
        <v>232</v>
      </c>
      <c r="B12" s="516">
        <v>3904.1354891306464</v>
      </c>
      <c r="C12" s="59">
        <v>2955.0008302643373</v>
      </c>
      <c r="D12" s="60">
        <v>949.13465886630911</v>
      </c>
      <c r="E12" s="61">
        <v>10.552137</v>
      </c>
      <c r="F12" s="59">
        <v>562.24011800000005</v>
      </c>
      <c r="G12" s="60">
        <v>-551.68798100000004</v>
      </c>
      <c r="H12" s="62">
        <v>9.7456649999999971</v>
      </c>
      <c r="I12" s="62">
        <v>-3.706592916264257</v>
      </c>
      <c r="J12" s="61">
        <v>403.48574995004481</v>
      </c>
      <c r="K12" s="516">
        <v>41720.358113527996</v>
      </c>
      <c r="L12" s="59">
        <v>31577.241202105499</v>
      </c>
      <c r="M12" s="60">
        <v>10143.116911422498</v>
      </c>
      <c r="N12" s="61">
        <v>112.762181</v>
      </c>
      <c r="O12" s="59">
        <v>6022.9723235229985</v>
      </c>
      <c r="P12" s="60">
        <v>-5910.2101425229985</v>
      </c>
      <c r="Q12" s="62">
        <v>106.56059374049995</v>
      </c>
      <c r="R12" s="62">
        <v>-17.983599478018469</v>
      </c>
      <c r="S12" s="61">
        <v>4321.4837631619803</v>
      </c>
      <c r="T12" s="72"/>
      <c r="U12" s="223"/>
      <c r="V12" s="223"/>
      <c r="W12" s="223"/>
    </row>
    <row r="13" spans="1:23" ht="12" customHeight="1">
      <c r="A13" s="507" t="s">
        <v>233</v>
      </c>
      <c r="B13" s="515"/>
      <c r="C13" s="55"/>
      <c r="D13" s="54"/>
      <c r="E13" s="55"/>
      <c r="F13" s="55"/>
      <c r="G13" s="54"/>
      <c r="H13" s="56"/>
      <c r="I13" s="56"/>
      <c r="J13" s="415"/>
      <c r="K13" s="515"/>
      <c r="L13" s="55"/>
      <c r="M13" s="54"/>
      <c r="N13" s="55"/>
      <c r="O13" s="55"/>
      <c r="P13" s="54"/>
      <c r="Q13" s="56"/>
      <c r="R13" s="56"/>
      <c r="S13" s="415"/>
      <c r="T13" s="72"/>
      <c r="U13" s="223"/>
      <c r="V13" s="223"/>
      <c r="W13" s="223"/>
    </row>
    <row r="14" spans="1:23" ht="12" customHeight="1">
      <c r="A14" s="508" t="s">
        <v>234</v>
      </c>
      <c r="B14" s="515"/>
      <c r="C14" s="55"/>
      <c r="D14" s="57"/>
      <c r="E14" s="55"/>
      <c r="F14" s="55"/>
      <c r="G14" s="57"/>
      <c r="H14" s="58"/>
      <c r="I14" s="58"/>
      <c r="J14" s="416"/>
      <c r="K14" s="515"/>
      <c r="L14" s="55"/>
      <c r="M14" s="57"/>
      <c r="N14" s="55"/>
      <c r="O14" s="55"/>
      <c r="P14" s="57"/>
      <c r="Q14" s="58"/>
      <c r="R14" s="58"/>
      <c r="S14" s="416"/>
      <c r="T14" s="72"/>
      <c r="U14" s="223"/>
      <c r="V14" s="223"/>
      <c r="W14" s="223"/>
    </row>
    <row r="15" spans="1:23" ht="12" customHeight="1">
      <c r="A15" s="509" t="s">
        <v>235</v>
      </c>
      <c r="B15" s="516"/>
      <c r="C15" s="59"/>
      <c r="D15" s="60"/>
      <c r="E15" s="61"/>
      <c r="F15" s="59"/>
      <c r="G15" s="60"/>
      <c r="H15" s="62"/>
      <c r="I15" s="62"/>
      <c r="J15" s="61"/>
      <c r="K15" s="516"/>
      <c r="L15" s="59"/>
      <c r="M15" s="60"/>
      <c r="N15" s="61"/>
      <c r="O15" s="59"/>
      <c r="P15" s="60"/>
      <c r="Q15" s="62"/>
      <c r="R15" s="62"/>
      <c r="S15" s="61"/>
      <c r="T15" s="72"/>
      <c r="U15" s="223"/>
      <c r="V15" s="223"/>
      <c r="W15" s="223"/>
    </row>
    <row r="16" spans="1:23" ht="12" customHeight="1">
      <c r="A16" s="507" t="s">
        <v>236</v>
      </c>
      <c r="B16" s="515"/>
      <c r="C16" s="55"/>
      <c r="D16" s="54"/>
      <c r="E16" s="55"/>
      <c r="F16" s="55"/>
      <c r="G16" s="54"/>
      <c r="H16" s="56"/>
      <c r="I16" s="56"/>
      <c r="J16" s="415"/>
      <c r="K16" s="515"/>
      <c r="L16" s="55"/>
      <c r="M16" s="54"/>
      <c r="N16" s="55"/>
      <c r="O16" s="55"/>
      <c r="P16" s="54"/>
      <c r="Q16" s="56"/>
      <c r="R16" s="56"/>
      <c r="S16" s="415"/>
      <c r="T16" s="72"/>
      <c r="U16" s="223"/>
      <c r="V16" s="223"/>
      <c r="W16" s="223"/>
    </row>
    <row r="17" spans="1:23" ht="12" customHeight="1">
      <c r="A17" s="508" t="s">
        <v>237</v>
      </c>
      <c r="B17" s="515"/>
      <c r="C17" s="55"/>
      <c r="D17" s="57"/>
      <c r="E17" s="55"/>
      <c r="F17" s="55"/>
      <c r="G17" s="57"/>
      <c r="H17" s="58"/>
      <c r="I17" s="58"/>
      <c r="J17" s="416"/>
      <c r="K17" s="515"/>
      <c r="L17" s="55"/>
      <c r="M17" s="57"/>
      <c r="N17" s="55"/>
      <c r="O17" s="55"/>
      <c r="P17" s="57"/>
      <c r="Q17" s="58"/>
      <c r="R17" s="58"/>
      <c r="S17" s="416"/>
      <c r="T17" s="72"/>
      <c r="U17" s="223"/>
      <c r="V17" s="223"/>
      <c r="W17" s="223"/>
    </row>
    <row r="18" spans="1:23" ht="12" customHeight="1">
      <c r="A18" s="509" t="s">
        <v>238</v>
      </c>
      <c r="B18" s="516"/>
      <c r="C18" s="59"/>
      <c r="D18" s="60"/>
      <c r="E18" s="61"/>
      <c r="F18" s="59"/>
      <c r="G18" s="60"/>
      <c r="H18" s="62"/>
      <c r="I18" s="62"/>
      <c r="J18" s="61"/>
      <c r="K18" s="516"/>
      <c r="L18" s="59"/>
      <c r="M18" s="60"/>
      <c r="N18" s="61"/>
      <c r="O18" s="59"/>
      <c r="P18" s="60"/>
      <c r="Q18" s="62"/>
      <c r="R18" s="62"/>
      <c r="S18" s="61"/>
      <c r="T18" s="72"/>
      <c r="U18" s="223"/>
      <c r="V18" s="223"/>
      <c r="W18" s="223"/>
    </row>
    <row r="19" spans="1:23" ht="12" customHeight="1">
      <c r="A19" s="510" t="s">
        <v>54</v>
      </c>
      <c r="B19" s="517">
        <f>SUM(B7:B9)</f>
        <v>11264.964377432454</v>
      </c>
      <c r="C19" s="278">
        <f>SUM(C7:C9)</f>
        <v>10010.573798870231</v>
      </c>
      <c r="D19" s="279">
        <f t="shared" ref="D19:J19" si="0">SUM(D7:D9)</f>
        <v>1254.3905785622223</v>
      </c>
      <c r="E19" s="278">
        <f t="shared" si="0"/>
        <v>1838.6372210000002</v>
      </c>
      <c r="F19" s="278">
        <f t="shared" si="0"/>
        <v>25.408562</v>
      </c>
      <c r="G19" s="279">
        <f t="shared" si="0"/>
        <v>1813.2286590000001</v>
      </c>
      <c r="H19" s="280">
        <f t="shared" si="0"/>
        <v>32.107574</v>
      </c>
      <c r="I19" s="280">
        <f t="shared" si="0"/>
        <v>11.683371004675282</v>
      </c>
      <c r="J19" s="417">
        <f t="shared" si="0"/>
        <v>3111.4101825668981</v>
      </c>
      <c r="K19" s="517">
        <f>SUM(K7:K9)</f>
        <v>120180.98197618901</v>
      </c>
      <c r="L19" s="278">
        <f t="shared" ref="L19:S19" si="1">SUM(L7:L9)</f>
        <v>106863.007133099</v>
      </c>
      <c r="M19" s="279">
        <f t="shared" si="1"/>
        <v>13317.974843090011</v>
      </c>
      <c r="N19" s="278">
        <f t="shared" si="1"/>
        <v>19604.082444</v>
      </c>
      <c r="O19" s="278">
        <f t="shared" si="1"/>
        <v>270.73509066099996</v>
      </c>
      <c r="P19" s="279">
        <f t="shared" si="1"/>
        <v>19333.347353338999</v>
      </c>
      <c r="Q19" s="280">
        <f t="shared" si="1"/>
        <v>348.54045612578909</v>
      </c>
      <c r="R19" s="280">
        <f t="shared" si="1"/>
        <v>185.34229443880915</v>
      </c>
      <c r="S19" s="417">
        <f t="shared" si="1"/>
        <v>33185.204946993603</v>
      </c>
    </row>
    <row r="20" spans="1:23" ht="12" customHeight="1">
      <c r="A20" s="511" t="s">
        <v>63</v>
      </c>
      <c r="B20" s="517">
        <f>SUM(B10:B12)</f>
        <v>10697.821027751521</v>
      </c>
      <c r="C20" s="278">
        <f>SUM(C10:C12)</f>
        <v>7983.1167950223144</v>
      </c>
      <c r="D20" s="568">
        <f t="shared" ref="D20:J20" si="2">SUM(D10:D12)</f>
        <v>2714.704232729207</v>
      </c>
      <c r="E20" s="278">
        <f t="shared" si="2"/>
        <v>62.711040999999994</v>
      </c>
      <c r="F20" s="278">
        <f t="shared" si="2"/>
        <v>1333.4507437000002</v>
      </c>
      <c r="G20" s="568">
        <f t="shared" si="2"/>
        <v>-1270.7397027000002</v>
      </c>
      <c r="H20" s="569">
        <f t="shared" si="2"/>
        <v>30.177572999999995</v>
      </c>
      <c r="I20" s="569">
        <f t="shared" si="2"/>
        <v>-3.3334319669840045</v>
      </c>
      <c r="J20" s="517">
        <f t="shared" si="2"/>
        <v>1470.8086710622229</v>
      </c>
      <c r="K20" s="517">
        <f>SUM(K10:K12)</f>
        <v>114207.63699982699</v>
      </c>
      <c r="L20" s="278">
        <f t="shared" ref="L20:S20" si="3">SUM(L10:L12)</f>
        <v>85232.831398670096</v>
      </c>
      <c r="M20" s="568">
        <f t="shared" si="3"/>
        <v>28974.805601156895</v>
      </c>
      <c r="N20" s="278">
        <f t="shared" si="3"/>
        <v>669.12799799999993</v>
      </c>
      <c r="O20" s="278">
        <f t="shared" si="3"/>
        <v>14257.614758789397</v>
      </c>
      <c r="P20" s="568">
        <f t="shared" si="3"/>
        <v>-13588.486760789398</v>
      </c>
      <c r="Q20" s="569">
        <f t="shared" si="3"/>
        <v>329.10431907009996</v>
      </c>
      <c r="R20" s="569">
        <f t="shared" si="3"/>
        <v>4.4721306273946553</v>
      </c>
      <c r="S20" s="517">
        <f t="shared" si="3"/>
        <v>15719.895290064989</v>
      </c>
    </row>
    <row r="21" spans="1:23" ht="12" customHeight="1">
      <c r="A21" s="511" t="s">
        <v>75</v>
      </c>
      <c r="B21" s="418">
        <f>SUM(B13:B15)</f>
        <v>0</v>
      </c>
      <c r="C21" s="281">
        <f>SUM(C13:C15)</f>
        <v>0</v>
      </c>
      <c r="D21" s="282">
        <f t="shared" ref="D21:J21" si="4">SUM(D13:D15)</f>
        <v>0</v>
      </c>
      <c r="E21" s="281">
        <f t="shared" si="4"/>
        <v>0</v>
      </c>
      <c r="F21" s="281">
        <f t="shared" si="4"/>
        <v>0</v>
      </c>
      <c r="G21" s="282">
        <f t="shared" si="4"/>
        <v>0</v>
      </c>
      <c r="H21" s="283">
        <f t="shared" si="4"/>
        <v>0</v>
      </c>
      <c r="I21" s="283">
        <f>SUM(I13:I15)</f>
        <v>0</v>
      </c>
      <c r="J21" s="418">
        <f t="shared" si="4"/>
        <v>0</v>
      </c>
      <c r="K21" s="418">
        <f>SUM(K13:K15)</f>
        <v>0</v>
      </c>
      <c r="L21" s="281">
        <f t="shared" ref="L21:S21" si="5">SUM(L13:L15)</f>
        <v>0</v>
      </c>
      <c r="M21" s="282">
        <f t="shared" si="5"/>
        <v>0</v>
      </c>
      <c r="N21" s="281">
        <f t="shared" si="5"/>
        <v>0</v>
      </c>
      <c r="O21" s="281">
        <f t="shared" si="5"/>
        <v>0</v>
      </c>
      <c r="P21" s="282">
        <f t="shared" si="5"/>
        <v>0</v>
      </c>
      <c r="Q21" s="283">
        <f t="shared" si="5"/>
        <v>0</v>
      </c>
      <c r="R21" s="283">
        <f t="shared" si="5"/>
        <v>0</v>
      </c>
      <c r="S21" s="418">
        <f t="shared" si="5"/>
        <v>0</v>
      </c>
    </row>
    <row r="22" spans="1:23" ht="12" customHeight="1">
      <c r="A22" s="512" t="s">
        <v>64</v>
      </c>
      <c r="B22" s="286">
        <f>SUM(B16:B18)</f>
        <v>0</v>
      </c>
      <c r="C22" s="284">
        <f>SUM(C16:C18)</f>
        <v>0</v>
      </c>
      <c r="D22" s="285">
        <f t="shared" ref="D22:J22" si="6">SUM(D16:D18)</f>
        <v>0</v>
      </c>
      <c r="E22" s="286">
        <f t="shared" si="6"/>
        <v>0</v>
      </c>
      <c r="F22" s="284">
        <f t="shared" si="6"/>
        <v>0</v>
      </c>
      <c r="G22" s="285">
        <f t="shared" si="6"/>
        <v>0</v>
      </c>
      <c r="H22" s="287">
        <f t="shared" si="6"/>
        <v>0</v>
      </c>
      <c r="I22" s="287">
        <f t="shared" si="6"/>
        <v>0</v>
      </c>
      <c r="J22" s="286">
        <f t="shared" si="6"/>
        <v>0</v>
      </c>
      <c r="K22" s="286">
        <f>SUM(K16:K18)</f>
        <v>0</v>
      </c>
      <c r="L22" s="284">
        <f t="shared" ref="L22:R22" si="7">SUM(L16:L18)</f>
        <v>0</v>
      </c>
      <c r="M22" s="285">
        <f t="shared" si="7"/>
        <v>0</v>
      </c>
      <c r="N22" s="286">
        <f t="shared" si="7"/>
        <v>0</v>
      </c>
      <c r="O22" s="284">
        <f t="shared" si="7"/>
        <v>0</v>
      </c>
      <c r="P22" s="285">
        <f t="shared" si="7"/>
        <v>0</v>
      </c>
      <c r="Q22" s="287">
        <f t="shared" si="7"/>
        <v>0</v>
      </c>
      <c r="R22" s="287">
        <f t="shared" si="7"/>
        <v>0</v>
      </c>
      <c r="S22" s="286">
        <f>SUM(S16:S18)</f>
        <v>0</v>
      </c>
    </row>
    <row r="23" spans="1:23" ht="12" customHeight="1">
      <c r="A23" s="507" t="s">
        <v>65</v>
      </c>
      <c r="B23" s="515">
        <f>SUM(B7:B12)</f>
        <v>21962.785405183979</v>
      </c>
      <c r="C23" s="53">
        <f>SUM(C7:C12)</f>
        <v>17993.690593892545</v>
      </c>
      <c r="D23" s="535">
        <f t="shared" ref="D23:J23" si="8">SUM(D7:D12)</f>
        <v>3969.0948112914293</v>
      </c>
      <c r="E23" s="53">
        <f t="shared" si="8"/>
        <v>1901.3482620000002</v>
      </c>
      <c r="F23" s="53">
        <f t="shared" si="8"/>
        <v>1358.8593057</v>
      </c>
      <c r="G23" s="535">
        <f t="shared" si="8"/>
        <v>542.48895630000015</v>
      </c>
      <c r="H23" s="570">
        <f t="shared" si="8"/>
        <v>62.285147000000002</v>
      </c>
      <c r="I23" s="570">
        <f t="shared" si="8"/>
        <v>8.3499390376912785</v>
      </c>
      <c r="J23" s="518">
        <f t="shared" si="8"/>
        <v>4582.2188536291214</v>
      </c>
      <c r="K23" s="515">
        <f>SUM(K7:K12)</f>
        <v>234388.61897601601</v>
      </c>
      <c r="L23" s="53">
        <f t="shared" ref="L23:S23" si="9">SUM(L7:L12)</f>
        <v>192095.83853176911</v>
      </c>
      <c r="M23" s="535">
        <f t="shared" si="9"/>
        <v>42292.780444246906</v>
      </c>
      <c r="N23" s="53">
        <f t="shared" si="9"/>
        <v>20273.210442</v>
      </c>
      <c r="O23" s="53">
        <f t="shared" si="9"/>
        <v>14528.349849450398</v>
      </c>
      <c r="P23" s="535">
        <f t="shared" si="9"/>
        <v>5744.8605925496022</v>
      </c>
      <c r="Q23" s="570">
        <f t="shared" si="9"/>
        <v>677.644775195889</v>
      </c>
      <c r="R23" s="570">
        <f t="shared" si="9"/>
        <v>189.8144250662038</v>
      </c>
      <c r="S23" s="518">
        <f t="shared" si="9"/>
        <v>48905.100237058592</v>
      </c>
    </row>
    <row r="24" spans="1:23" ht="12" customHeight="1">
      <c r="A24" s="509" t="s">
        <v>66</v>
      </c>
      <c r="B24" s="51">
        <f>SUM(B13:B18)</f>
        <v>0</v>
      </c>
      <c r="C24" s="49">
        <f>SUM(C13:C18)</f>
        <v>0</v>
      </c>
      <c r="D24" s="50">
        <f t="shared" ref="D24:J24" si="10">SUM(D13:D18)</f>
        <v>0</v>
      </c>
      <c r="E24" s="51">
        <f t="shared" si="10"/>
        <v>0</v>
      </c>
      <c r="F24" s="49">
        <f t="shared" si="10"/>
        <v>0</v>
      </c>
      <c r="G24" s="50">
        <f t="shared" si="10"/>
        <v>0</v>
      </c>
      <c r="H24" s="52">
        <f t="shared" si="10"/>
        <v>0</v>
      </c>
      <c r="I24" s="52">
        <f t="shared" si="10"/>
        <v>0</v>
      </c>
      <c r="J24" s="51">
        <f t="shared" si="10"/>
        <v>0</v>
      </c>
      <c r="K24" s="51">
        <f>SUM(K13:K18)</f>
        <v>0</v>
      </c>
      <c r="L24" s="49">
        <f t="shared" ref="L24:S24" si="11">SUM(L13:L18)</f>
        <v>0</v>
      </c>
      <c r="M24" s="50">
        <f t="shared" si="11"/>
        <v>0</v>
      </c>
      <c r="N24" s="51">
        <f t="shared" si="11"/>
        <v>0</v>
      </c>
      <c r="O24" s="49">
        <f t="shared" si="11"/>
        <v>0</v>
      </c>
      <c r="P24" s="50">
        <f t="shared" si="11"/>
        <v>0</v>
      </c>
      <c r="Q24" s="52">
        <f t="shared" si="11"/>
        <v>0</v>
      </c>
      <c r="R24" s="52">
        <f t="shared" si="11"/>
        <v>0</v>
      </c>
      <c r="S24" s="51">
        <f t="shared" si="11"/>
        <v>0</v>
      </c>
    </row>
    <row r="25" spans="1:23" ht="12" customHeight="1">
      <c r="A25" s="513" t="s">
        <v>239</v>
      </c>
      <c r="B25" s="290">
        <f>SUM(B7:B18)</f>
        <v>21962.785405183979</v>
      </c>
      <c r="C25" s="288">
        <f>SUM(C7:C18)</f>
        <v>17993.690593892545</v>
      </c>
      <c r="D25" s="289">
        <f t="shared" ref="D25:J25" si="12">SUM(D7:D18)</f>
        <v>3969.0948112914293</v>
      </c>
      <c r="E25" s="290">
        <f t="shared" si="12"/>
        <v>1901.3482620000002</v>
      </c>
      <c r="F25" s="288">
        <f t="shared" si="12"/>
        <v>1358.8593057</v>
      </c>
      <c r="G25" s="289">
        <f t="shared" si="12"/>
        <v>542.48895630000015</v>
      </c>
      <c r="H25" s="291">
        <f t="shared" si="12"/>
        <v>62.285147000000002</v>
      </c>
      <c r="I25" s="291">
        <f t="shared" si="12"/>
        <v>8.3499390376912785</v>
      </c>
      <c r="J25" s="290">
        <f t="shared" si="12"/>
        <v>4582.2188536291214</v>
      </c>
      <c r="K25" s="290">
        <f>SUM(K7:K18)</f>
        <v>234388.61897601601</v>
      </c>
      <c r="L25" s="288">
        <f t="shared" ref="L25:S25" si="13">SUM(L7:L18)</f>
        <v>192095.83853176911</v>
      </c>
      <c r="M25" s="289">
        <f t="shared" si="13"/>
        <v>42292.780444246906</v>
      </c>
      <c r="N25" s="290">
        <f t="shared" si="13"/>
        <v>20273.210442</v>
      </c>
      <c r="O25" s="288">
        <f t="shared" si="13"/>
        <v>14528.349849450398</v>
      </c>
      <c r="P25" s="289">
        <f t="shared" si="13"/>
        <v>5744.8605925496022</v>
      </c>
      <c r="Q25" s="291">
        <f t="shared" si="13"/>
        <v>677.644775195889</v>
      </c>
      <c r="R25" s="291">
        <f t="shared" si="13"/>
        <v>189.8144250662038</v>
      </c>
      <c r="S25" s="290">
        <f t="shared" si="13"/>
        <v>48905.100237058592</v>
      </c>
    </row>
    <row r="26" spans="1:23" ht="8.1" customHeight="1"/>
    <row r="27" spans="1:23" ht="12.95" customHeight="1">
      <c r="A27" s="616" t="s">
        <v>300</v>
      </c>
      <c r="B27" s="616"/>
      <c r="C27" s="616"/>
      <c r="D27" s="616"/>
      <c r="E27" s="616"/>
      <c r="F27" s="616"/>
      <c r="G27" s="616"/>
      <c r="H27" s="616"/>
      <c r="I27" s="616"/>
      <c r="J27" s="167"/>
      <c r="K27" s="616" t="s">
        <v>301</v>
      </c>
      <c r="L27" s="616"/>
      <c r="M27" s="616"/>
      <c r="N27" s="616"/>
      <c r="O27" s="616"/>
      <c r="P27" s="616"/>
      <c r="Q27" s="616"/>
      <c r="R27" s="616"/>
      <c r="S27" s="616"/>
    </row>
    <row r="28" spans="1:23" ht="8.1" customHeight="1">
      <c r="D28" s="228"/>
      <c r="E28" s="229" t="s">
        <v>313</v>
      </c>
      <c r="F28" s="229" t="s">
        <v>314</v>
      </c>
      <c r="G28" s="83"/>
      <c r="H28" s="83"/>
      <c r="L28" s="83"/>
      <c r="M28" s="229"/>
      <c r="N28" s="229" t="s">
        <v>315</v>
      </c>
      <c r="O28" s="228" t="s">
        <v>316</v>
      </c>
    </row>
    <row r="29" spans="1:23" ht="8.1" customHeight="1">
      <c r="D29" s="228" t="str">
        <f>A7</f>
        <v>Leden</v>
      </c>
      <c r="E29" s="229">
        <f>B7</f>
        <v>3953.8865949906567</v>
      </c>
      <c r="F29" s="229">
        <f>C7*-1</f>
        <v>-3516.6692237756142</v>
      </c>
      <c r="G29" s="83"/>
      <c r="L29" s="83"/>
      <c r="M29" s="229" t="str">
        <f>A7</f>
        <v>Leden</v>
      </c>
      <c r="N29" s="229">
        <f>E7</f>
        <v>767.78891500000009</v>
      </c>
      <c r="O29" s="229">
        <f>F7*-1</f>
        <v>-6.014875</v>
      </c>
    </row>
    <row r="30" spans="1:23" ht="8.1" customHeight="1">
      <c r="D30" s="228" t="str">
        <f t="shared" ref="D30:D40" si="14">A8</f>
        <v>Únor</v>
      </c>
      <c r="E30" s="229">
        <f t="shared" ref="E30:E40" si="15">B8</f>
        <v>3589.3981260973706</v>
      </c>
      <c r="F30" s="229">
        <f t="shared" ref="F30:F40" si="16">C8*-1</f>
        <v>-3031.6268481559036</v>
      </c>
      <c r="G30" s="83"/>
      <c r="L30" s="83"/>
      <c r="M30" s="229" t="str">
        <f t="shared" ref="M30:M40" si="17">A8</f>
        <v>Únor</v>
      </c>
      <c r="N30" s="229">
        <f t="shared" ref="N30:N40" si="18">E8</f>
        <v>420.143348</v>
      </c>
      <c r="O30" s="229">
        <f t="shared" ref="O30:O40" si="19">F8*-1</f>
        <v>-10.880583999999999</v>
      </c>
    </row>
    <row r="31" spans="1:23" ht="8.1" customHeight="1">
      <c r="D31" s="228" t="str">
        <f t="shared" si="14"/>
        <v>Březen</v>
      </c>
      <c r="E31" s="229">
        <f t="shared" si="15"/>
        <v>3721.6796563444259</v>
      </c>
      <c r="F31" s="229">
        <f t="shared" si="16"/>
        <v>-3462.2777269387129</v>
      </c>
      <c r="G31" s="83"/>
      <c r="L31" s="83"/>
      <c r="M31" s="229" t="str">
        <f t="shared" si="17"/>
        <v>Březen</v>
      </c>
      <c r="N31" s="229">
        <f t="shared" si="18"/>
        <v>650.70495800000003</v>
      </c>
      <c r="O31" s="229">
        <f t="shared" si="19"/>
        <v>-8.513103000000001</v>
      </c>
    </row>
    <row r="32" spans="1:23" ht="8.1" customHeight="1">
      <c r="D32" s="228" t="str">
        <f t="shared" si="14"/>
        <v>Duben</v>
      </c>
      <c r="E32" s="229">
        <f t="shared" si="15"/>
        <v>3422.7759458686733</v>
      </c>
      <c r="F32" s="229">
        <f t="shared" si="16"/>
        <v>-2686.7948189524859</v>
      </c>
      <c r="G32" s="83"/>
      <c r="L32" s="83"/>
      <c r="M32" s="229" t="str">
        <f t="shared" si="17"/>
        <v>Duben</v>
      </c>
      <c r="N32" s="229">
        <f t="shared" si="18"/>
        <v>45.360324999999996</v>
      </c>
      <c r="O32" s="229">
        <f t="shared" si="19"/>
        <v>-215.94929799999997</v>
      </c>
    </row>
    <row r="33" spans="4:15" ht="8.1" customHeight="1">
      <c r="D33" s="228" t="str">
        <f t="shared" si="14"/>
        <v>Květen</v>
      </c>
      <c r="E33" s="229">
        <f t="shared" si="15"/>
        <v>3370.9095927522017</v>
      </c>
      <c r="F33" s="229">
        <f t="shared" si="16"/>
        <v>-2341.3211458054911</v>
      </c>
      <c r="G33" s="83"/>
      <c r="L33" s="83"/>
      <c r="M33" s="229" t="str">
        <f t="shared" si="17"/>
        <v>Květen</v>
      </c>
      <c r="N33" s="229">
        <f t="shared" si="18"/>
        <v>6.7985790000000001</v>
      </c>
      <c r="O33" s="229">
        <f t="shared" si="19"/>
        <v>-555.26132770000004</v>
      </c>
    </row>
    <row r="34" spans="4:15" ht="8.1" customHeight="1">
      <c r="D34" s="228" t="str">
        <f t="shared" si="14"/>
        <v>Červen</v>
      </c>
      <c r="E34" s="229">
        <f t="shared" si="15"/>
        <v>3904.1354891306464</v>
      </c>
      <c r="F34" s="229">
        <f t="shared" si="16"/>
        <v>-2955.0008302643373</v>
      </c>
      <c r="G34" s="83"/>
      <c r="L34" s="83"/>
      <c r="M34" s="229" t="str">
        <f t="shared" si="17"/>
        <v>Červen</v>
      </c>
      <c r="N34" s="229">
        <f t="shared" si="18"/>
        <v>10.552137</v>
      </c>
      <c r="O34" s="229">
        <f t="shared" si="19"/>
        <v>-562.24011800000005</v>
      </c>
    </row>
    <row r="35" spans="4:15" ht="8.1" customHeight="1">
      <c r="D35" s="228" t="str">
        <f t="shared" si="14"/>
        <v>Červenec</v>
      </c>
      <c r="E35" s="229">
        <f t="shared" si="15"/>
        <v>0</v>
      </c>
      <c r="F35" s="229">
        <f t="shared" si="16"/>
        <v>0</v>
      </c>
      <c r="G35" s="83"/>
      <c r="L35" s="83"/>
      <c r="M35" s="229" t="str">
        <f t="shared" si="17"/>
        <v>Červenec</v>
      </c>
      <c r="N35" s="229">
        <f t="shared" si="18"/>
        <v>0</v>
      </c>
      <c r="O35" s="229">
        <f t="shared" si="19"/>
        <v>0</v>
      </c>
    </row>
    <row r="36" spans="4:15" ht="8.1" customHeight="1">
      <c r="D36" s="228" t="str">
        <f t="shared" si="14"/>
        <v>Srpen</v>
      </c>
      <c r="E36" s="229">
        <f t="shared" si="15"/>
        <v>0</v>
      </c>
      <c r="F36" s="229">
        <f t="shared" si="16"/>
        <v>0</v>
      </c>
      <c r="G36" s="83"/>
      <c r="L36" s="83"/>
      <c r="M36" s="229" t="str">
        <f t="shared" si="17"/>
        <v>Srpen</v>
      </c>
      <c r="N36" s="229">
        <f t="shared" si="18"/>
        <v>0</v>
      </c>
      <c r="O36" s="229">
        <f t="shared" si="19"/>
        <v>0</v>
      </c>
    </row>
    <row r="37" spans="4:15" ht="8.1" customHeight="1">
      <c r="D37" s="228" t="str">
        <f t="shared" si="14"/>
        <v>Září</v>
      </c>
      <c r="E37" s="229">
        <f t="shared" si="15"/>
        <v>0</v>
      </c>
      <c r="F37" s="229">
        <f t="shared" si="16"/>
        <v>0</v>
      </c>
      <c r="G37" s="83"/>
      <c r="L37" s="83"/>
      <c r="M37" s="229" t="str">
        <f t="shared" si="17"/>
        <v>Září</v>
      </c>
      <c r="N37" s="229">
        <f t="shared" si="18"/>
        <v>0</v>
      </c>
      <c r="O37" s="229">
        <f t="shared" si="19"/>
        <v>0</v>
      </c>
    </row>
    <row r="38" spans="4:15" ht="8.1" customHeight="1">
      <c r="D38" s="228" t="str">
        <f t="shared" si="14"/>
        <v>Říjen</v>
      </c>
      <c r="E38" s="229">
        <f t="shared" si="15"/>
        <v>0</v>
      </c>
      <c r="F38" s="229">
        <f t="shared" si="16"/>
        <v>0</v>
      </c>
      <c r="G38" s="83"/>
      <c r="L38" s="83"/>
      <c r="M38" s="229" t="str">
        <f t="shared" si="17"/>
        <v>Říjen</v>
      </c>
      <c r="N38" s="229">
        <f t="shared" si="18"/>
        <v>0</v>
      </c>
      <c r="O38" s="229">
        <f t="shared" si="19"/>
        <v>0</v>
      </c>
    </row>
    <row r="39" spans="4:15" ht="8.1" customHeight="1">
      <c r="D39" s="228" t="str">
        <f t="shared" si="14"/>
        <v>Listopad</v>
      </c>
      <c r="E39" s="229">
        <f t="shared" si="15"/>
        <v>0</v>
      </c>
      <c r="F39" s="229">
        <f t="shared" si="16"/>
        <v>0</v>
      </c>
      <c r="G39" s="83"/>
      <c r="L39" s="83"/>
      <c r="M39" s="229" t="str">
        <f t="shared" si="17"/>
        <v>Listopad</v>
      </c>
      <c r="N39" s="229">
        <f t="shared" si="18"/>
        <v>0</v>
      </c>
      <c r="O39" s="229">
        <f t="shared" si="19"/>
        <v>0</v>
      </c>
    </row>
    <row r="40" spans="4:15" ht="8.1" customHeight="1">
      <c r="D40" s="228" t="str">
        <f t="shared" si="14"/>
        <v>Prosinec</v>
      </c>
      <c r="E40" s="229">
        <f t="shared" si="15"/>
        <v>0</v>
      </c>
      <c r="F40" s="229">
        <f t="shared" si="16"/>
        <v>0</v>
      </c>
      <c r="M40" s="229" t="str">
        <f t="shared" si="17"/>
        <v>Prosinec</v>
      </c>
      <c r="N40" s="229">
        <f t="shared" si="18"/>
        <v>0</v>
      </c>
      <c r="O40" s="229">
        <f t="shared" si="19"/>
        <v>0</v>
      </c>
    </row>
    <row r="41" spans="4:15" ht="12" customHeight="1">
      <c r="M41" s="83"/>
    </row>
    <row r="42" spans="4:15" ht="12" customHeight="1"/>
    <row r="43" spans="4:15" ht="12" customHeight="1"/>
    <row r="44" spans="4:15" ht="12" customHeight="1"/>
  </sheetData>
  <mergeCells count="17"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V45"/>
  <sheetViews>
    <sheetView showGridLines="0" zoomScaleNormal="100" zoomScaleSheetLayoutView="100" workbookViewId="0">
      <selection activeCell="A3" sqref="A3"/>
    </sheetView>
  </sheetViews>
  <sheetFormatPr defaultRowHeight="11.25"/>
  <cols>
    <col min="1" max="1" width="8.28515625" style="81" customWidth="1"/>
    <col min="2" max="3" width="7.7109375" style="81" customWidth="1"/>
    <col min="4" max="4" width="7.28515625" style="81" customWidth="1"/>
    <col min="5" max="6" width="7.7109375" style="81" customWidth="1"/>
    <col min="7" max="7" width="7.42578125" style="81" customWidth="1"/>
    <col min="8" max="13" width="7.7109375" style="81" customWidth="1"/>
    <col min="14" max="17" width="6.28515625" style="81" customWidth="1"/>
    <col min="18" max="18" width="7.28515625" style="81" customWidth="1"/>
    <col min="19" max="20" width="5.7109375" style="81" customWidth="1"/>
    <col min="21" max="259" width="9.140625" style="81"/>
    <col min="260" max="272" width="10.7109375" style="81" customWidth="1"/>
    <col min="273" max="515" width="9.140625" style="81"/>
    <col min="516" max="528" width="10.7109375" style="81" customWidth="1"/>
    <col min="529" max="771" width="9.140625" style="81"/>
    <col min="772" max="784" width="10.7109375" style="81" customWidth="1"/>
    <col min="785" max="1027" width="9.140625" style="81"/>
    <col min="1028" max="1040" width="10.7109375" style="81" customWidth="1"/>
    <col min="1041" max="1283" width="9.140625" style="81"/>
    <col min="1284" max="1296" width="10.7109375" style="81" customWidth="1"/>
    <col min="1297" max="1539" width="9.140625" style="81"/>
    <col min="1540" max="1552" width="10.7109375" style="81" customWidth="1"/>
    <col min="1553" max="1795" width="9.140625" style="81"/>
    <col min="1796" max="1808" width="10.7109375" style="81" customWidth="1"/>
    <col min="1809" max="2051" width="9.140625" style="81"/>
    <col min="2052" max="2064" width="10.7109375" style="81" customWidth="1"/>
    <col min="2065" max="2307" width="9.140625" style="81"/>
    <col min="2308" max="2320" width="10.7109375" style="81" customWidth="1"/>
    <col min="2321" max="2563" width="9.140625" style="81"/>
    <col min="2564" max="2576" width="10.7109375" style="81" customWidth="1"/>
    <col min="2577" max="2819" width="9.140625" style="81"/>
    <col min="2820" max="2832" width="10.7109375" style="81" customWidth="1"/>
    <col min="2833" max="3075" width="9.140625" style="81"/>
    <col min="3076" max="3088" width="10.7109375" style="81" customWidth="1"/>
    <col min="3089" max="3331" width="9.140625" style="81"/>
    <col min="3332" max="3344" width="10.7109375" style="81" customWidth="1"/>
    <col min="3345" max="3587" width="9.140625" style="81"/>
    <col min="3588" max="3600" width="10.7109375" style="81" customWidth="1"/>
    <col min="3601" max="3843" width="9.140625" style="81"/>
    <col min="3844" max="3856" width="10.7109375" style="81" customWidth="1"/>
    <col min="3857" max="4099" width="9.140625" style="81"/>
    <col min="4100" max="4112" width="10.7109375" style="81" customWidth="1"/>
    <col min="4113" max="4355" width="9.140625" style="81"/>
    <col min="4356" max="4368" width="10.7109375" style="81" customWidth="1"/>
    <col min="4369" max="4611" width="9.140625" style="81"/>
    <col min="4612" max="4624" width="10.7109375" style="81" customWidth="1"/>
    <col min="4625" max="4867" width="9.140625" style="81"/>
    <col min="4868" max="4880" width="10.7109375" style="81" customWidth="1"/>
    <col min="4881" max="5123" width="9.140625" style="81"/>
    <col min="5124" max="5136" width="10.7109375" style="81" customWidth="1"/>
    <col min="5137" max="5379" width="9.140625" style="81"/>
    <col min="5380" max="5392" width="10.7109375" style="81" customWidth="1"/>
    <col min="5393" max="5635" width="9.140625" style="81"/>
    <col min="5636" max="5648" width="10.7109375" style="81" customWidth="1"/>
    <col min="5649" max="5891" width="9.140625" style="81"/>
    <col min="5892" max="5904" width="10.7109375" style="81" customWidth="1"/>
    <col min="5905" max="6147" width="9.140625" style="81"/>
    <col min="6148" max="6160" width="10.7109375" style="81" customWidth="1"/>
    <col min="6161" max="6403" width="9.140625" style="81"/>
    <col min="6404" max="6416" width="10.7109375" style="81" customWidth="1"/>
    <col min="6417" max="6659" width="9.140625" style="81"/>
    <col min="6660" max="6672" width="10.7109375" style="81" customWidth="1"/>
    <col min="6673" max="6915" width="9.140625" style="81"/>
    <col min="6916" max="6928" width="10.7109375" style="81" customWidth="1"/>
    <col min="6929" max="7171" width="9.140625" style="81"/>
    <col min="7172" max="7184" width="10.7109375" style="81" customWidth="1"/>
    <col min="7185" max="7427" width="9.140625" style="81"/>
    <col min="7428" max="7440" width="10.7109375" style="81" customWidth="1"/>
    <col min="7441" max="7683" width="9.140625" style="81"/>
    <col min="7684" max="7696" width="10.7109375" style="81" customWidth="1"/>
    <col min="7697" max="7939" width="9.140625" style="81"/>
    <col min="7940" max="7952" width="10.7109375" style="81" customWidth="1"/>
    <col min="7953" max="8195" width="9.140625" style="81"/>
    <col min="8196" max="8208" width="10.7109375" style="81" customWidth="1"/>
    <col min="8209" max="8451" width="9.140625" style="81"/>
    <col min="8452" max="8464" width="10.7109375" style="81" customWidth="1"/>
    <col min="8465" max="8707" width="9.140625" style="81"/>
    <col min="8708" max="8720" width="10.7109375" style="81" customWidth="1"/>
    <col min="8721" max="8963" width="9.140625" style="81"/>
    <col min="8964" max="8976" width="10.7109375" style="81" customWidth="1"/>
    <col min="8977" max="9219" width="9.140625" style="81"/>
    <col min="9220" max="9232" width="10.7109375" style="81" customWidth="1"/>
    <col min="9233" max="9475" width="9.140625" style="81"/>
    <col min="9476" max="9488" width="10.7109375" style="81" customWidth="1"/>
    <col min="9489" max="9731" width="9.140625" style="81"/>
    <col min="9732" max="9744" width="10.7109375" style="81" customWidth="1"/>
    <col min="9745" max="9987" width="9.140625" style="81"/>
    <col min="9988" max="10000" width="10.7109375" style="81" customWidth="1"/>
    <col min="10001" max="10243" width="9.140625" style="81"/>
    <col min="10244" max="10256" width="10.7109375" style="81" customWidth="1"/>
    <col min="10257" max="10499" width="9.140625" style="81"/>
    <col min="10500" max="10512" width="10.7109375" style="81" customWidth="1"/>
    <col min="10513" max="10755" width="9.140625" style="81"/>
    <col min="10756" max="10768" width="10.7109375" style="81" customWidth="1"/>
    <col min="10769" max="11011" width="9.140625" style="81"/>
    <col min="11012" max="11024" width="10.7109375" style="81" customWidth="1"/>
    <col min="11025" max="11267" width="9.140625" style="81"/>
    <col min="11268" max="11280" width="10.7109375" style="81" customWidth="1"/>
    <col min="11281" max="11523" width="9.140625" style="81"/>
    <col min="11524" max="11536" width="10.7109375" style="81" customWidth="1"/>
    <col min="11537" max="11779" width="9.140625" style="81"/>
    <col min="11780" max="11792" width="10.7109375" style="81" customWidth="1"/>
    <col min="11793" max="12035" width="9.140625" style="81"/>
    <col min="12036" max="12048" width="10.7109375" style="81" customWidth="1"/>
    <col min="12049" max="12291" width="9.140625" style="81"/>
    <col min="12292" max="12304" width="10.7109375" style="81" customWidth="1"/>
    <col min="12305" max="12547" width="9.140625" style="81"/>
    <col min="12548" max="12560" width="10.7109375" style="81" customWidth="1"/>
    <col min="12561" max="12803" width="9.140625" style="81"/>
    <col min="12804" max="12816" width="10.7109375" style="81" customWidth="1"/>
    <col min="12817" max="13059" width="9.140625" style="81"/>
    <col min="13060" max="13072" width="10.7109375" style="81" customWidth="1"/>
    <col min="13073" max="13315" width="9.140625" style="81"/>
    <col min="13316" max="13328" width="10.7109375" style="81" customWidth="1"/>
    <col min="13329" max="13571" width="9.140625" style="81"/>
    <col min="13572" max="13584" width="10.7109375" style="81" customWidth="1"/>
    <col min="13585" max="13827" width="9.140625" style="81"/>
    <col min="13828" max="13840" width="10.7109375" style="81" customWidth="1"/>
    <col min="13841" max="14083" width="9.140625" style="81"/>
    <col min="14084" max="14096" width="10.7109375" style="81" customWidth="1"/>
    <col min="14097" max="14339" width="9.140625" style="81"/>
    <col min="14340" max="14352" width="10.7109375" style="81" customWidth="1"/>
    <col min="14353" max="14595" width="9.140625" style="81"/>
    <col min="14596" max="14608" width="10.7109375" style="81" customWidth="1"/>
    <col min="14609" max="14851" width="9.140625" style="81"/>
    <col min="14852" max="14864" width="10.7109375" style="81" customWidth="1"/>
    <col min="14865" max="15107" width="9.140625" style="81"/>
    <col min="15108" max="15120" width="10.7109375" style="81" customWidth="1"/>
    <col min="15121" max="15363" width="9.140625" style="81"/>
    <col min="15364" max="15376" width="10.7109375" style="81" customWidth="1"/>
    <col min="15377" max="15619" width="9.140625" style="81"/>
    <col min="15620" max="15632" width="10.7109375" style="81" customWidth="1"/>
    <col min="15633" max="15875" width="9.140625" style="81"/>
    <col min="15876" max="15888" width="10.7109375" style="81" customWidth="1"/>
    <col min="15889" max="16131" width="9.140625" style="81"/>
    <col min="16132" max="16144" width="10.7109375" style="81" customWidth="1"/>
    <col min="16145" max="16384" width="9.140625" style="81"/>
  </cols>
  <sheetData>
    <row r="1" spans="1:22" ht="18.75">
      <c r="A1" s="16" t="s">
        <v>139</v>
      </c>
    </row>
    <row r="2" spans="1:22" ht="15.75">
      <c r="A2" s="80" t="s">
        <v>138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2" ht="6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225"/>
      <c r="M3" s="225"/>
      <c r="N3" s="225"/>
      <c r="O3" s="225"/>
      <c r="P3" s="225"/>
      <c r="Q3" s="225"/>
      <c r="R3" s="225"/>
      <c r="S3" s="227"/>
      <c r="T3" s="227"/>
    </row>
    <row r="4" spans="1:22" ht="15.95" customHeight="1">
      <c r="A4" s="622">
        <v>2020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  <c r="S4" s="622"/>
      <c r="T4" s="622"/>
    </row>
    <row r="5" spans="1:22" ht="15.95" customHeight="1">
      <c r="A5" s="514"/>
      <c r="B5" s="631" t="s">
        <v>290</v>
      </c>
      <c r="C5" s="630"/>
      <c r="D5" s="630"/>
      <c r="E5" s="630"/>
      <c r="F5" s="630"/>
      <c r="G5" s="630"/>
      <c r="H5" s="632"/>
      <c r="I5" s="630" t="s">
        <v>291</v>
      </c>
      <c r="J5" s="630"/>
      <c r="K5" s="630"/>
      <c r="L5" s="630"/>
      <c r="M5" s="630"/>
      <c r="N5" s="631" t="s">
        <v>292</v>
      </c>
      <c r="O5" s="630"/>
      <c r="P5" s="630"/>
      <c r="Q5" s="630"/>
      <c r="R5" s="632"/>
      <c r="S5" s="294" t="s">
        <v>293</v>
      </c>
      <c r="T5" s="294" t="s">
        <v>291</v>
      </c>
    </row>
    <row r="6" spans="1:22" ht="38.25" customHeight="1">
      <c r="A6" s="399"/>
      <c r="B6" s="610" t="s">
        <v>213</v>
      </c>
      <c r="C6" s="610"/>
      <c r="D6" s="610"/>
      <c r="E6" s="624" t="s">
        <v>214</v>
      </c>
      <c r="F6" s="625"/>
      <c r="G6" s="626"/>
      <c r="H6" s="396" t="s">
        <v>210</v>
      </c>
      <c r="I6" s="625" t="s">
        <v>213</v>
      </c>
      <c r="J6" s="626"/>
      <c r="K6" s="624" t="s">
        <v>214</v>
      </c>
      <c r="L6" s="626"/>
      <c r="M6" s="398" t="s">
        <v>210</v>
      </c>
      <c r="N6" s="624" t="s">
        <v>211</v>
      </c>
      <c r="O6" s="625"/>
      <c r="P6" s="625"/>
      <c r="Q6" s="625"/>
      <c r="R6" s="626"/>
      <c r="S6" s="627" t="s">
        <v>212</v>
      </c>
      <c r="T6" s="628"/>
    </row>
    <row r="7" spans="1:22" ht="22.5">
      <c r="A7" s="506" t="s">
        <v>225</v>
      </c>
      <c r="B7" s="297">
        <f>A4</f>
        <v>2020</v>
      </c>
      <c r="C7" s="296">
        <f>B7-1</f>
        <v>2019</v>
      </c>
      <c r="D7" s="397" t="s">
        <v>240</v>
      </c>
      <c r="E7" s="297">
        <f>B7</f>
        <v>2020</v>
      </c>
      <c r="F7" s="296">
        <f>C7</f>
        <v>2019</v>
      </c>
      <c r="G7" s="397" t="s">
        <v>240</v>
      </c>
      <c r="H7" s="525">
        <f>B7</f>
        <v>2020</v>
      </c>
      <c r="I7" s="295">
        <f>B7</f>
        <v>2020</v>
      </c>
      <c r="J7" s="296">
        <f>C7</f>
        <v>2019</v>
      </c>
      <c r="K7" s="297">
        <f>B7</f>
        <v>2020</v>
      </c>
      <c r="L7" s="296">
        <f>C7</f>
        <v>2019</v>
      </c>
      <c r="M7" s="297">
        <f>B7</f>
        <v>2020</v>
      </c>
      <c r="N7" s="533" t="s">
        <v>74</v>
      </c>
      <c r="O7" s="298" t="s">
        <v>241</v>
      </c>
      <c r="P7" s="298" t="s">
        <v>242</v>
      </c>
      <c r="Q7" s="298" t="s">
        <v>169</v>
      </c>
      <c r="R7" s="534" t="s">
        <v>171</v>
      </c>
      <c r="S7" s="629"/>
      <c r="T7" s="629"/>
    </row>
    <row r="8" spans="1:22" ht="12" customHeight="1">
      <c r="A8" s="507" t="s">
        <v>227</v>
      </c>
      <c r="B8" s="515">
        <v>1216.7322796016583</v>
      </c>
      <c r="C8" s="69">
        <v>1283.8187262119516</v>
      </c>
      <c r="D8" s="70">
        <v>-5.225538874030853E-2</v>
      </c>
      <c r="E8" s="55">
        <v>1271.0979736947015</v>
      </c>
      <c r="F8" s="71">
        <v>1298.2524019397456</v>
      </c>
      <c r="G8" s="70">
        <v>-2.0916139422867297E-2</v>
      </c>
      <c r="H8" s="56">
        <v>1300</v>
      </c>
      <c r="I8" s="55">
        <v>12975.854838661588</v>
      </c>
      <c r="J8" s="71">
        <v>13725.126524848998</v>
      </c>
      <c r="K8" s="55">
        <v>13555.638383966527</v>
      </c>
      <c r="L8" s="69">
        <v>13879.434934235689</v>
      </c>
      <c r="M8" s="518">
        <v>13860</v>
      </c>
      <c r="N8" s="515">
        <v>0.39032258064516134</v>
      </c>
      <c r="O8" s="53">
        <v>8.5</v>
      </c>
      <c r="P8" s="53">
        <v>-2.5</v>
      </c>
      <c r="Q8" s="53">
        <v>-1.2258064516129035</v>
      </c>
      <c r="R8" s="535">
        <v>1.6161290322580648</v>
      </c>
      <c r="S8" s="72">
        <v>102.48025830274823</v>
      </c>
      <c r="T8" s="419">
        <v>1092.9019689999989</v>
      </c>
      <c r="U8" s="223"/>
      <c r="V8" s="221"/>
    </row>
    <row r="9" spans="1:22" ht="12" customHeight="1">
      <c r="A9" s="508" t="s">
        <v>228</v>
      </c>
      <c r="B9" s="515">
        <v>975.54125699611575</v>
      </c>
      <c r="C9" s="73">
        <v>1003.4430091398486</v>
      </c>
      <c r="D9" s="74">
        <v>-2.7806015777268978E-2</v>
      </c>
      <c r="E9" s="55">
        <v>1101.6918661298514</v>
      </c>
      <c r="F9" s="73">
        <v>1086.2279787313216</v>
      </c>
      <c r="G9" s="74">
        <v>1.4236318435280122E-2</v>
      </c>
      <c r="H9" s="58">
        <v>1100</v>
      </c>
      <c r="I9" s="55">
        <v>10404.805701641</v>
      </c>
      <c r="J9" s="73">
        <v>10719.004727805801</v>
      </c>
      <c r="K9" s="55">
        <v>11750.287061621457</v>
      </c>
      <c r="L9" s="75">
        <v>11603.332459784237</v>
      </c>
      <c r="M9" s="515">
        <v>11730</v>
      </c>
      <c r="N9" s="416">
        <v>3.9928571428571429</v>
      </c>
      <c r="O9" s="55">
        <v>9.8000000000000007</v>
      </c>
      <c r="P9" s="55">
        <v>-0.2</v>
      </c>
      <c r="Q9" s="55">
        <v>-0.15517241379310354</v>
      </c>
      <c r="R9" s="536">
        <v>4.1480295566502461</v>
      </c>
      <c r="S9" s="72">
        <v>86.375871264023843</v>
      </c>
      <c r="T9" s="72">
        <v>921.25693799999988</v>
      </c>
      <c r="U9" s="223"/>
      <c r="V9" s="221"/>
    </row>
    <row r="10" spans="1:22" ht="12" customHeight="1">
      <c r="A10" s="509" t="s">
        <v>229</v>
      </c>
      <c r="B10" s="516">
        <v>919.13700933084067</v>
      </c>
      <c r="C10" s="76">
        <v>844.29823052045367</v>
      </c>
      <c r="D10" s="77">
        <v>8.8640217526280818E-2</v>
      </c>
      <c r="E10" s="61">
        <v>941.55439681020118</v>
      </c>
      <c r="F10" s="76">
        <v>939.07502800790348</v>
      </c>
      <c r="G10" s="77">
        <v>2.6402243999153947E-3</v>
      </c>
      <c r="H10" s="62">
        <v>960</v>
      </c>
      <c r="I10" s="59">
        <v>9804.5446436840011</v>
      </c>
      <c r="J10" s="76">
        <v>9009.5960941619996</v>
      </c>
      <c r="K10" s="61">
        <v>10043.673602810746</v>
      </c>
      <c r="L10" s="78">
        <v>10020.969366771771</v>
      </c>
      <c r="M10" s="516">
        <v>10230</v>
      </c>
      <c r="N10" s="61">
        <v>4.1483870967741927</v>
      </c>
      <c r="O10" s="59">
        <v>10.1</v>
      </c>
      <c r="P10" s="59">
        <v>-2.2999999999999998</v>
      </c>
      <c r="Q10" s="59">
        <v>3.512903225806451</v>
      </c>
      <c r="R10" s="537">
        <v>0.63548387096774173</v>
      </c>
      <c r="S10" s="79">
        <v>73.632769869154174</v>
      </c>
      <c r="T10" s="79">
        <v>785.44976300000019</v>
      </c>
      <c r="U10" s="223"/>
      <c r="V10" s="221"/>
    </row>
    <row r="11" spans="1:22" ht="12" customHeight="1">
      <c r="A11" s="507" t="s">
        <v>230</v>
      </c>
      <c r="B11" s="515">
        <v>574.97798965047207</v>
      </c>
      <c r="C11" s="71">
        <v>601.12565652337571</v>
      </c>
      <c r="D11" s="70">
        <v>-4.3497838744946081E-2</v>
      </c>
      <c r="E11" s="55">
        <v>600.75621979039772</v>
      </c>
      <c r="F11" s="71">
        <v>666.6716135742297</v>
      </c>
      <c r="G11" s="70">
        <v>-9.8872357007131983E-2</v>
      </c>
      <c r="H11" s="56">
        <v>650</v>
      </c>
      <c r="I11" s="55">
        <v>6139.293744519</v>
      </c>
      <c r="J11" s="71">
        <v>6418.2386343589988</v>
      </c>
      <c r="K11" s="55">
        <v>6414.5392841596095</v>
      </c>
      <c r="L11" s="69">
        <v>7118.0749985276725</v>
      </c>
      <c r="M11" s="518">
        <v>6930</v>
      </c>
      <c r="N11" s="515">
        <v>9.4466666666666654</v>
      </c>
      <c r="O11" s="53">
        <v>15.4</v>
      </c>
      <c r="P11" s="53">
        <v>0.1</v>
      </c>
      <c r="Q11" s="53">
        <v>8.6366666666666667</v>
      </c>
      <c r="R11" s="535">
        <v>0.80999999999999872</v>
      </c>
      <c r="S11" s="72">
        <v>59.089460217498946</v>
      </c>
      <c r="T11" s="419">
        <v>630.9243369999997</v>
      </c>
      <c r="U11" s="223"/>
      <c r="V11" s="221"/>
    </row>
    <row r="12" spans="1:22" ht="12" customHeight="1">
      <c r="A12" s="508" t="s">
        <v>231</v>
      </c>
      <c r="B12" s="515">
        <v>492.34544307306646</v>
      </c>
      <c r="C12" s="73">
        <v>557.35366615377075</v>
      </c>
      <c r="D12" s="74">
        <v>-0.11663729338916537</v>
      </c>
      <c r="E12" s="55">
        <v>446.34197489009364</v>
      </c>
      <c r="F12" s="73">
        <v>518.59539246659335</v>
      </c>
      <c r="G12" s="74">
        <v>-0.13932522082936574</v>
      </c>
      <c r="H12" s="58">
        <v>510</v>
      </c>
      <c r="I12" s="55">
        <v>5259.1176676349978</v>
      </c>
      <c r="J12" s="73">
        <v>5934.9449175539676</v>
      </c>
      <c r="K12" s="55">
        <v>4767.7194924361829</v>
      </c>
      <c r="L12" s="75">
        <v>5522.2299155691853</v>
      </c>
      <c r="M12" s="515">
        <v>5440</v>
      </c>
      <c r="N12" s="416">
        <v>11.2</v>
      </c>
      <c r="O12" s="55">
        <v>17.600000000000001</v>
      </c>
      <c r="P12" s="55">
        <v>5.0999999999999996</v>
      </c>
      <c r="Q12" s="55">
        <v>13.522580645161288</v>
      </c>
      <c r="R12" s="536">
        <v>-2.3225806451612883</v>
      </c>
      <c r="S12" s="72">
        <v>70.033913499050826</v>
      </c>
      <c r="T12" s="72">
        <v>748.08637799999929</v>
      </c>
      <c r="U12" s="223"/>
      <c r="V12" s="221"/>
    </row>
    <row r="13" spans="1:22" ht="12" customHeight="1">
      <c r="A13" s="509" t="s">
        <v>232</v>
      </c>
      <c r="B13" s="516">
        <v>403.50894853967435</v>
      </c>
      <c r="C13" s="76">
        <v>377.60071616259239</v>
      </c>
      <c r="D13" s="77">
        <v>6.8612773408846084E-2</v>
      </c>
      <c r="E13" s="61">
        <v>403.58857910906676</v>
      </c>
      <c r="F13" s="76">
        <v>391.55769521177342</v>
      </c>
      <c r="G13" s="77">
        <v>3.0725699033411793E-2</v>
      </c>
      <c r="H13" s="62">
        <v>380</v>
      </c>
      <c r="I13" s="59">
        <v>4321.7041599100003</v>
      </c>
      <c r="J13" s="76">
        <v>4027.4042644119922</v>
      </c>
      <c r="K13" s="61">
        <v>4322.5570276450144</v>
      </c>
      <c r="L13" s="78">
        <v>4176.2662621121681</v>
      </c>
      <c r="M13" s="516">
        <v>4050</v>
      </c>
      <c r="N13" s="61">
        <v>16.643333333333331</v>
      </c>
      <c r="O13" s="59">
        <v>21.9</v>
      </c>
      <c r="P13" s="59">
        <v>13</v>
      </c>
      <c r="Q13" s="59">
        <v>16.59</v>
      </c>
      <c r="R13" s="537">
        <v>5.3333333333331012E-2</v>
      </c>
      <c r="S13" s="79">
        <v>91.227016631965441</v>
      </c>
      <c r="T13" s="79">
        <v>977.07557500000087</v>
      </c>
      <c r="U13" s="223"/>
      <c r="V13" s="221"/>
    </row>
    <row r="14" spans="1:22" ht="12" customHeight="1">
      <c r="A14" s="507" t="s">
        <v>233</v>
      </c>
      <c r="B14" s="515"/>
      <c r="C14" s="71"/>
      <c r="D14" s="70"/>
      <c r="E14" s="55"/>
      <c r="F14" s="71"/>
      <c r="G14" s="70"/>
      <c r="H14" s="56">
        <v>350</v>
      </c>
      <c r="I14" s="55"/>
      <c r="J14" s="71"/>
      <c r="K14" s="55"/>
      <c r="L14" s="69"/>
      <c r="M14" s="518">
        <v>3730</v>
      </c>
      <c r="N14" s="515"/>
      <c r="O14" s="53"/>
      <c r="P14" s="53"/>
      <c r="Q14" s="53">
        <v>18.522580645161291</v>
      </c>
      <c r="R14" s="535"/>
      <c r="S14" s="72"/>
      <c r="T14" s="419"/>
      <c r="U14" s="223"/>
      <c r="V14" s="221"/>
    </row>
    <row r="15" spans="1:22" ht="12" customHeight="1">
      <c r="A15" s="508" t="s">
        <v>234</v>
      </c>
      <c r="B15" s="515"/>
      <c r="C15" s="73"/>
      <c r="D15" s="74"/>
      <c r="E15" s="55"/>
      <c r="F15" s="73"/>
      <c r="G15" s="74"/>
      <c r="H15" s="58">
        <v>370</v>
      </c>
      <c r="I15" s="55"/>
      <c r="J15" s="73"/>
      <c r="K15" s="55"/>
      <c r="L15" s="75"/>
      <c r="M15" s="515">
        <v>3940</v>
      </c>
      <c r="N15" s="416"/>
      <c r="O15" s="55"/>
      <c r="P15" s="55"/>
      <c r="Q15" s="55">
        <v>18.119354838709679</v>
      </c>
      <c r="R15" s="536"/>
      <c r="S15" s="72"/>
      <c r="T15" s="72"/>
      <c r="U15" s="223"/>
      <c r="V15" s="221"/>
    </row>
    <row r="16" spans="1:22" ht="12" customHeight="1">
      <c r="A16" s="509" t="s">
        <v>235</v>
      </c>
      <c r="B16" s="516"/>
      <c r="C16" s="76"/>
      <c r="D16" s="77"/>
      <c r="E16" s="61"/>
      <c r="F16" s="76"/>
      <c r="G16" s="77"/>
      <c r="H16" s="62">
        <v>480</v>
      </c>
      <c r="I16" s="59"/>
      <c r="J16" s="76"/>
      <c r="K16" s="61"/>
      <c r="L16" s="78"/>
      <c r="M16" s="516">
        <v>5120</v>
      </c>
      <c r="N16" s="61"/>
      <c r="O16" s="59"/>
      <c r="P16" s="59"/>
      <c r="Q16" s="59">
        <v>13.223333333333333</v>
      </c>
      <c r="R16" s="537"/>
      <c r="S16" s="79"/>
      <c r="T16" s="79"/>
      <c r="U16" s="223"/>
      <c r="V16" s="221"/>
    </row>
    <row r="17" spans="1:22" ht="12" customHeight="1">
      <c r="A17" s="507" t="s">
        <v>236</v>
      </c>
      <c r="B17" s="515"/>
      <c r="C17" s="71"/>
      <c r="D17" s="70"/>
      <c r="E17" s="55"/>
      <c r="F17" s="71"/>
      <c r="G17" s="70"/>
      <c r="H17" s="56">
        <v>770</v>
      </c>
      <c r="I17" s="55"/>
      <c r="J17" s="71"/>
      <c r="K17" s="55"/>
      <c r="L17" s="69"/>
      <c r="M17" s="518">
        <v>8210</v>
      </c>
      <c r="N17" s="515"/>
      <c r="O17" s="53"/>
      <c r="P17" s="53"/>
      <c r="Q17" s="53">
        <v>8.3548387096774199</v>
      </c>
      <c r="R17" s="535"/>
      <c r="S17" s="72"/>
      <c r="T17" s="419"/>
      <c r="U17" s="223"/>
      <c r="V17" s="221"/>
    </row>
    <row r="18" spans="1:22" ht="12" customHeight="1">
      <c r="A18" s="508" t="s">
        <v>237</v>
      </c>
      <c r="B18" s="515"/>
      <c r="C18" s="73"/>
      <c r="D18" s="74"/>
      <c r="E18" s="55"/>
      <c r="F18" s="73"/>
      <c r="G18" s="74"/>
      <c r="H18" s="58">
        <v>1000</v>
      </c>
      <c r="I18" s="55"/>
      <c r="J18" s="73"/>
      <c r="K18" s="55"/>
      <c r="L18" s="75"/>
      <c r="M18" s="515">
        <v>10660</v>
      </c>
      <c r="N18" s="416"/>
      <c r="O18" s="55"/>
      <c r="P18" s="55"/>
      <c r="Q18" s="55">
        <v>3.5466666666666664</v>
      </c>
      <c r="R18" s="536"/>
      <c r="S18" s="72"/>
      <c r="T18" s="72"/>
      <c r="U18" s="223"/>
      <c r="V18" s="221"/>
    </row>
    <row r="19" spans="1:22" ht="12" customHeight="1">
      <c r="A19" s="509" t="s">
        <v>238</v>
      </c>
      <c r="B19" s="516"/>
      <c r="C19" s="76"/>
      <c r="D19" s="77"/>
      <c r="E19" s="61"/>
      <c r="F19" s="76"/>
      <c r="G19" s="77"/>
      <c r="H19" s="62">
        <v>1160</v>
      </c>
      <c r="I19" s="59"/>
      <c r="J19" s="76"/>
      <c r="K19" s="61"/>
      <c r="L19" s="78"/>
      <c r="M19" s="516">
        <v>12360</v>
      </c>
      <c r="N19" s="61"/>
      <c r="O19" s="59"/>
      <c r="P19" s="59"/>
      <c r="Q19" s="59">
        <v>-0.38387096774193558</v>
      </c>
      <c r="R19" s="537"/>
      <c r="S19" s="79"/>
      <c r="T19" s="79"/>
      <c r="U19" s="223"/>
      <c r="V19" s="221"/>
    </row>
    <row r="20" spans="1:22" ht="12" customHeight="1">
      <c r="A20" s="510" t="s">
        <v>54</v>
      </c>
      <c r="B20" s="520">
        <f>SUM(B8:B10)</f>
        <v>3111.4105459286147</v>
      </c>
      <c r="C20" s="345">
        <f>SUM(C8:C10)</f>
        <v>3131.559965872254</v>
      </c>
      <c r="D20" s="344">
        <f t="shared" ref="D20:D26" si="0">(B20-C20)/C20</f>
        <v>-6.4343075538158849E-3</v>
      </c>
      <c r="E20" s="343">
        <f t="shared" ref="E20:K20" si="1">SUM(E8:E10)</f>
        <v>3314.344236634754</v>
      </c>
      <c r="F20" s="345">
        <f t="shared" si="1"/>
        <v>3323.5554086789707</v>
      </c>
      <c r="G20" s="344">
        <f t="shared" ref="G20:G26" si="2">(E20-F20)/F20</f>
        <v>-2.7714814141997163E-3</v>
      </c>
      <c r="H20" s="526">
        <v>3360</v>
      </c>
      <c r="I20" s="343">
        <f t="shared" si="1"/>
        <v>33185.205183986589</v>
      </c>
      <c r="J20" s="345">
        <f t="shared" si="1"/>
        <v>33453.727346816799</v>
      </c>
      <c r="K20" s="343">
        <f t="shared" si="1"/>
        <v>35349.599048398733</v>
      </c>
      <c r="L20" s="345">
        <f>SUM(L8:L10)</f>
        <v>35503.736760791697</v>
      </c>
      <c r="M20" s="519">
        <f>SUM(M8:M10)</f>
        <v>35820</v>
      </c>
      <c r="N20" s="520">
        <f>AVERAGE(N8:N10)</f>
        <v>2.8438556067588325</v>
      </c>
      <c r="O20" s="343">
        <f>MAX(O8:O10)</f>
        <v>10.1</v>
      </c>
      <c r="P20" s="343">
        <f>MIN(P8:P10)</f>
        <v>-2.5</v>
      </c>
      <c r="Q20" s="343">
        <f>AVERAGE(Q8:Q10)</f>
        <v>0.71064145346681462</v>
      </c>
      <c r="R20" s="345">
        <f>N20-Q20</f>
        <v>2.1332141532920179</v>
      </c>
      <c r="S20" s="343">
        <f>SUM(S8:S11)</f>
        <v>321.57835965342514</v>
      </c>
      <c r="T20" s="420">
        <f t="shared" ref="T20" si="3">SUM(T8:T10)</f>
        <v>2799.6086699999987</v>
      </c>
      <c r="V20" s="221"/>
    </row>
    <row r="21" spans="1:22" ht="12" customHeight="1">
      <c r="A21" s="511" t="s">
        <v>63</v>
      </c>
      <c r="B21" s="520">
        <f>SUM(B11:B13)</f>
        <v>1470.8323812632129</v>
      </c>
      <c r="C21" s="571">
        <f>SUM(C11:C13)</f>
        <v>1536.0800388397388</v>
      </c>
      <c r="D21" s="572">
        <f t="shared" si="0"/>
        <v>-4.2476730330933771E-2</v>
      </c>
      <c r="E21" s="343">
        <f t="shared" ref="E21:K21" si="4">SUM(E11:E13)</f>
        <v>1450.6867737895582</v>
      </c>
      <c r="F21" s="571">
        <f t="shared" si="4"/>
        <v>1576.8247012525967</v>
      </c>
      <c r="G21" s="572">
        <f t="shared" si="2"/>
        <v>-7.9994895667753793E-2</v>
      </c>
      <c r="H21" s="528">
        <v>1540</v>
      </c>
      <c r="I21" s="343">
        <f t="shared" si="4"/>
        <v>15720.115572063998</v>
      </c>
      <c r="J21" s="571">
        <f t="shared" si="4"/>
        <v>16380.58781632496</v>
      </c>
      <c r="K21" s="343">
        <f t="shared" si="4"/>
        <v>15504.815804240807</v>
      </c>
      <c r="L21" s="571">
        <f>SUM(L11:L13)</f>
        <v>16816.571176209025</v>
      </c>
      <c r="M21" s="520">
        <f>SUM(M11:M13)</f>
        <v>16420</v>
      </c>
      <c r="N21" s="520">
        <f>AVERAGE(N11:N13)</f>
        <v>12.429999999999998</v>
      </c>
      <c r="O21" s="343">
        <f>MAX(O11:O13)</f>
        <v>21.9</v>
      </c>
      <c r="P21" s="343">
        <f>MIN(P11:P13)</f>
        <v>0.1</v>
      </c>
      <c r="Q21" s="343">
        <f>AVERAGE(Q11:Q13)</f>
        <v>12.916415770609319</v>
      </c>
      <c r="R21" s="571">
        <f t="shared" ref="R21:R26" si="5">N21-Q21</f>
        <v>-0.48641577060932129</v>
      </c>
      <c r="S21" s="343">
        <f>SUM(S11:S13)</f>
        <v>220.35039034851519</v>
      </c>
      <c r="T21" s="343">
        <f t="shared" ref="T21" si="6">SUM(T11:T13)</f>
        <v>2356.0862899999997</v>
      </c>
      <c r="V21" s="221"/>
    </row>
    <row r="22" spans="1:22" ht="12" customHeight="1">
      <c r="A22" s="511" t="s">
        <v>75</v>
      </c>
      <c r="B22" s="527">
        <f>SUM(B14:B16)</f>
        <v>0</v>
      </c>
      <c r="C22" s="348">
        <f>SUM(C14:C16)</f>
        <v>0</v>
      </c>
      <c r="D22" s="349" t="e">
        <f t="shared" si="0"/>
        <v>#DIV/0!</v>
      </c>
      <c r="E22" s="347">
        <f t="shared" ref="E22:K22" si="7">SUM(E14:E16)</f>
        <v>0</v>
      </c>
      <c r="F22" s="348">
        <f t="shared" si="7"/>
        <v>0</v>
      </c>
      <c r="G22" s="349" t="e">
        <f t="shared" si="2"/>
        <v>#DIV/0!</v>
      </c>
      <c r="H22" s="528">
        <v>1200</v>
      </c>
      <c r="I22" s="347">
        <f t="shared" si="7"/>
        <v>0</v>
      </c>
      <c r="J22" s="348">
        <f t="shared" si="7"/>
        <v>0</v>
      </c>
      <c r="K22" s="347">
        <f t="shared" si="7"/>
        <v>0</v>
      </c>
      <c r="L22" s="348">
        <f>SUM(L14:L16)</f>
        <v>0</v>
      </c>
      <c r="M22" s="520">
        <f>SUM(M14:M16)</f>
        <v>12790</v>
      </c>
      <c r="N22" s="527" t="e">
        <f>AVERAGE(N14:N16)</f>
        <v>#DIV/0!</v>
      </c>
      <c r="O22" s="347">
        <f>MAX(O14:O16)</f>
        <v>0</v>
      </c>
      <c r="P22" s="347">
        <f>MIN(P14:P16)</f>
        <v>0</v>
      </c>
      <c r="Q22" s="343">
        <f>AVERAGE(Q14:Q16)</f>
        <v>16.621756272401431</v>
      </c>
      <c r="R22" s="348" t="e">
        <f>N22-Q22</f>
        <v>#DIV/0!</v>
      </c>
      <c r="S22" s="347">
        <f t="shared" ref="S22:T22" si="8">SUM(S14:S16)</f>
        <v>0</v>
      </c>
      <c r="T22" s="347">
        <f t="shared" si="8"/>
        <v>0</v>
      </c>
      <c r="V22" s="221"/>
    </row>
    <row r="23" spans="1:22" ht="12" customHeight="1">
      <c r="A23" s="512" t="s">
        <v>64</v>
      </c>
      <c r="B23" s="353">
        <f>SUM(B17:B19)</f>
        <v>0</v>
      </c>
      <c r="C23" s="351">
        <f>SUM(C17:C19)</f>
        <v>0</v>
      </c>
      <c r="D23" s="352" t="e">
        <f t="shared" si="0"/>
        <v>#DIV/0!</v>
      </c>
      <c r="E23" s="353">
        <f t="shared" ref="E23:K23" si="9">SUM(E17:E19)</f>
        <v>0</v>
      </c>
      <c r="F23" s="351">
        <f t="shared" si="9"/>
        <v>0</v>
      </c>
      <c r="G23" s="352" t="e">
        <f t="shared" si="2"/>
        <v>#DIV/0!</v>
      </c>
      <c r="H23" s="529">
        <v>2930</v>
      </c>
      <c r="I23" s="350">
        <f t="shared" si="9"/>
        <v>0</v>
      </c>
      <c r="J23" s="351">
        <f t="shared" si="9"/>
        <v>0</v>
      </c>
      <c r="K23" s="353">
        <f t="shared" si="9"/>
        <v>0</v>
      </c>
      <c r="L23" s="351">
        <f>SUM(L17:L19)</f>
        <v>0</v>
      </c>
      <c r="M23" s="521">
        <f>SUM(M17:M19)</f>
        <v>31230</v>
      </c>
      <c r="N23" s="353" t="e">
        <f>AVERAGE(N17:N19)</f>
        <v>#DIV/0!</v>
      </c>
      <c r="O23" s="350">
        <f>MAX(O17:O19)</f>
        <v>0</v>
      </c>
      <c r="P23" s="350">
        <f>MIN(P17:P19)</f>
        <v>0</v>
      </c>
      <c r="Q23" s="395">
        <f>AVERAGE(Q17:Q19)</f>
        <v>3.83921146953405</v>
      </c>
      <c r="R23" s="351" t="e">
        <f t="shared" si="5"/>
        <v>#DIV/0!</v>
      </c>
      <c r="S23" s="350">
        <f t="shared" ref="S23:T23" si="10">SUM(S17:S19)</f>
        <v>0</v>
      </c>
      <c r="T23" s="350">
        <f t="shared" si="10"/>
        <v>0</v>
      </c>
      <c r="V23" s="221"/>
    </row>
    <row r="24" spans="1:22" ht="12" customHeight="1">
      <c r="A24" s="507" t="s">
        <v>65</v>
      </c>
      <c r="B24" s="573">
        <f>SUM(B8:B13)</f>
        <v>4582.2429271918281</v>
      </c>
      <c r="C24" s="574">
        <f>SUM(C8:C13)</f>
        <v>4667.6400047119923</v>
      </c>
      <c r="D24" s="70">
        <f t="shared" si="0"/>
        <v>-1.82955578052197E-2</v>
      </c>
      <c r="E24" s="63">
        <f t="shared" ref="E24:K24" si="11">SUM(E8:E13)</f>
        <v>4765.0310104243117</v>
      </c>
      <c r="F24" s="574">
        <f t="shared" si="11"/>
        <v>4900.3801099315679</v>
      </c>
      <c r="G24" s="70">
        <f t="shared" si="2"/>
        <v>-2.7620122617211883E-2</v>
      </c>
      <c r="H24" s="530">
        <v>4900</v>
      </c>
      <c r="I24" s="63">
        <f t="shared" si="11"/>
        <v>48905.320756050591</v>
      </c>
      <c r="J24" s="574">
        <f t="shared" si="11"/>
        <v>49834.315163141757</v>
      </c>
      <c r="K24" s="63">
        <f t="shared" si="11"/>
        <v>50854.414852639544</v>
      </c>
      <c r="L24" s="574">
        <f>SUM(L8:L13)</f>
        <v>52320.307937000725</v>
      </c>
      <c r="M24" s="522">
        <f>SUM(M8:M13)</f>
        <v>52240</v>
      </c>
      <c r="N24" s="573">
        <f>AVERAGE(N8:N13)</f>
        <v>7.6369278033794146</v>
      </c>
      <c r="O24" s="63">
        <f>MAX(O8:O13)</f>
        <v>21.9</v>
      </c>
      <c r="P24" s="63">
        <f>MIN(P8:P13)</f>
        <v>-2.5</v>
      </c>
      <c r="Q24" s="63">
        <f>AVERAGE(Q8:Q13)</f>
        <v>6.8135286120380663</v>
      </c>
      <c r="R24" s="574">
        <f t="shared" si="5"/>
        <v>0.82339919134134831</v>
      </c>
      <c r="S24" s="63">
        <f t="shared" ref="S24:T24" si="12">SUM(S8:S13)</f>
        <v>482.83928978444141</v>
      </c>
      <c r="T24" s="575">
        <f t="shared" si="12"/>
        <v>5155.694959999998</v>
      </c>
      <c r="V24" s="221"/>
    </row>
    <row r="25" spans="1:22" ht="12" customHeight="1">
      <c r="A25" s="509" t="s">
        <v>66</v>
      </c>
      <c r="B25" s="67">
        <f>SUM(B14:B19)</f>
        <v>0</v>
      </c>
      <c r="C25" s="65">
        <f>SUM(C14:C19)</f>
        <v>0</v>
      </c>
      <c r="D25" s="66" t="e">
        <f t="shared" si="0"/>
        <v>#DIV/0!</v>
      </c>
      <c r="E25" s="67">
        <f t="shared" ref="E25:K25" si="13">SUM(E14:E19)</f>
        <v>0</v>
      </c>
      <c r="F25" s="65">
        <f t="shared" si="13"/>
        <v>0</v>
      </c>
      <c r="G25" s="66" t="e">
        <f t="shared" si="2"/>
        <v>#DIV/0!</v>
      </c>
      <c r="H25" s="531">
        <v>4130</v>
      </c>
      <c r="I25" s="64">
        <f t="shared" si="13"/>
        <v>0</v>
      </c>
      <c r="J25" s="65">
        <f t="shared" si="13"/>
        <v>0</v>
      </c>
      <c r="K25" s="67">
        <f t="shared" si="13"/>
        <v>0</v>
      </c>
      <c r="L25" s="65">
        <f>SUM(L14:L19)</f>
        <v>0</v>
      </c>
      <c r="M25" s="523">
        <f>SUM(M14:M19)</f>
        <v>44020</v>
      </c>
      <c r="N25" s="67" t="e">
        <f>AVERAGE(N14:N19)</f>
        <v>#DIV/0!</v>
      </c>
      <c r="O25" s="64">
        <f>MAX(O14:O19)</f>
        <v>0</v>
      </c>
      <c r="P25" s="64">
        <f>MIN(P14:P19)</f>
        <v>0</v>
      </c>
      <c r="Q25" s="68">
        <f>AVERAGE(Q14:Q19)</f>
        <v>10.230483870967742</v>
      </c>
      <c r="R25" s="65" t="e">
        <f t="shared" si="5"/>
        <v>#DIV/0!</v>
      </c>
      <c r="S25" s="64">
        <f t="shared" ref="S25:T25" si="14">SUM(S14:S19)</f>
        <v>0</v>
      </c>
      <c r="T25" s="64">
        <f t="shared" si="14"/>
        <v>0</v>
      </c>
      <c r="V25" s="221"/>
    </row>
    <row r="26" spans="1:22" ht="12" customHeight="1">
      <c r="A26" s="513" t="s">
        <v>239</v>
      </c>
      <c r="B26" s="357">
        <f>SUM(B8:B19)</f>
        <v>4582.2429271918281</v>
      </c>
      <c r="C26" s="355">
        <f>SUM(C8:C19)</f>
        <v>4667.6400047119923</v>
      </c>
      <c r="D26" s="356">
        <f t="shared" si="0"/>
        <v>-1.82955578052197E-2</v>
      </c>
      <c r="E26" s="357">
        <f t="shared" ref="E26:K26" si="15">SUM(E8:E19)</f>
        <v>4765.0310104243117</v>
      </c>
      <c r="F26" s="355">
        <f t="shared" si="15"/>
        <v>4900.3801099315679</v>
      </c>
      <c r="G26" s="356">
        <f t="shared" si="2"/>
        <v>-2.7620122617211883E-2</v>
      </c>
      <c r="H26" s="532">
        <v>9030</v>
      </c>
      <c r="I26" s="354">
        <f t="shared" si="15"/>
        <v>48905.320756050591</v>
      </c>
      <c r="J26" s="355">
        <f t="shared" si="15"/>
        <v>49834.315163141757</v>
      </c>
      <c r="K26" s="357">
        <f t="shared" si="15"/>
        <v>50854.414852639544</v>
      </c>
      <c r="L26" s="355">
        <f>SUM(L8:L19)</f>
        <v>52320.307937000725</v>
      </c>
      <c r="M26" s="524">
        <f>SUM(M8:M19)</f>
        <v>96260</v>
      </c>
      <c r="N26" s="357">
        <f>AVERAGE(N8:N19)</f>
        <v>7.6369278033794146</v>
      </c>
      <c r="O26" s="354">
        <f>MAX(O8:O19)</f>
        <v>21.9</v>
      </c>
      <c r="P26" s="354">
        <f>MIN(P8:P19)</f>
        <v>-2.5</v>
      </c>
      <c r="Q26" s="346">
        <f>AVERAGE(Q8:Q19)</f>
        <v>8.5220062415029041</v>
      </c>
      <c r="R26" s="355">
        <f t="shared" si="5"/>
        <v>-0.88507843812348952</v>
      </c>
      <c r="S26" s="354">
        <f t="shared" ref="S26:T26" si="16">SUM(S8:S19)</f>
        <v>482.83928978444141</v>
      </c>
      <c r="T26" s="354">
        <f t="shared" si="16"/>
        <v>5155.694959999998</v>
      </c>
      <c r="V26" s="221"/>
    </row>
    <row r="27" spans="1:22" ht="12" customHeight="1">
      <c r="A27" s="623" t="s">
        <v>131</v>
      </c>
      <c r="B27" s="623"/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</row>
    <row r="28" spans="1:22" ht="3.95" customHeight="1"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</row>
    <row r="29" spans="1:22" ht="12" customHeight="1">
      <c r="A29" s="621" t="s">
        <v>302</v>
      </c>
      <c r="B29" s="621"/>
      <c r="C29" s="621"/>
      <c r="D29" s="621"/>
      <c r="E29" s="621"/>
      <c r="F29" s="621"/>
      <c r="G29" s="621"/>
      <c r="H29" s="621"/>
      <c r="I29" s="621"/>
      <c r="J29" s="621" t="s">
        <v>215</v>
      </c>
      <c r="K29" s="621"/>
      <c r="L29" s="621"/>
      <c r="M29" s="621"/>
      <c r="N29" s="621"/>
      <c r="O29" s="621"/>
      <c r="P29" s="621"/>
      <c r="Q29" s="621"/>
      <c r="R29" s="621"/>
      <c r="S29" s="621"/>
      <c r="T29" s="621"/>
    </row>
    <row r="30" spans="1:22" ht="8.1" customHeight="1">
      <c r="A30" s="228"/>
      <c r="B30" s="228"/>
      <c r="C30" s="228"/>
      <c r="D30" s="228"/>
      <c r="E30" s="228" t="s">
        <v>194</v>
      </c>
      <c r="F30" s="228" t="s">
        <v>189</v>
      </c>
      <c r="G30" s="228"/>
      <c r="H30" s="228"/>
      <c r="I30" s="228"/>
      <c r="J30" s="228"/>
      <c r="K30" s="228"/>
      <c r="L30" s="228"/>
      <c r="M30" s="228"/>
      <c r="N30" s="229" t="str">
        <f>N7</f>
        <v>Průměr</v>
      </c>
      <c r="O30" s="229" t="str">
        <f>Q7</f>
        <v>Normál</v>
      </c>
      <c r="P30" s="229"/>
      <c r="Q30" s="228"/>
      <c r="R30" s="228"/>
      <c r="S30" s="228"/>
      <c r="T30" s="228"/>
    </row>
    <row r="31" spans="1:22" ht="6.95" customHeight="1">
      <c r="A31" s="228"/>
      <c r="B31" s="228"/>
      <c r="C31" s="228"/>
      <c r="D31" s="228" t="str">
        <f>A8</f>
        <v>Leden</v>
      </c>
      <c r="E31" s="229">
        <f>B8</f>
        <v>1216.7322796016583</v>
      </c>
      <c r="F31" s="229">
        <f>E8</f>
        <v>1271.0979736947015</v>
      </c>
      <c r="G31" s="229"/>
      <c r="H31" s="229"/>
      <c r="I31" s="228"/>
      <c r="J31" s="228"/>
      <c r="K31" s="228"/>
      <c r="L31" s="228"/>
      <c r="M31" s="228" t="str">
        <f>A8</f>
        <v>Leden</v>
      </c>
      <c r="N31" s="229">
        <f>N8</f>
        <v>0.39032258064516134</v>
      </c>
      <c r="O31" s="229">
        <f>Q8</f>
        <v>-1.2258064516129035</v>
      </c>
      <c r="P31" s="229"/>
      <c r="Q31" s="228"/>
      <c r="R31" s="228"/>
      <c r="S31" s="228"/>
      <c r="T31" s="228"/>
    </row>
    <row r="32" spans="1:22" ht="6.95" customHeight="1">
      <c r="A32" s="228"/>
      <c r="B32" s="228"/>
      <c r="C32" s="228"/>
      <c r="D32" s="228" t="str">
        <f t="shared" ref="D32:D41" si="17">A9</f>
        <v>Únor</v>
      </c>
      <c r="E32" s="229">
        <f t="shared" ref="E32:E42" si="18">B9</f>
        <v>975.54125699611575</v>
      </c>
      <c r="F32" s="229">
        <f t="shared" ref="F32:F42" si="19">E9</f>
        <v>1101.6918661298514</v>
      </c>
      <c r="G32" s="229"/>
      <c r="H32" s="229"/>
      <c r="I32" s="228"/>
      <c r="J32" s="228"/>
      <c r="K32" s="228"/>
      <c r="L32" s="228"/>
      <c r="M32" s="228" t="str">
        <f t="shared" ref="M32:M42" si="20">A9</f>
        <v>Únor</v>
      </c>
      <c r="N32" s="229">
        <f t="shared" ref="N32:N42" si="21">N9</f>
        <v>3.9928571428571429</v>
      </c>
      <c r="O32" s="229">
        <f t="shared" ref="O32:O42" si="22">Q9</f>
        <v>-0.15517241379310354</v>
      </c>
      <c r="P32" s="229"/>
      <c r="Q32" s="228"/>
      <c r="R32" s="228"/>
      <c r="S32" s="228"/>
      <c r="T32" s="228"/>
    </row>
    <row r="33" spans="1:20" ht="6.95" customHeight="1">
      <c r="A33" s="228"/>
      <c r="B33" s="228"/>
      <c r="C33" s="228"/>
      <c r="D33" s="228" t="str">
        <f t="shared" si="17"/>
        <v>Březen</v>
      </c>
      <c r="E33" s="229">
        <f t="shared" si="18"/>
        <v>919.13700933084067</v>
      </c>
      <c r="F33" s="229">
        <f t="shared" si="19"/>
        <v>941.55439681020118</v>
      </c>
      <c r="G33" s="229"/>
      <c r="H33" s="229"/>
      <c r="I33" s="228"/>
      <c r="J33" s="228"/>
      <c r="K33" s="228"/>
      <c r="L33" s="228"/>
      <c r="M33" s="228" t="str">
        <f t="shared" si="20"/>
        <v>Březen</v>
      </c>
      <c r="N33" s="229">
        <f t="shared" si="21"/>
        <v>4.1483870967741927</v>
      </c>
      <c r="O33" s="229">
        <f t="shared" si="22"/>
        <v>3.512903225806451</v>
      </c>
      <c r="P33" s="229"/>
      <c r="Q33" s="228"/>
      <c r="R33" s="228"/>
      <c r="S33" s="228"/>
      <c r="T33" s="228"/>
    </row>
    <row r="34" spans="1:20" ht="6.95" customHeight="1">
      <c r="A34" s="228"/>
      <c r="B34" s="228"/>
      <c r="C34" s="228"/>
      <c r="D34" s="228" t="str">
        <f t="shared" si="17"/>
        <v>Duben</v>
      </c>
      <c r="E34" s="229">
        <f t="shared" si="18"/>
        <v>574.97798965047207</v>
      </c>
      <c r="F34" s="229">
        <f t="shared" si="19"/>
        <v>600.75621979039772</v>
      </c>
      <c r="G34" s="229"/>
      <c r="H34" s="229"/>
      <c r="I34" s="228"/>
      <c r="J34" s="228"/>
      <c r="K34" s="228"/>
      <c r="L34" s="228"/>
      <c r="M34" s="228" t="str">
        <f t="shared" si="20"/>
        <v>Duben</v>
      </c>
      <c r="N34" s="229">
        <f t="shared" si="21"/>
        <v>9.4466666666666654</v>
      </c>
      <c r="O34" s="229">
        <f t="shared" si="22"/>
        <v>8.6366666666666667</v>
      </c>
      <c r="P34" s="229"/>
      <c r="Q34" s="228"/>
      <c r="R34" s="228"/>
      <c r="S34" s="228"/>
      <c r="T34" s="228"/>
    </row>
    <row r="35" spans="1:20" ht="6.95" customHeight="1">
      <c r="A35" s="228"/>
      <c r="B35" s="228"/>
      <c r="C35" s="228"/>
      <c r="D35" s="228" t="str">
        <f t="shared" si="17"/>
        <v>Květen</v>
      </c>
      <c r="E35" s="229">
        <f t="shared" si="18"/>
        <v>492.34544307306646</v>
      </c>
      <c r="F35" s="229">
        <f t="shared" si="19"/>
        <v>446.34197489009364</v>
      </c>
      <c r="G35" s="229"/>
      <c r="H35" s="229"/>
      <c r="I35" s="228"/>
      <c r="J35" s="228"/>
      <c r="K35" s="228"/>
      <c r="L35" s="228"/>
      <c r="M35" s="228" t="str">
        <f t="shared" si="20"/>
        <v>Květen</v>
      </c>
      <c r="N35" s="229">
        <f t="shared" si="21"/>
        <v>11.2</v>
      </c>
      <c r="O35" s="229">
        <f t="shared" si="22"/>
        <v>13.522580645161288</v>
      </c>
      <c r="P35" s="229"/>
      <c r="Q35" s="228"/>
      <c r="R35" s="228"/>
      <c r="S35" s="228"/>
      <c r="T35" s="228"/>
    </row>
    <row r="36" spans="1:20" ht="6.95" customHeight="1">
      <c r="A36" s="228"/>
      <c r="B36" s="228"/>
      <c r="C36" s="228"/>
      <c r="D36" s="228" t="str">
        <f t="shared" si="17"/>
        <v>Červen</v>
      </c>
      <c r="E36" s="229">
        <f t="shared" si="18"/>
        <v>403.50894853967435</v>
      </c>
      <c r="F36" s="229">
        <f t="shared" si="19"/>
        <v>403.58857910906676</v>
      </c>
      <c r="G36" s="229"/>
      <c r="H36" s="229"/>
      <c r="I36" s="228"/>
      <c r="J36" s="228"/>
      <c r="K36" s="228"/>
      <c r="L36" s="228"/>
      <c r="M36" s="228" t="str">
        <f t="shared" si="20"/>
        <v>Červen</v>
      </c>
      <c r="N36" s="229">
        <f t="shared" si="21"/>
        <v>16.643333333333331</v>
      </c>
      <c r="O36" s="229">
        <f t="shared" si="22"/>
        <v>16.59</v>
      </c>
      <c r="P36" s="229"/>
      <c r="Q36" s="228"/>
      <c r="R36" s="228"/>
      <c r="S36" s="228"/>
      <c r="T36" s="228"/>
    </row>
    <row r="37" spans="1:20" ht="6.95" customHeight="1">
      <c r="A37" s="228"/>
      <c r="B37" s="228"/>
      <c r="C37" s="228"/>
      <c r="D37" s="228" t="str">
        <f t="shared" si="17"/>
        <v>Červenec</v>
      </c>
      <c r="E37" s="229">
        <f t="shared" si="18"/>
        <v>0</v>
      </c>
      <c r="F37" s="229">
        <f t="shared" si="19"/>
        <v>0</v>
      </c>
      <c r="G37" s="229"/>
      <c r="H37" s="229"/>
      <c r="I37" s="228"/>
      <c r="J37" s="228"/>
      <c r="K37" s="228"/>
      <c r="L37" s="228"/>
      <c r="M37" s="228" t="str">
        <f t="shared" si="20"/>
        <v>Červenec</v>
      </c>
      <c r="N37" s="229">
        <f t="shared" si="21"/>
        <v>0</v>
      </c>
      <c r="O37" s="229">
        <f t="shared" si="22"/>
        <v>18.522580645161291</v>
      </c>
      <c r="P37" s="229"/>
      <c r="Q37" s="228"/>
      <c r="R37" s="228"/>
      <c r="S37" s="228"/>
      <c r="T37" s="228"/>
    </row>
    <row r="38" spans="1:20" ht="6.95" customHeight="1">
      <c r="A38" s="228"/>
      <c r="B38" s="228"/>
      <c r="C38" s="228"/>
      <c r="D38" s="228" t="str">
        <f t="shared" si="17"/>
        <v>Srpen</v>
      </c>
      <c r="E38" s="229">
        <f t="shared" si="18"/>
        <v>0</v>
      </c>
      <c r="F38" s="229">
        <f t="shared" si="19"/>
        <v>0</v>
      </c>
      <c r="G38" s="229"/>
      <c r="H38" s="229"/>
      <c r="I38" s="228"/>
      <c r="J38" s="228"/>
      <c r="K38" s="228"/>
      <c r="L38" s="228"/>
      <c r="M38" s="228" t="str">
        <f t="shared" si="20"/>
        <v>Srpen</v>
      </c>
      <c r="N38" s="229">
        <f t="shared" si="21"/>
        <v>0</v>
      </c>
      <c r="O38" s="229">
        <f t="shared" si="22"/>
        <v>18.119354838709679</v>
      </c>
      <c r="P38" s="229"/>
      <c r="Q38" s="228"/>
      <c r="R38" s="228"/>
      <c r="S38" s="228"/>
      <c r="T38" s="228"/>
    </row>
    <row r="39" spans="1:20" ht="6.95" customHeight="1">
      <c r="A39" s="228"/>
      <c r="B39" s="228"/>
      <c r="C39" s="228"/>
      <c r="D39" s="228" t="str">
        <f t="shared" si="17"/>
        <v>Září</v>
      </c>
      <c r="E39" s="229">
        <f t="shared" si="18"/>
        <v>0</v>
      </c>
      <c r="F39" s="229">
        <f t="shared" si="19"/>
        <v>0</v>
      </c>
      <c r="G39" s="229"/>
      <c r="H39" s="229"/>
      <c r="I39" s="228"/>
      <c r="J39" s="228"/>
      <c r="K39" s="228"/>
      <c r="L39" s="228"/>
      <c r="M39" s="228" t="str">
        <f t="shared" si="20"/>
        <v>Září</v>
      </c>
      <c r="N39" s="229">
        <f t="shared" si="21"/>
        <v>0</v>
      </c>
      <c r="O39" s="229">
        <f t="shared" si="22"/>
        <v>13.223333333333333</v>
      </c>
      <c r="P39" s="229"/>
      <c r="Q39" s="228"/>
      <c r="R39" s="228"/>
      <c r="S39" s="228"/>
      <c r="T39" s="228"/>
    </row>
    <row r="40" spans="1:20" ht="6.95" customHeight="1">
      <c r="A40" s="228"/>
      <c r="B40" s="228"/>
      <c r="C40" s="228"/>
      <c r="D40" s="228" t="str">
        <f t="shared" si="17"/>
        <v>Říjen</v>
      </c>
      <c r="E40" s="229">
        <f t="shared" si="18"/>
        <v>0</v>
      </c>
      <c r="F40" s="229">
        <f t="shared" si="19"/>
        <v>0</v>
      </c>
      <c r="G40" s="229"/>
      <c r="H40" s="229"/>
      <c r="I40" s="228"/>
      <c r="J40" s="228"/>
      <c r="K40" s="228"/>
      <c r="L40" s="228"/>
      <c r="M40" s="228" t="str">
        <f t="shared" si="20"/>
        <v>Říjen</v>
      </c>
      <c r="N40" s="229">
        <f t="shared" si="21"/>
        <v>0</v>
      </c>
      <c r="O40" s="229">
        <f t="shared" si="22"/>
        <v>8.3548387096774199</v>
      </c>
      <c r="P40" s="229"/>
      <c r="Q40" s="228"/>
      <c r="R40" s="228"/>
      <c r="S40" s="228"/>
      <c r="T40" s="228"/>
    </row>
    <row r="41" spans="1:20" ht="6.95" customHeight="1">
      <c r="A41" s="228"/>
      <c r="B41" s="228"/>
      <c r="C41" s="228"/>
      <c r="D41" s="228" t="str">
        <f t="shared" si="17"/>
        <v>Listopad</v>
      </c>
      <c r="E41" s="229">
        <f t="shared" si="18"/>
        <v>0</v>
      </c>
      <c r="F41" s="229">
        <f t="shared" si="19"/>
        <v>0</v>
      </c>
      <c r="G41" s="228"/>
      <c r="H41" s="228"/>
      <c r="I41" s="228"/>
      <c r="J41" s="228"/>
      <c r="K41" s="228"/>
      <c r="L41" s="228"/>
      <c r="M41" s="228" t="str">
        <f t="shared" si="20"/>
        <v>Listopad</v>
      </c>
      <c r="N41" s="229">
        <f t="shared" si="21"/>
        <v>0</v>
      </c>
      <c r="O41" s="229">
        <f t="shared" si="22"/>
        <v>3.5466666666666664</v>
      </c>
      <c r="P41" s="228"/>
      <c r="Q41" s="228"/>
      <c r="R41" s="228"/>
      <c r="S41" s="228"/>
      <c r="T41" s="228"/>
    </row>
    <row r="42" spans="1:20" ht="6.95" customHeight="1">
      <c r="A42" s="228"/>
      <c r="B42" s="228"/>
      <c r="C42" s="228"/>
      <c r="D42" s="228" t="str">
        <f>A19</f>
        <v>Prosinec</v>
      </c>
      <c r="E42" s="229">
        <f t="shared" si="18"/>
        <v>0</v>
      </c>
      <c r="F42" s="229">
        <f t="shared" si="19"/>
        <v>0</v>
      </c>
      <c r="G42" s="228"/>
      <c r="H42" s="228"/>
      <c r="I42" s="228"/>
      <c r="J42" s="228"/>
      <c r="K42" s="228"/>
      <c r="L42" s="228"/>
      <c r="M42" s="228" t="str">
        <f t="shared" si="20"/>
        <v>Prosinec</v>
      </c>
      <c r="N42" s="229">
        <f t="shared" si="21"/>
        <v>0</v>
      </c>
      <c r="O42" s="229">
        <f t="shared" si="22"/>
        <v>-0.38387096774193558</v>
      </c>
      <c r="P42" s="228"/>
      <c r="Q42" s="228"/>
      <c r="R42" s="228"/>
      <c r="S42" s="228"/>
      <c r="T42" s="228"/>
    </row>
    <row r="43" spans="1:20" ht="12" customHeight="1">
      <c r="A43" s="228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</row>
    <row r="44" spans="1:20" ht="12" customHeight="1">
      <c r="A44" s="228"/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</row>
    <row r="45" spans="1:20" ht="12" customHeight="1">
      <c r="A45" s="228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Q24 E21:F21 H21:M21 E22:F22 H22:M22 E23:F23 H23:M23 E26:T26 E25:F25 H25:M25 M20 O21:Q21 O22:Q22 O23:Q23 O25:Q25 Q20 S24:T24 S21:T21 S22:T22 S23:T23 S25:T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AJ45"/>
  <sheetViews>
    <sheetView showGridLines="0" zoomScaleNormal="100" zoomScaleSheetLayoutView="100" workbookViewId="0">
      <selection activeCell="A2" sqref="A2"/>
    </sheetView>
  </sheetViews>
  <sheetFormatPr defaultRowHeight="11.25"/>
  <cols>
    <col min="1" max="1" width="8.28515625" style="81" customWidth="1"/>
    <col min="2" max="3" width="5.42578125" style="81" customWidth="1"/>
    <col min="4" max="4" width="6.5703125" style="81" customWidth="1"/>
    <col min="5" max="5" width="7.7109375" style="81" customWidth="1"/>
    <col min="6" max="6" width="4.140625" style="81" customWidth="1"/>
    <col min="7" max="7" width="7.7109375" style="81" customWidth="1"/>
    <col min="8" max="11" width="6.7109375" style="81" customWidth="1"/>
    <col min="12" max="12" width="4.85546875" style="81" customWidth="1"/>
    <col min="13" max="13" width="8.7109375" style="81" customWidth="1"/>
    <col min="14" max="14" width="6.7109375" style="81" customWidth="1"/>
    <col min="15" max="18" width="7.28515625" style="81" customWidth="1"/>
    <col min="19" max="19" width="5.7109375" style="81" customWidth="1"/>
    <col min="20" max="20" width="8.7109375" style="81" customWidth="1"/>
    <col min="21" max="21" width="8" style="81" customWidth="1"/>
    <col min="22" max="22" width="9.28515625" style="81" bestFit="1" customWidth="1"/>
    <col min="23" max="23" width="11.42578125" style="81" bestFit="1" customWidth="1"/>
    <col min="24" max="262" width="9.140625" style="81"/>
    <col min="263" max="275" width="10.7109375" style="81" customWidth="1"/>
    <col min="276" max="518" width="9.140625" style="81"/>
    <col min="519" max="531" width="10.7109375" style="81" customWidth="1"/>
    <col min="532" max="774" width="9.140625" style="81"/>
    <col min="775" max="787" width="10.7109375" style="81" customWidth="1"/>
    <col min="788" max="1030" width="9.140625" style="81"/>
    <col min="1031" max="1043" width="10.7109375" style="81" customWidth="1"/>
    <col min="1044" max="1286" width="9.140625" style="81"/>
    <col min="1287" max="1299" width="10.7109375" style="81" customWidth="1"/>
    <col min="1300" max="1542" width="9.140625" style="81"/>
    <col min="1543" max="1555" width="10.7109375" style="81" customWidth="1"/>
    <col min="1556" max="1798" width="9.140625" style="81"/>
    <col min="1799" max="1811" width="10.7109375" style="81" customWidth="1"/>
    <col min="1812" max="2054" width="9.140625" style="81"/>
    <col min="2055" max="2067" width="10.7109375" style="81" customWidth="1"/>
    <col min="2068" max="2310" width="9.140625" style="81"/>
    <col min="2311" max="2323" width="10.7109375" style="81" customWidth="1"/>
    <col min="2324" max="2566" width="9.140625" style="81"/>
    <col min="2567" max="2579" width="10.7109375" style="81" customWidth="1"/>
    <col min="2580" max="2822" width="9.140625" style="81"/>
    <col min="2823" max="2835" width="10.7109375" style="81" customWidth="1"/>
    <col min="2836" max="3078" width="9.140625" style="81"/>
    <col min="3079" max="3091" width="10.7109375" style="81" customWidth="1"/>
    <col min="3092" max="3334" width="9.140625" style="81"/>
    <col min="3335" max="3347" width="10.7109375" style="81" customWidth="1"/>
    <col min="3348" max="3590" width="9.140625" style="81"/>
    <col min="3591" max="3603" width="10.7109375" style="81" customWidth="1"/>
    <col min="3604" max="3846" width="9.140625" style="81"/>
    <col min="3847" max="3859" width="10.7109375" style="81" customWidth="1"/>
    <col min="3860" max="4102" width="9.140625" style="81"/>
    <col min="4103" max="4115" width="10.7109375" style="81" customWidth="1"/>
    <col min="4116" max="4358" width="9.140625" style="81"/>
    <col min="4359" max="4371" width="10.7109375" style="81" customWidth="1"/>
    <col min="4372" max="4614" width="9.140625" style="81"/>
    <col min="4615" max="4627" width="10.7109375" style="81" customWidth="1"/>
    <col min="4628" max="4870" width="9.140625" style="81"/>
    <col min="4871" max="4883" width="10.7109375" style="81" customWidth="1"/>
    <col min="4884" max="5126" width="9.140625" style="81"/>
    <col min="5127" max="5139" width="10.7109375" style="81" customWidth="1"/>
    <col min="5140" max="5382" width="9.140625" style="81"/>
    <col min="5383" max="5395" width="10.7109375" style="81" customWidth="1"/>
    <col min="5396" max="5638" width="9.140625" style="81"/>
    <col min="5639" max="5651" width="10.7109375" style="81" customWidth="1"/>
    <col min="5652" max="5894" width="9.140625" style="81"/>
    <col min="5895" max="5907" width="10.7109375" style="81" customWidth="1"/>
    <col min="5908" max="6150" width="9.140625" style="81"/>
    <col min="6151" max="6163" width="10.7109375" style="81" customWidth="1"/>
    <col min="6164" max="6406" width="9.140625" style="81"/>
    <col min="6407" max="6419" width="10.7109375" style="81" customWidth="1"/>
    <col min="6420" max="6662" width="9.140625" style="81"/>
    <col min="6663" max="6675" width="10.7109375" style="81" customWidth="1"/>
    <col min="6676" max="6918" width="9.140625" style="81"/>
    <col min="6919" max="6931" width="10.7109375" style="81" customWidth="1"/>
    <col min="6932" max="7174" width="9.140625" style="81"/>
    <col min="7175" max="7187" width="10.7109375" style="81" customWidth="1"/>
    <col min="7188" max="7430" width="9.140625" style="81"/>
    <col min="7431" max="7443" width="10.7109375" style="81" customWidth="1"/>
    <col min="7444" max="7686" width="9.140625" style="81"/>
    <col min="7687" max="7699" width="10.7109375" style="81" customWidth="1"/>
    <col min="7700" max="7942" width="9.140625" style="81"/>
    <col min="7943" max="7955" width="10.7109375" style="81" customWidth="1"/>
    <col min="7956" max="8198" width="9.140625" style="81"/>
    <col min="8199" max="8211" width="10.7109375" style="81" customWidth="1"/>
    <col min="8212" max="8454" width="9.140625" style="81"/>
    <col min="8455" max="8467" width="10.7109375" style="81" customWidth="1"/>
    <col min="8468" max="8710" width="9.140625" style="81"/>
    <col min="8711" max="8723" width="10.7109375" style="81" customWidth="1"/>
    <col min="8724" max="8966" width="9.140625" style="81"/>
    <col min="8967" max="8979" width="10.7109375" style="81" customWidth="1"/>
    <col min="8980" max="9222" width="9.140625" style="81"/>
    <col min="9223" max="9235" width="10.7109375" style="81" customWidth="1"/>
    <col min="9236" max="9478" width="9.140625" style="81"/>
    <col min="9479" max="9491" width="10.7109375" style="81" customWidth="1"/>
    <col min="9492" max="9734" width="9.140625" style="81"/>
    <col min="9735" max="9747" width="10.7109375" style="81" customWidth="1"/>
    <col min="9748" max="9990" width="9.140625" style="81"/>
    <col min="9991" max="10003" width="10.7109375" style="81" customWidth="1"/>
    <col min="10004" max="10246" width="9.140625" style="81"/>
    <col min="10247" max="10259" width="10.7109375" style="81" customWidth="1"/>
    <col min="10260" max="10502" width="9.140625" style="81"/>
    <col min="10503" max="10515" width="10.7109375" style="81" customWidth="1"/>
    <col min="10516" max="10758" width="9.140625" style="81"/>
    <col min="10759" max="10771" width="10.7109375" style="81" customWidth="1"/>
    <col min="10772" max="11014" width="9.140625" style="81"/>
    <col min="11015" max="11027" width="10.7109375" style="81" customWidth="1"/>
    <col min="11028" max="11270" width="9.140625" style="81"/>
    <col min="11271" max="11283" width="10.7109375" style="81" customWidth="1"/>
    <col min="11284" max="11526" width="9.140625" style="81"/>
    <col min="11527" max="11539" width="10.7109375" style="81" customWidth="1"/>
    <col min="11540" max="11782" width="9.140625" style="81"/>
    <col min="11783" max="11795" width="10.7109375" style="81" customWidth="1"/>
    <col min="11796" max="12038" width="9.140625" style="81"/>
    <col min="12039" max="12051" width="10.7109375" style="81" customWidth="1"/>
    <col min="12052" max="12294" width="9.140625" style="81"/>
    <col min="12295" max="12307" width="10.7109375" style="81" customWidth="1"/>
    <col min="12308" max="12550" width="9.140625" style="81"/>
    <col min="12551" max="12563" width="10.7109375" style="81" customWidth="1"/>
    <col min="12564" max="12806" width="9.140625" style="81"/>
    <col min="12807" max="12819" width="10.7109375" style="81" customWidth="1"/>
    <col min="12820" max="13062" width="9.140625" style="81"/>
    <col min="13063" max="13075" width="10.7109375" style="81" customWidth="1"/>
    <col min="13076" max="13318" width="9.140625" style="81"/>
    <col min="13319" max="13331" width="10.7109375" style="81" customWidth="1"/>
    <col min="13332" max="13574" width="9.140625" style="81"/>
    <col min="13575" max="13587" width="10.7109375" style="81" customWidth="1"/>
    <col min="13588" max="13830" width="9.140625" style="81"/>
    <col min="13831" max="13843" width="10.7109375" style="81" customWidth="1"/>
    <col min="13844" max="14086" width="9.140625" style="81"/>
    <col min="14087" max="14099" width="10.7109375" style="81" customWidth="1"/>
    <col min="14100" max="14342" width="9.140625" style="81"/>
    <col min="14343" max="14355" width="10.7109375" style="81" customWidth="1"/>
    <col min="14356" max="14598" width="9.140625" style="81"/>
    <col min="14599" max="14611" width="10.7109375" style="81" customWidth="1"/>
    <col min="14612" max="14854" width="9.140625" style="81"/>
    <col min="14855" max="14867" width="10.7109375" style="81" customWidth="1"/>
    <col min="14868" max="15110" width="9.140625" style="81"/>
    <col min="15111" max="15123" width="10.7109375" style="81" customWidth="1"/>
    <col min="15124" max="15366" width="9.140625" style="81"/>
    <col min="15367" max="15379" width="10.7109375" style="81" customWidth="1"/>
    <col min="15380" max="15622" width="9.140625" style="81"/>
    <col min="15623" max="15635" width="10.7109375" style="81" customWidth="1"/>
    <col min="15636" max="15878" width="9.140625" style="81"/>
    <col min="15879" max="15891" width="10.7109375" style="81" customWidth="1"/>
    <col min="15892" max="16134" width="9.140625" style="81"/>
    <col min="16135" max="16147" width="10.7109375" style="81" customWidth="1"/>
    <col min="16148" max="16384" width="9.140625" style="81"/>
  </cols>
  <sheetData>
    <row r="1" spans="1:36" ht="15.75">
      <c r="A1" s="609" t="s">
        <v>140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36" ht="6" customHeight="1">
      <c r="A2" s="220"/>
      <c r="B2" s="634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</row>
    <row r="3" spans="1:36" ht="18" customHeight="1">
      <c r="A3" s="622">
        <v>2020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</row>
    <row r="4" spans="1:36" ht="18" customHeight="1">
      <c r="A4" s="514"/>
      <c r="B4" s="539"/>
      <c r="C4" s="299"/>
      <c r="D4" s="299"/>
      <c r="E4" s="299"/>
      <c r="F4" s="299"/>
      <c r="G4" s="538"/>
      <c r="H4" s="631" t="s">
        <v>67</v>
      </c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</row>
    <row r="5" spans="1:36" ht="18" customHeight="1">
      <c r="A5" s="399"/>
      <c r="B5" s="636" t="s">
        <v>226</v>
      </c>
      <c r="C5" s="637"/>
      <c r="D5" s="637"/>
      <c r="E5" s="637"/>
      <c r="F5" s="637"/>
      <c r="G5" s="637"/>
      <c r="H5" s="614" t="s">
        <v>290</v>
      </c>
      <c r="I5" s="615"/>
      <c r="J5" s="615"/>
      <c r="K5" s="615"/>
      <c r="L5" s="615"/>
      <c r="M5" s="615"/>
      <c r="N5" s="615"/>
      <c r="O5" s="614" t="s">
        <v>291</v>
      </c>
      <c r="P5" s="615"/>
      <c r="Q5" s="615"/>
      <c r="R5" s="615"/>
      <c r="S5" s="615"/>
      <c r="T5" s="615"/>
      <c r="U5" s="615"/>
    </row>
    <row r="6" spans="1:36" ht="12.95" customHeight="1">
      <c r="A6" s="506" t="s">
        <v>225</v>
      </c>
      <c r="B6" s="297" t="s">
        <v>4</v>
      </c>
      <c r="C6" s="295" t="s">
        <v>5</v>
      </c>
      <c r="D6" s="275" t="s">
        <v>6</v>
      </c>
      <c r="E6" s="295" t="s">
        <v>7</v>
      </c>
      <c r="F6" s="295" t="s">
        <v>112</v>
      </c>
      <c r="G6" s="297" t="s">
        <v>0</v>
      </c>
      <c r="H6" s="297" t="s">
        <v>4</v>
      </c>
      <c r="I6" s="295" t="s">
        <v>5</v>
      </c>
      <c r="J6" s="275" t="s">
        <v>6</v>
      </c>
      <c r="K6" s="295" t="s">
        <v>7</v>
      </c>
      <c r="L6" s="295" t="s">
        <v>112</v>
      </c>
      <c r="M6" s="295" t="s">
        <v>114</v>
      </c>
      <c r="N6" s="297" t="s">
        <v>0</v>
      </c>
      <c r="O6" s="297" t="s">
        <v>4</v>
      </c>
      <c r="P6" s="295" t="s">
        <v>5</v>
      </c>
      <c r="Q6" s="275" t="s">
        <v>6</v>
      </c>
      <c r="R6" s="295" t="s">
        <v>7</v>
      </c>
      <c r="S6" s="295" t="s">
        <v>112</v>
      </c>
      <c r="T6" s="295" t="s">
        <v>114</v>
      </c>
      <c r="U6" s="297" t="s">
        <v>0</v>
      </c>
    </row>
    <row r="7" spans="1:36" ht="12.95" customHeight="1">
      <c r="A7" s="507" t="s">
        <v>227</v>
      </c>
      <c r="B7" s="540">
        <v>1611</v>
      </c>
      <c r="C7" s="85">
        <v>6631</v>
      </c>
      <c r="D7" s="86">
        <v>206280</v>
      </c>
      <c r="E7" s="456">
        <v>2618867</v>
      </c>
      <c r="F7" s="456">
        <v>238</v>
      </c>
      <c r="G7" s="476">
        <v>2833627</v>
      </c>
      <c r="H7" s="515">
        <v>459.29043916863577</v>
      </c>
      <c r="I7" s="53">
        <v>122.88105325998119</v>
      </c>
      <c r="J7" s="55">
        <v>211.25843835873195</v>
      </c>
      <c r="K7" s="55">
        <v>398.80383835636599</v>
      </c>
      <c r="L7" s="55">
        <v>7.7587022554048817</v>
      </c>
      <c r="M7" s="421">
        <v>16.739653053979538</v>
      </c>
      <c r="N7" s="415">
        <v>1216.7321244530992</v>
      </c>
      <c r="O7" s="515">
        <v>4898.041543577001</v>
      </c>
      <c r="P7" s="53">
        <v>1310.4303898699995</v>
      </c>
      <c r="Q7" s="55">
        <v>2252.9898249000003</v>
      </c>
      <c r="R7" s="55">
        <v>4253.1286641999995</v>
      </c>
      <c r="S7" s="55">
        <v>82.737206069999999</v>
      </c>
      <c r="T7" s="421">
        <v>178.52700508158907</v>
      </c>
      <c r="U7" s="415">
        <v>12975.854633698591</v>
      </c>
      <c r="V7" s="82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</row>
    <row r="8" spans="1:36" ht="12.95" customHeight="1">
      <c r="A8" s="508" t="s">
        <v>228</v>
      </c>
      <c r="B8" s="540">
        <v>1609</v>
      </c>
      <c r="C8" s="86">
        <v>6619</v>
      </c>
      <c r="D8" s="86">
        <v>206350</v>
      </c>
      <c r="E8" s="86">
        <v>2617665</v>
      </c>
      <c r="F8" s="86">
        <v>241</v>
      </c>
      <c r="G8" s="478">
        <v>2832484</v>
      </c>
      <c r="H8" s="515">
        <v>389.75177173847544</v>
      </c>
      <c r="I8" s="55">
        <v>96.349436614899048</v>
      </c>
      <c r="J8" s="55">
        <v>158.31284526555777</v>
      </c>
      <c r="K8" s="55">
        <v>308.21632022621947</v>
      </c>
      <c r="L8" s="55">
        <v>7.5351114209925356</v>
      </c>
      <c r="M8" s="55">
        <v>15.375774621056358</v>
      </c>
      <c r="N8" s="416">
        <v>975.54125988720068</v>
      </c>
      <c r="O8" s="515">
        <v>4156.9274679720002</v>
      </c>
      <c r="P8" s="55">
        <v>1027.5677168699997</v>
      </c>
      <c r="Q8" s="55">
        <v>1688.4940670600001</v>
      </c>
      <c r="R8" s="55">
        <v>3287.3791394300001</v>
      </c>
      <c r="S8" s="55">
        <v>80.466515130000005</v>
      </c>
      <c r="T8" s="55">
        <v>163.97075077099998</v>
      </c>
      <c r="U8" s="416">
        <v>10404.805657233001</v>
      </c>
      <c r="V8" s="72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</row>
    <row r="9" spans="1:36" ht="12.95" customHeight="1">
      <c r="A9" s="509" t="s">
        <v>229</v>
      </c>
      <c r="B9" s="131">
        <v>1599</v>
      </c>
      <c r="C9" s="87">
        <v>6517</v>
      </c>
      <c r="D9" s="87">
        <v>206338</v>
      </c>
      <c r="E9" s="87">
        <v>2616766</v>
      </c>
      <c r="F9" s="87">
        <v>242</v>
      </c>
      <c r="G9" s="133">
        <v>2831462</v>
      </c>
      <c r="H9" s="516">
        <v>381.90630234116696</v>
      </c>
      <c r="I9" s="59">
        <v>89.950350844289517</v>
      </c>
      <c r="J9" s="59">
        <v>148.08460605356396</v>
      </c>
      <c r="K9" s="59">
        <v>276.88051365224294</v>
      </c>
      <c r="L9" s="59">
        <v>7.0209384104298955</v>
      </c>
      <c r="M9" s="59">
        <v>15.294086924904205</v>
      </c>
      <c r="N9" s="61">
        <v>919.13679822659753</v>
      </c>
      <c r="O9" s="516">
        <v>4073.5020202860001</v>
      </c>
      <c r="P9" s="59">
        <v>959.50171734000014</v>
      </c>
      <c r="Q9" s="59">
        <v>1579.6569304193188</v>
      </c>
      <c r="R9" s="59">
        <v>2953.6146544327012</v>
      </c>
      <c r="S9" s="59">
        <v>74.889905879999986</v>
      </c>
      <c r="T9" s="59">
        <v>163.37942770399994</v>
      </c>
      <c r="U9" s="61">
        <v>9804.5446560620221</v>
      </c>
      <c r="V9" s="222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</row>
    <row r="10" spans="1:36" ht="12.95" customHeight="1">
      <c r="A10" s="507" t="s">
        <v>230</v>
      </c>
      <c r="B10" s="540">
        <v>1602</v>
      </c>
      <c r="C10" s="86">
        <v>6519</v>
      </c>
      <c r="D10" s="86">
        <v>206298</v>
      </c>
      <c r="E10" s="86">
        <v>2615736</v>
      </c>
      <c r="F10" s="456">
        <v>244</v>
      </c>
      <c r="G10" s="476">
        <v>2830399</v>
      </c>
      <c r="H10" s="515">
        <v>279.6763772527699</v>
      </c>
      <c r="I10" s="55">
        <v>53.680781070056682</v>
      </c>
      <c r="J10" s="55">
        <v>75.874189610825752</v>
      </c>
      <c r="K10" s="55">
        <v>148.36515308795427</v>
      </c>
      <c r="L10" s="55">
        <v>5.9889118015119962</v>
      </c>
      <c r="M10" s="421">
        <v>11.392499975987722</v>
      </c>
      <c r="N10" s="415">
        <v>574.97791279910632</v>
      </c>
      <c r="O10" s="515">
        <v>2986.1283852419997</v>
      </c>
      <c r="P10" s="55">
        <v>573.12750654999979</v>
      </c>
      <c r="Q10" s="55">
        <v>810.09473078705116</v>
      </c>
      <c r="R10" s="55">
        <v>1584.1892479389487</v>
      </c>
      <c r="S10" s="55">
        <v>63.939550740000008</v>
      </c>
      <c r="T10" s="421">
        <v>121.81440689900001</v>
      </c>
      <c r="U10" s="415">
        <v>6139.2938281569986</v>
      </c>
      <c r="V10" s="72"/>
      <c r="W10" s="223"/>
      <c r="X10" s="223"/>
      <c r="Y10" s="223"/>
    </row>
    <row r="11" spans="1:36" ht="12.95" customHeight="1">
      <c r="A11" s="508" t="s">
        <v>231</v>
      </c>
      <c r="B11" s="540">
        <v>1599</v>
      </c>
      <c r="C11" s="86">
        <v>6518</v>
      </c>
      <c r="D11" s="86">
        <v>206106</v>
      </c>
      <c r="E11" s="86">
        <v>2614261</v>
      </c>
      <c r="F11" s="86">
        <v>245</v>
      </c>
      <c r="G11" s="478">
        <v>2828729</v>
      </c>
      <c r="H11" s="515">
        <v>274.81966430698895</v>
      </c>
      <c r="I11" s="55">
        <v>43.405863521481379</v>
      </c>
      <c r="J11" s="55">
        <v>50.471641443136569</v>
      </c>
      <c r="K11" s="55">
        <v>104.95175351319682</v>
      </c>
      <c r="L11" s="55">
        <v>6.7300608461366043</v>
      </c>
      <c r="M11" s="55">
        <v>11.966024682131319</v>
      </c>
      <c r="N11" s="416">
        <v>492.34500831307162</v>
      </c>
      <c r="O11" s="515">
        <v>2935.3361545949992</v>
      </c>
      <c r="P11" s="55">
        <v>463.65636140000004</v>
      </c>
      <c r="Q11" s="55">
        <v>539.12102747302811</v>
      </c>
      <c r="R11" s="55">
        <v>1121.1635974829831</v>
      </c>
      <c r="S11" s="55">
        <v>71.887607060000008</v>
      </c>
      <c r="T11" s="55">
        <v>127.952950735</v>
      </c>
      <c r="U11" s="416">
        <v>5259.1176987460103</v>
      </c>
      <c r="V11" s="72"/>
      <c r="W11" s="223"/>
      <c r="X11" s="223"/>
      <c r="Y11" s="223"/>
    </row>
    <row r="12" spans="1:36" ht="12.95" customHeight="1">
      <c r="A12" s="509" t="s">
        <v>232</v>
      </c>
      <c r="B12" s="131">
        <v>1597</v>
      </c>
      <c r="C12" s="87">
        <v>6528</v>
      </c>
      <c r="D12" s="87">
        <v>206262</v>
      </c>
      <c r="E12" s="87">
        <v>2614120</v>
      </c>
      <c r="F12" s="87">
        <v>246</v>
      </c>
      <c r="G12" s="133">
        <v>2828753</v>
      </c>
      <c r="H12" s="516">
        <v>287.2381803633383</v>
      </c>
      <c r="I12" s="59">
        <v>29.923045670550234</v>
      </c>
      <c r="J12" s="59">
        <v>22.098463013893092</v>
      </c>
      <c r="K12" s="59">
        <v>46.754639118127052</v>
      </c>
      <c r="L12" s="59">
        <v>7.3926147860490312</v>
      </c>
      <c r="M12" s="59">
        <v>10.078806998087055</v>
      </c>
      <c r="N12" s="61">
        <v>403.48574995004486</v>
      </c>
      <c r="O12" s="516">
        <v>3076.2219417680003</v>
      </c>
      <c r="P12" s="59">
        <v>320.45542075000003</v>
      </c>
      <c r="Q12" s="59">
        <v>236.65722851081401</v>
      </c>
      <c r="R12" s="59">
        <v>500.74473537316726</v>
      </c>
      <c r="S12" s="59">
        <v>79.163341719999991</v>
      </c>
      <c r="T12" s="59">
        <v>108.24109503999998</v>
      </c>
      <c r="U12" s="61">
        <v>4321.4837631619812</v>
      </c>
      <c r="V12" s="72"/>
      <c r="W12" s="223"/>
      <c r="X12" s="223"/>
      <c r="Y12" s="223"/>
    </row>
    <row r="13" spans="1:36" ht="12.95" customHeight="1">
      <c r="A13" s="507" t="s">
        <v>233</v>
      </c>
      <c r="B13" s="540"/>
      <c r="C13" s="86"/>
      <c r="D13" s="86"/>
      <c r="E13" s="86"/>
      <c r="F13" s="456"/>
      <c r="G13" s="476"/>
      <c r="H13" s="515"/>
      <c r="I13" s="55"/>
      <c r="J13" s="55"/>
      <c r="K13" s="55"/>
      <c r="L13" s="55"/>
      <c r="M13" s="421"/>
      <c r="N13" s="415"/>
      <c r="O13" s="515"/>
      <c r="P13" s="55"/>
      <c r="Q13" s="55"/>
      <c r="R13" s="55"/>
      <c r="S13" s="55"/>
      <c r="T13" s="421"/>
      <c r="U13" s="415"/>
      <c r="V13" s="72"/>
      <c r="W13" s="223"/>
      <c r="X13" s="223"/>
      <c r="Y13" s="223"/>
    </row>
    <row r="14" spans="1:36" ht="12.95" customHeight="1">
      <c r="A14" s="508" t="s">
        <v>234</v>
      </c>
      <c r="B14" s="540"/>
      <c r="C14" s="86"/>
      <c r="D14" s="86"/>
      <c r="E14" s="86"/>
      <c r="F14" s="86"/>
      <c r="G14" s="478"/>
      <c r="H14" s="515"/>
      <c r="I14" s="55"/>
      <c r="J14" s="55"/>
      <c r="K14" s="55"/>
      <c r="L14" s="55"/>
      <c r="M14" s="55"/>
      <c r="N14" s="416"/>
      <c r="O14" s="515"/>
      <c r="P14" s="55"/>
      <c r="Q14" s="55"/>
      <c r="R14" s="55"/>
      <c r="S14" s="55"/>
      <c r="T14" s="55"/>
      <c r="U14" s="416"/>
      <c r="V14" s="72"/>
      <c r="W14" s="223"/>
      <c r="X14" s="223"/>
      <c r="Y14" s="223"/>
    </row>
    <row r="15" spans="1:36" ht="12.95" customHeight="1">
      <c r="A15" s="509" t="s">
        <v>235</v>
      </c>
      <c r="B15" s="131"/>
      <c r="C15" s="87"/>
      <c r="D15" s="87"/>
      <c r="E15" s="87"/>
      <c r="F15" s="87"/>
      <c r="G15" s="133"/>
      <c r="H15" s="516"/>
      <c r="I15" s="59"/>
      <c r="J15" s="59"/>
      <c r="K15" s="59"/>
      <c r="L15" s="59"/>
      <c r="M15" s="59"/>
      <c r="N15" s="61"/>
      <c r="O15" s="516"/>
      <c r="P15" s="59"/>
      <c r="Q15" s="59"/>
      <c r="R15" s="59"/>
      <c r="S15" s="59"/>
      <c r="T15" s="59"/>
      <c r="U15" s="61"/>
      <c r="V15" s="72"/>
      <c r="W15" s="223"/>
      <c r="X15" s="223"/>
      <c r="Y15" s="223"/>
    </row>
    <row r="16" spans="1:36" ht="12.95" customHeight="1">
      <c r="A16" s="507" t="s">
        <v>236</v>
      </c>
      <c r="B16" s="540"/>
      <c r="C16" s="86"/>
      <c r="D16" s="86"/>
      <c r="E16" s="86"/>
      <c r="F16" s="456"/>
      <c r="G16" s="476"/>
      <c r="H16" s="515"/>
      <c r="I16" s="55"/>
      <c r="J16" s="55"/>
      <c r="K16" s="55"/>
      <c r="L16" s="55"/>
      <c r="M16" s="421"/>
      <c r="N16" s="415"/>
      <c r="O16" s="515"/>
      <c r="P16" s="55"/>
      <c r="Q16" s="55"/>
      <c r="R16" s="55"/>
      <c r="S16" s="55"/>
      <c r="T16" s="421"/>
      <c r="U16" s="415"/>
      <c r="V16" s="72"/>
      <c r="W16" s="223"/>
      <c r="X16" s="223"/>
      <c r="Y16" s="223"/>
    </row>
    <row r="17" spans="1:25" ht="12.95" customHeight="1">
      <c r="A17" s="508" t="s">
        <v>237</v>
      </c>
      <c r="B17" s="540"/>
      <c r="C17" s="86"/>
      <c r="D17" s="86"/>
      <c r="E17" s="86"/>
      <c r="F17" s="86"/>
      <c r="G17" s="478"/>
      <c r="H17" s="515"/>
      <c r="I17" s="55"/>
      <c r="J17" s="55"/>
      <c r="K17" s="55"/>
      <c r="L17" s="55"/>
      <c r="M17" s="55"/>
      <c r="N17" s="416"/>
      <c r="O17" s="515"/>
      <c r="P17" s="55"/>
      <c r="Q17" s="55"/>
      <c r="R17" s="55"/>
      <c r="S17" s="55"/>
      <c r="T17" s="55"/>
      <c r="U17" s="416"/>
      <c r="V17" s="72"/>
      <c r="W17" s="223"/>
      <c r="X17" s="223"/>
      <c r="Y17" s="223"/>
    </row>
    <row r="18" spans="1:25" ht="12.95" customHeight="1">
      <c r="A18" s="509" t="s">
        <v>238</v>
      </c>
      <c r="B18" s="131"/>
      <c r="C18" s="87"/>
      <c r="D18" s="87"/>
      <c r="E18" s="87"/>
      <c r="F18" s="87"/>
      <c r="G18" s="133"/>
      <c r="H18" s="516"/>
      <c r="I18" s="59"/>
      <c r="J18" s="59"/>
      <c r="K18" s="59"/>
      <c r="L18" s="59"/>
      <c r="M18" s="59"/>
      <c r="N18" s="61"/>
      <c r="O18" s="516"/>
      <c r="P18" s="59"/>
      <c r="Q18" s="59"/>
      <c r="R18" s="59"/>
      <c r="S18" s="59"/>
      <c r="T18" s="59"/>
      <c r="U18" s="61"/>
      <c r="V18" s="72"/>
      <c r="W18" s="223"/>
      <c r="X18" s="223"/>
      <c r="Y18" s="223"/>
    </row>
    <row r="19" spans="1:25" ht="12.95" customHeight="1">
      <c r="A19" s="510" t="s">
        <v>54</v>
      </c>
      <c r="B19" s="541">
        <f>B9</f>
        <v>1599</v>
      </c>
      <c r="C19" s="358">
        <f t="shared" ref="C19:E19" si="0">C9</f>
        <v>6517</v>
      </c>
      <c r="D19" s="358">
        <f t="shared" si="0"/>
        <v>206338</v>
      </c>
      <c r="E19" s="358">
        <f t="shared" si="0"/>
        <v>2616766</v>
      </c>
      <c r="F19" s="460">
        <f t="shared" ref="F19" si="1">F9</f>
        <v>242</v>
      </c>
      <c r="G19" s="481">
        <f>G9</f>
        <v>2831462</v>
      </c>
      <c r="H19" s="517">
        <f>SUM(H7:H9)</f>
        <v>1230.9485132482782</v>
      </c>
      <c r="I19" s="278">
        <f>SUM(I7:I9)</f>
        <v>309.18084071916974</v>
      </c>
      <c r="J19" s="278">
        <f t="shared" ref="J19:K19" si="2">SUM(J7:J9)</f>
        <v>517.65588967785368</v>
      </c>
      <c r="K19" s="278">
        <f t="shared" si="2"/>
        <v>983.90067223482845</v>
      </c>
      <c r="L19" s="278">
        <f t="shared" ref="L19" si="3">SUM(L7:L9)</f>
        <v>22.314752086827312</v>
      </c>
      <c r="M19" s="422">
        <f t="shared" ref="M19" si="4">SUM(M7:M9)</f>
        <v>47.409514599940103</v>
      </c>
      <c r="N19" s="417">
        <f>SUM(N7:N9)</f>
        <v>3111.4101825668972</v>
      </c>
      <c r="O19" s="517">
        <f>SUM(O7:O9)</f>
        <v>13128.471031835001</v>
      </c>
      <c r="P19" s="278">
        <f>SUM(P7:P9)</f>
        <v>3297.4998240799996</v>
      </c>
      <c r="Q19" s="278">
        <f t="shared" ref="Q19:U19" si="5">SUM(Q7:Q9)</f>
        <v>5521.1408223793196</v>
      </c>
      <c r="R19" s="278">
        <f t="shared" si="5"/>
        <v>10494.122458062702</v>
      </c>
      <c r="S19" s="278">
        <f t="shared" ref="S19" si="6">SUM(S7:S9)</f>
        <v>238.09362708</v>
      </c>
      <c r="T19" s="422">
        <f t="shared" ref="T19" si="7">SUM(T7:T9)</f>
        <v>505.87718355658899</v>
      </c>
      <c r="U19" s="417">
        <f t="shared" si="5"/>
        <v>33185.204946993617</v>
      </c>
    </row>
    <row r="20" spans="1:25" ht="12.95" customHeight="1">
      <c r="A20" s="511" t="s">
        <v>63</v>
      </c>
      <c r="B20" s="541">
        <f>B12</f>
        <v>1597</v>
      </c>
      <c r="C20" s="358">
        <f t="shared" ref="C20:G20" si="8">C12</f>
        <v>6528</v>
      </c>
      <c r="D20" s="358">
        <f t="shared" si="8"/>
        <v>206262</v>
      </c>
      <c r="E20" s="358">
        <f t="shared" si="8"/>
        <v>2614120</v>
      </c>
      <c r="F20" s="358">
        <f t="shared" ref="F20" si="9">F12</f>
        <v>246</v>
      </c>
      <c r="G20" s="541">
        <f t="shared" si="8"/>
        <v>2828753</v>
      </c>
      <c r="H20" s="517">
        <f>SUM(H10:H12)</f>
        <v>841.73422192309715</v>
      </c>
      <c r="I20" s="278">
        <f>SUM(I10:I12)</f>
        <v>127.0096902620883</v>
      </c>
      <c r="J20" s="278">
        <f t="shared" ref="J20:N20" si="10">SUM(J10:J12)</f>
        <v>148.4442940678554</v>
      </c>
      <c r="K20" s="278">
        <f t="shared" si="10"/>
        <v>300.07154571927816</v>
      </c>
      <c r="L20" s="278">
        <f t="shared" ref="L20" si="11">SUM(L10:L12)</f>
        <v>20.111587433697633</v>
      </c>
      <c r="M20" s="278">
        <f t="shared" ref="M20" si="12">SUM(M10:M12)</f>
        <v>33.437331656206098</v>
      </c>
      <c r="N20" s="517">
        <f t="shared" si="10"/>
        <v>1470.8086710622229</v>
      </c>
      <c r="O20" s="517">
        <f>SUM(O10:O12)</f>
        <v>8997.6864816050002</v>
      </c>
      <c r="P20" s="278">
        <f>SUM(P10:P12)</f>
        <v>1357.2392886999999</v>
      </c>
      <c r="Q20" s="278">
        <f t="shared" ref="Q20:U20" si="13">SUM(Q10:Q12)</f>
        <v>1585.8729867708935</v>
      </c>
      <c r="R20" s="278">
        <f t="shared" si="13"/>
        <v>3206.097580795099</v>
      </c>
      <c r="S20" s="278">
        <f t="shared" ref="S20" si="14">SUM(S10:S12)</f>
        <v>214.99049952000001</v>
      </c>
      <c r="T20" s="278">
        <f t="shared" ref="T20" si="15">SUM(T10:T12)</f>
        <v>358.00845267399995</v>
      </c>
      <c r="U20" s="517">
        <f t="shared" si="13"/>
        <v>15719.895290064989</v>
      </c>
    </row>
    <row r="21" spans="1:25" ht="12.95" customHeight="1">
      <c r="A21" s="511" t="s">
        <v>75</v>
      </c>
      <c r="B21" s="483">
        <f>B15</f>
        <v>0</v>
      </c>
      <c r="C21" s="359">
        <f t="shared" ref="C21:G21" si="16">C15</f>
        <v>0</v>
      </c>
      <c r="D21" s="359">
        <f t="shared" si="16"/>
        <v>0</v>
      </c>
      <c r="E21" s="359">
        <f t="shared" si="16"/>
        <v>0</v>
      </c>
      <c r="F21" s="359">
        <f t="shared" ref="F21" si="17">F15</f>
        <v>0</v>
      </c>
      <c r="G21" s="483">
        <f t="shared" si="16"/>
        <v>0</v>
      </c>
      <c r="H21" s="418">
        <f>SUM(H13:H15)</f>
        <v>0</v>
      </c>
      <c r="I21" s="281">
        <f>SUM(I13:I15)</f>
        <v>0</v>
      </c>
      <c r="J21" s="281">
        <f t="shared" ref="J21:N21" si="18">SUM(J13:J15)</f>
        <v>0</v>
      </c>
      <c r="K21" s="281">
        <f t="shared" si="18"/>
        <v>0</v>
      </c>
      <c r="L21" s="281">
        <f t="shared" ref="L21" si="19">SUM(L13:L15)</f>
        <v>0</v>
      </c>
      <c r="M21" s="281">
        <f t="shared" ref="M21" si="20">SUM(M13:M15)</f>
        <v>0</v>
      </c>
      <c r="N21" s="418">
        <f t="shared" si="18"/>
        <v>0</v>
      </c>
      <c r="O21" s="418">
        <f>SUM(O13:O15)</f>
        <v>0</v>
      </c>
      <c r="P21" s="281">
        <f>SUM(P13:P15)</f>
        <v>0</v>
      </c>
      <c r="Q21" s="281">
        <f t="shared" ref="Q21:U21" si="21">SUM(Q13:Q15)</f>
        <v>0</v>
      </c>
      <c r="R21" s="281">
        <f t="shared" si="21"/>
        <v>0</v>
      </c>
      <c r="S21" s="281">
        <f t="shared" ref="S21" si="22">SUM(S13:S15)</f>
        <v>0</v>
      </c>
      <c r="T21" s="281">
        <f t="shared" ref="T21" si="23">SUM(T13:T15)</f>
        <v>0</v>
      </c>
      <c r="U21" s="418">
        <f t="shared" si="21"/>
        <v>0</v>
      </c>
    </row>
    <row r="22" spans="1:25" ht="12.95" customHeight="1">
      <c r="A22" s="512" t="s">
        <v>64</v>
      </c>
      <c r="B22" s="378">
        <f>B18</f>
        <v>0</v>
      </c>
      <c r="C22" s="360">
        <f t="shared" ref="C22:E22" si="24">C18</f>
        <v>0</v>
      </c>
      <c r="D22" s="360">
        <f t="shared" si="24"/>
        <v>0</v>
      </c>
      <c r="E22" s="360">
        <f t="shared" si="24"/>
        <v>0</v>
      </c>
      <c r="F22" s="360">
        <f t="shared" ref="F22" si="25">F18</f>
        <v>0</v>
      </c>
      <c r="G22" s="378">
        <f>G18</f>
        <v>0</v>
      </c>
      <c r="H22" s="286">
        <f>SUM(H16:H18)</f>
        <v>0</v>
      </c>
      <c r="I22" s="284">
        <f>SUM(I16:I18)</f>
        <v>0</v>
      </c>
      <c r="J22" s="284">
        <f t="shared" ref="J22:N22" si="26">SUM(J16:J18)</f>
        <v>0</v>
      </c>
      <c r="K22" s="284">
        <f t="shared" si="26"/>
        <v>0</v>
      </c>
      <c r="L22" s="284">
        <f t="shared" ref="L22" si="27">SUM(L16:L18)</f>
        <v>0</v>
      </c>
      <c r="M22" s="284">
        <f t="shared" ref="M22" si="28">SUM(M16:M18)</f>
        <v>0</v>
      </c>
      <c r="N22" s="286">
        <f t="shared" si="26"/>
        <v>0</v>
      </c>
      <c r="O22" s="286">
        <f>SUM(O16:O18)</f>
        <v>0</v>
      </c>
      <c r="P22" s="284">
        <f>SUM(P16:P18)</f>
        <v>0</v>
      </c>
      <c r="Q22" s="284">
        <f t="shared" ref="Q22:U22" si="29">SUM(Q16:Q18)</f>
        <v>0</v>
      </c>
      <c r="R22" s="284">
        <f t="shared" si="29"/>
        <v>0</v>
      </c>
      <c r="S22" s="284">
        <f t="shared" ref="S22" si="30">SUM(S16:S18)</f>
        <v>0</v>
      </c>
      <c r="T22" s="284">
        <f t="shared" ref="T22" si="31">SUM(T16:T18)</f>
        <v>0</v>
      </c>
      <c r="U22" s="286">
        <f t="shared" si="29"/>
        <v>0</v>
      </c>
    </row>
    <row r="23" spans="1:25" ht="12.95" customHeight="1">
      <c r="A23" s="507" t="s">
        <v>65</v>
      </c>
      <c r="B23" s="540">
        <f>B12</f>
        <v>1597</v>
      </c>
      <c r="C23" s="85">
        <f t="shared" ref="C23:G23" si="32">C12</f>
        <v>6528</v>
      </c>
      <c r="D23" s="85">
        <f t="shared" si="32"/>
        <v>206262</v>
      </c>
      <c r="E23" s="85">
        <f t="shared" si="32"/>
        <v>2614120</v>
      </c>
      <c r="F23" s="576">
        <f t="shared" ref="F23" si="33">F12</f>
        <v>246</v>
      </c>
      <c r="G23" s="577">
        <f t="shared" si="32"/>
        <v>2828753</v>
      </c>
      <c r="H23" s="515">
        <f>SUM(H7:H12)</f>
        <v>2072.6827351713755</v>
      </c>
      <c r="I23" s="53">
        <f>SUM(I7:I12)</f>
        <v>436.19053098125801</v>
      </c>
      <c r="J23" s="53">
        <f t="shared" ref="J23:N23" si="34">SUM(J7:J12)</f>
        <v>666.10018374570916</v>
      </c>
      <c r="K23" s="53">
        <f t="shared" si="34"/>
        <v>1283.9722179541066</v>
      </c>
      <c r="L23" s="53">
        <f t="shared" ref="L23" si="35">SUM(L7:L12)</f>
        <v>42.426339520524941</v>
      </c>
      <c r="M23" s="578">
        <f t="shared" ref="M23" si="36">SUM(M7:M12)</f>
        <v>80.846846256146208</v>
      </c>
      <c r="N23" s="518">
        <f t="shared" si="34"/>
        <v>4582.2188536291205</v>
      </c>
      <c r="O23" s="515">
        <f>SUM(O7:O12)</f>
        <v>22126.157513440001</v>
      </c>
      <c r="P23" s="53">
        <f>SUM(P7:P12)</f>
        <v>4654.7391127800001</v>
      </c>
      <c r="Q23" s="53">
        <f t="shared" ref="Q23:U23" si="37">SUM(Q7:Q12)</f>
        <v>7107.0138091502131</v>
      </c>
      <c r="R23" s="53">
        <f t="shared" si="37"/>
        <v>13700.2200388578</v>
      </c>
      <c r="S23" s="53">
        <f t="shared" ref="S23" si="38">SUM(S7:S12)</f>
        <v>453.08412659999999</v>
      </c>
      <c r="T23" s="578">
        <f t="shared" ref="T23" si="39">SUM(T7:T12)</f>
        <v>863.88563623058906</v>
      </c>
      <c r="U23" s="518">
        <f t="shared" si="37"/>
        <v>48905.100237058607</v>
      </c>
    </row>
    <row r="24" spans="1:25" ht="12.95" customHeight="1">
      <c r="A24" s="509" t="s">
        <v>66</v>
      </c>
      <c r="B24" s="127">
        <f>B18</f>
        <v>0</v>
      </c>
      <c r="C24" s="84">
        <f t="shared" ref="C24:G24" si="40">C18</f>
        <v>0</v>
      </c>
      <c r="D24" s="84">
        <f t="shared" si="40"/>
        <v>0</v>
      </c>
      <c r="E24" s="84">
        <f t="shared" si="40"/>
        <v>0</v>
      </c>
      <c r="F24" s="84">
        <f t="shared" ref="F24" si="41">F18</f>
        <v>0</v>
      </c>
      <c r="G24" s="127">
        <f t="shared" si="40"/>
        <v>0</v>
      </c>
      <c r="H24" s="51">
        <f>SUM(H13:H18)</f>
        <v>0</v>
      </c>
      <c r="I24" s="49">
        <f>SUM(I13:I18)</f>
        <v>0</v>
      </c>
      <c r="J24" s="49">
        <f t="shared" ref="J24:N24" si="42">SUM(J13:J18)</f>
        <v>0</v>
      </c>
      <c r="K24" s="49">
        <f t="shared" si="42"/>
        <v>0</v>
      </c>
      <c r="L24" s="49">
        <f t="shared" ref="L24" si="43">SUM(L13:L18)</f>
        <v>0</v>
      </c>
      <c r="M24" s="49">
        <f t="shared" ref="M24" si="44">SUM(M13:M18)</f>
        <v>0</v>
      </c>
      <c r="N24" s="51">
        <f t="shared" si="42"/>
        <v>0</v>
      </c>
      <c r="O24" s="51">
        <f>SUM(O13:O18)</f>
        <v>0</v>
      </c>
      <c r="P24" s="49">
        <f>SUM(P13:P18)</f>
        <v>0</v>
      </c>
      <c r="Q24" s="49">
        <f t="shared" ref="Q24:U24" si="45">SUM(Q13:Q18)</f>
        <v>0</v>
      </c>
      <c r="R24" s="49">
        <f t="shared" si="45"/>
        <v>0</v>
      </c>
      <c r="S24" s="49">
        <f t="shared" ref="S24" si="46">SUM(S13:S18)</f>
        <v>0</v>
      </c>
      <c r="T24" s="49">
        <f t="shared" ref="T24" si="47">SUM(T13:T18)</f>
        <v>0</v>
      </c>
      <c r="U24" s="51">
        <f t="shared" si="45"/>
        <v>0</v>
      </c>
    </row>
    <row r="25" spans="1:25" ht="12.95" customHeight="1">
      <c r="A25" s="513" t="s">
        <v>239</v>
      </c>
      <c r="B25" s="380">
        <f>B18</f>
        <v>0</v>
      </c>
      <c r="C25" s="361">
        <f t="shared" ref="C25:G25" si="48">C18</f>
        <v>0</v>
      </c>
      <c r="D25" s="361">
        <f t="shared" si="48"/>
        <v>0</v>
      </c>
      <c r="E25" s="361">
        <f t="shared" si="48"/>
        <v>0</v>
      </c>
      <c r="F25" s="361">
        <f t="shared" ref="F25" si="49">F18</f>
        <v>0</v>
      </c>
      <c r="G25" s="380">
        <f t="shared" si="48"/>
        <v>0</v>
      </c>
      <c r="H25" s="290">
        <f>SUM(H7:H18)</f>
        <v>2072.6827351713755</v>
      </c>
      <c r="I25" s="288">
        <f>SUM(I7:I18)</f>
        <v>436.19053098125801</v>
      </c>
      <c r="J25" s="288">
        <f t="shared" ref="J25:N25" si="50">SUM(J7:J18)</f>
        <v>666.10018374570916</v>
      </c>
      <c r="K25" s="288">
        <f t="shared" si="50"/>
        <v>1283.9722179541066</v>
      </c>
      <c r="L25" s="288">
        <f t="shared" ref="L25" si="51">SUM(L7:L18)</f>
        <v>42.426339520524941</v>
      </c>
      <c r="M25" s="288">
        <f t="shared" ref="M25" si="52">SUM(M7:M18)</f>
        <v>80.846846256146208</v>
      </c>
      <c r="N25" s="290">
        <f t="shared" si="50"/>
        <v>4582.2188536291205</v>
      </c>
      <c r="O25" s="290">
        <f>SUM(O7:O18)</f>
        <v>22126.157513440001</v>
      </c>
      <c r="P25" s="288">
        <f>SUM(P7:P18)</f>
        <v>4654.7391127800001</v>
      </c>
      <c r="Q25" s="288">
        <f t="shared" ref="Q25:U25" si="53">SUM(Q7:Q18)</f>
        <v>7107.0138091502131</v>
      </c>
      <c r="R25" s="288">
        <f t="shared" si="53"/>
        <v>13700.2200388578</v>
      </c>
      <c r="S25" s="288">
        <f t="shared" ref="S25" si="54">SUM(S7:S18)</f>
        <v>453.08412659999999</v>
      </c>
      <c r="T25" s="288">
        <f t="shared" ref="T25" si="55">SUM(T7:T18)</f>
        <v>863.88563623058906</v>
      </c>
      <c r="U25" s="290">
        <f t="shared" si="53"/>
        <v>48905.100237058607</v>
      </c>
    </row>
    <row r="26" spans="1:25" ht="15" customHeight="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</row>
    <row r="27" spans="1:25" ht="12.75" customHeight="1">
      <c r="A27" s="621" t="s">
        <v>303</v>
      </c>
      <c r="B27" s="621"/>
      <c r="C27" s="621"/>
      <c r="D27" s="621"/>
      <c r="E27" s="621"/>
      <c r="F27" s="621"/>
      <c r="G27" s="621"/>
      <c r="H27" s="621"/>
      <c r="I27" s="621" t="s">
        <v>304</v>
      </c>
      <c r="J27" s="621"/>
      <c r="K27" s="621"/>
      <c r="L27" s="621"/>
      <c r="M27" s="621"/>
      <c r="P27" s="621" t="s">
        <v>305</v>
      </c>
      <c r="Q27" s="621"/>
      <c r="R27" s="621"/>
      <c r="S27" s="621"/>
      <c r="T27" s="621"/>
    </row>
    <row r="28" spans="1:25" ht="12" customHeight="1">
      <c r="A28" s="216"/>
      <c r="B28" s="256" t="str">
        <f>B6</f>
        <v>VO</v>
      </c>
      <c r="C28" s="256" t="str">
        <f t="shared" ref="C28:E28" si="56">C6</f>
        <v>SO</v>
      </c>
      <c r="D28" s="256" t="str">
        <f t="shared" si="56"/>
        <v>MO</v>
      </c>
      <c r="E28" s="256" t="str">
        <f t="shared" si="56"/>
        <v>DOM</v>
      </c>
      <c r="F28" s="256" t="str">
        <f>F6</f>
        <v>CNG</v>
      </c>
      <c r="G28" s="257"/>
      <c r="H28" s="247"/>
      <c r="I28" s="256" t="str">
        <f>H6</f>
        <v>VO</v>
      </c>
      <c r="J28" s="256" t="str">
        <f t="shared" ref="J28" si="57">I6</f>
        <v>SO</v>
      </c>
      <c r="K28" s="256" t="str">
        <f>J6</f>
        <v>MO</v>
      </c>
      <c r="L28" s="256" t="str">
        <f t="shared" ref="L28:M28" si="58">K6</f>
        <v>DOM</v>
      </c>
      <c r="M28" s="256" t="str">
        <f t="shared" si="58"/>
        <v>CNG</v>
      </c>
      <c r="N28" s="257"/>
      <c r="O28" s="258"/>
      <c r="P28" s="256" t="str">
        <f>O6</f>
        <v>VO</v>
      </c>
      <c r="Q28" s="256" t="str">
        <f t="shared" ref="Q28:T28" si="59">P6</f>
        <v>SO</v>
      </c>
      <c r="R28" s="256" t="str">
        <f t="shared" si="59"/>
        <v>MO</v>
      </c>
      <c r="S28" s="256" t="str">
        <f t="shared" si="59"/>
        <v>DOM</v>
      </c>
      <c r="T28" s="256" t="str">
        <f t="shared" si="59"/>
        <v>CNG</v>
      </c>
      <c r="U28" s="167"/>
    </row>
    <row r="29" spans="1:25" ht="12" customHeight="1">
      <c r="B29" s="259">
        <f>B19</f>
        <v>1599</v>
      </c>
      <c r="C29" s="259">
        <f>C19</f>
        <v>6517</v>
      </c>
      <c r="D29" s="259">
        <f t="shared" ref="D29:E29" si="60">D19</f>
        <v>206338</v>
      </c>
      <c r="E29" s="259">
        <f t="shared" si="60"/>
        <v>2616766</v>
      </c>
      <c r="F29" s="259">
        <f>F19</f>
        <v>242</v>
      </c>
      <c r="G29" s="229"/>
      <c r="H29" s="258" t="str">
        <f>A19</f>
        <v>I. čtvrtletí</v>
      </c>
      <c r="I29" s="260">
        <f>H19</f>
        <v>1230.9485132482782</v>
      </c>
      <c r="J29" s="260">
        <f t="shared" ref="J29:M29" si="61">I19</f>
        <v>309.18084071916974</v>
      </c>
      <c r="K29" s="260">
        <f t="shared" si="61"/>
        <v>517.65588967785368</v>
      </c>
      <c r="L29" s="260">
        <f t="shared" si="61"/>
        <v>983.90067223482845</v>
      </c>
      <c r="M29" s="260">
        <f t="shared" si="61"/>
        <v>22.314752086827312</v>
      </c>
      <c r="N29" s="228"/>
      <c r="O29" s="247" t="str">
        <f>A19</f>
        <v>I. čtvrtletí</v>
      </c>
      <c r="P29" s="259">
        <f>O19</f>
        <v>13128.471031835001</v>
      </c>
      <c r="Q29" s="259">
        <f t="shared" ref="Q29:T29" si="62">P19</f>
        <v>3297.4998240799996</v>
      </c>
      <c r="R29" s="259">
        <f t="shared" si="62"/>
        <v>5521.1408223793196</v>
      </c>
      <c r="S29" s="259">
        <f t="shared" si="62"/>
        <v>10494.122458062702</v>
      </c>
      <c r="T29" s="259">
        <f t="shared" si="62"/>
        <v>238.09362708</v>
      </c>
      <c r="U29" s="83"/>
    </row>
    <row r="30" spans="1:25" ht="12" customHeight="1">
      <c r="B30" s="228"/>
      <c r="C30" s="228"/>
      <c r="D30" s="228"/>
      <c r="E30" s="229"/>
      <c r="F30" s="229"/>
      <c r="G30" s="229"/>
      <c r="H30" s="258" t="str">
        <f t="shared" ref="H30:H32" si="63">A20</f>
        <v>II. čtvrtletí</v>
      </c>
      <c r="I30" s="260">
        <f t="shared" ref="I30:M30" si="64">H20</f>
        <v>841.73422192309715</v>
      </c>
      <c r="J30" s="260">
        <f t="shared" si="64"/>
        <v>127.0096902620883</v>
      </c>
      <c r="K30" s="260">
        <f t="shared" si="64"/>
        <v>148.4442940678554</v>
      </c>
      <c r="L30" s="260">
        <f t="shared" si="64"/>
        <v>300.07154571927816</v>
      </c>
      <c r="M30" s="260">
        <f t="shared" si="64"/>
        <v>20.111587433697633</v>
      </c>
      <c r="N30" s="228"/>
      <c r="O30" s="247" t="str">
        <f t="shared" ref="O30:O32" si="65">A20</f>
        <v>II. čtvrtletí</v>
      </c>
      <c r="P30" s="259">
        <f t="shared" ref="P30:T30" si="66">O20</f>
        <v>8997.6864816050002</v>
      </c>
      <c r="Q30" s="259">
        <f t="shared" si="66"/>
        <v>1357.2392886999999</v>
      </c>
      <c r="R30" s="259">
        <f t="shared" si="66"/>
        <v>1585.8729867708935</v>
      </c>
      <c r="S30" s="259">
        <f t="shared" si="66"/>
        <v>3206.097580795099</v>
      </c>
      <c r="T30" s="259">
        <f t="shared" si="66"/>
        <v>214.99049952000001</v>
      </c>
      <c r="U30" s="83"/>
    </row>
    <row r="31" spans="1:25" ht="12" customHeight="1">
      <c r="B31" s="228"/>
      <c r="C31" s="228"/>
      <c r="D31" s="228"/>
      <c r="E31" s="229"/>
      <c r="F31" s="229"/>
      <c r="G31" s="229"/>
      <c r="H31" s="258" t="str">
        <f t="shared" si="63"/>
        <v>III. čtvrtletí</v>
      </c>
      <c r="I31" s="260">
        <f t="shared" ref="I31:M31" si="67">H21</f>
        <v>0</v>
      </c>
      <c r="J31" s="260">
        <f t="shared" si="67"/>
        <v>0</v>
      </c>
      <c r="K31" s="260">
        <f t="shared" si="67"/>
        <v>0</v>
      </c>
      <c r="L31" s="260">
        <f t="shared" si="67"/>
        <v>0</v>
      </c>
      <c r="M31" s="260">
        <f t="shared" si="67"/>
        <v>0</v>
      </c>
      <c r="N31" s="228"/>
      <c r="O31" s="247" t="str">
        <f t="shared" si="65"/>
        <v>III. čtvrtletí</v>
      </c>
      <c r="P31" s="259">
        <f t="shared" ref="P31:T31" si="68">O21</f>
        <v>0</v>
      </c>
      <c r="Q31" s="259">
        <f t="shared" si="68"/>
        <v>0</v>
      </c>
      <c r="R31" s="259">
        <f t="shared" si="68"/>
        <v>0</v>
      </c>
      <c r="S31" s="259">
        <f t="shared" si="68"/>
        <v>0</v>
      </c>
      <c r="T31" s="259">
        <f t="shared" si="68"/>
        <v>0</v>
      </c>
      <c r="U31" s="83"/>
    </row>
    <row r="32" spans="1:25" ht="12" customHeight="1">
      <c r="B32" s="228"/>
      <c r="C32" s="228"/>
      <c r="D32" s="228"/>
      <c r="E32" s="229"/>
      <c r="F32" s="229"/>
      <c r="G32" s="229"/>
      <c r="H32" s="258" t="str">
        <f t="shared" si="63"/>
        <v>IV. čtvrtletí</v>
      </c>
      <c r="I32" s="260">
        <f t="shared" ref="I32:M32" si="69">H22</f>
        <v>0</v>
      </c>
      <c r="J32" s="260">
        <f t="shared" si="69"/>
        <v>0</v>
      </c>
      <c r="K32" s="260">
        <f t="shared" si="69"/>
        <v>0</v>
      </c>
      <c r="L32" s="260">
        <f t="shared" si="69"/>
        <v>0</v>
      </c>
      <c r="M32" s="260">
        <f t="shared" si="69"/>
        <v>0</v>
      </c>
      <c r="N32" s="228"/>
      <c r="O32" s="247" t="str">
        <f t="shared" si="65"/>
        <v>IV. čtvrtletí</v>
      </c>
      <c r="P32" s="259">
        <f t="shared" ref="P32:T32" si="70">O22</f>
        <v>0</v>
      </c>
      <c r="Q32" s="259">
        <f t="shared" si="70"/>
        <v>0</v>
      </c>
      <c r="R32" s="259">
        <f t="shared" si="70"/>
        <v>0</v>
      </c>
      <c r="S32" s="259">
        <f t="shared" si="70"/>
        <v>0</v>
      </c>
      <c r="T32" s="259">
        <f t="shared" si="70"/>
        <v>0</v>
      </c>
      <c r="U32" s="83"/>
    </row>
    <row r="33" spans="4:21" ht="12" customHeight="1">
      <c r="E33" s="83"/>
      <c r="F33" s="83"/>
      <c r="G33" s="83"/>
      <c r="H33" s="83"/>
      <c r="I33" s="83"/>
      <c r="Q33" s="83"/>
      <c r="R33" s="83"/>
      <c r="S33" s="83"/>
      <c r="T33" s="83"/>
      <c r="U33" s="83"/>
    </row>
    <row r="34" spans="4:21" ht="12" customHeight="1">
      <c r="D34" s="633"/>
      <c r="E34" s="83"/>
      <c r="F34" s="83"/>
      <c r="G34" s="83"/>
      <c r="H34" s="83"/>
      <c r="I34" s="83"/>
      <c r="Q34" s="83"/>
      <c r="R34" s="83"/>
      <c r="S34" s="83"/>
      <c r="T34" s="83"/>
      <c r="U34" s="83"/>
    </row>
    <row r="35" spans="4:21" ht="12" customHeight="1">
      <c r="D35" s="633"/>
      <c r="E35" s="83"/>
      <c r="F35" s="83"/>
      <c r="G35" s="83"/>
      <c r="H35" s="83"/>
      <c r="I35" s="83"/>
      <c r="Q35" s="83"/>
      <c r="R35" s="83"/>
      <c r="S35" s="83"/>
      <c r="T35" s="83"/>
      <c r="U35" s="83"/>
    </row>
    <row r="36" spans="4:21" ht="12" customHeight="1">
      <c r="E36" s="83"/>
      <c r="F36" s="83"/>
      <c r="G36" s="83"/>
      <c r="H36" s="83"/>
      <c r="I36" s="83"/>
      <c r="Q36" s="83"/>
      <c r="R36" s="83"/>
      <c r="S36" s="83"/>
      <c r="T36" s="83"/>
      <c r="U36" s="83"/>
    </row>
    <row r="37" spans="4:21" ht="12" customHeight="1">
      <c r="E37" s="83"/>
      <c r="F37" s="83"/>
      <c r="G37" s="83"/>
      <c r="H37" s="83"/>
      <c r="I37" s="83"/>
      <c r="Q37" s="83"/>
      <c r="R37" s="83"/>
      <c r="S37" s="83"/>
      <c r="T37" s="83"/>
      <c r="U37" s="83"/>
    </row>
    <row r="38" spans="4:21" ht="12" customHeight="1">
      <c r="E38" s="83"/>
      <c r="F38" s="83"/>
      <c r="G38" s="83"/>
      <c r="H38" s="83"/>
      <c r="I38" s="83"/>
      <c r="Q38" s="83"/>
      <c r="R38" s="83"/>
      <c r="S38" s="83"/>
      <c r="T38" s="83"/>
      <c r="U38" s="83"/>
    </row>
    <row r="39" spans="4:21" ht="12" customHeight="1">
      <c r="E39" s="83"/>
      <c r="F39" s="83"/>
      <c r="G39" s="83"/>
      <c r="H39" s="83"/>
      <c r="I39" s="83"/>
      <c r="Q39" s="83"/>
      <c r="R39" s="83"/>
      <c r="S39" s="83"/>
      <c r="T39" s="83"/>
      <c r="U39" s="83"/>
    </row>
    <row r="40" spans="4:21" ht="12" customHeight="1">
      <c r="E40" s="83"/>
      <c r="F40" s="83"/>
      <c r="G40" s="83"/>
      <c r="H40" s="83"/>
      <c r="I40" s="83"/>
      <c r="Q40" s="83"/>
      <c r="R40" s="83"/>
      <c r="S40" s="83"/>
      <c r="T40" s="83"/>
      <c r="U40" s="83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2020-09-01T09:04:58Z</cp:lastPrinted>
  <dcterms:created xsi:type="dcterms:W3CDTF">2010-02-15T08:19:53Z</dcterms:created>
  <dcterms:modified xsi:type="dcterms:W3CDTF">2020-09-01T09:08:46Z</dcterms:modified>
</cp:coreProperties>
</file>